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D:\doc\会議・学会\AppendixB\"/>
    </mc:Choice>
  </mc:AlternateContent>
  <xr:revisionPtr revIDLastSave="0" documentId="13_ncr:1_{61AB4265-997B-4E3E-8653-52E08FAC71EC}" xr6:coauthVersionLast="47" xr6:coauthVersionMax="47" xr10:uidLastSave="{00000000-0000-0000-0000-000000000000}"/>
  <bookViews>
    <workbookView xWindow="-120" yWindow="-120" windowWidth="38640" windowHeight="21240" tabRatio="729" xr2:uid="{00000000-000D-0000-FFFF-FFFF00000000}"/>
  </bookViews>
  <sheets>
    <sheet name="Template" sheetId="47" r:id="rId1"/>
    <sheet name="Record" sheetId="72" r:id="rId2"/>
    <sheet name="APMP.QM-K111" sheetId="100" r:id="rId3"/>
    <sheet name="CCQM-K10" sheetId="52" r:id="rId4"/>
    <sheet name="CCQM-K10.2018" sheetId="42" r:id="rId5"/>
    <sheet name="CCQM-K15" sheetId="79" r:id="rId6"/>
    <sheet name="CCQM K23ac" sheetId="78" r:id="rId7"/>
    <sheet name="CCQM-K26a" sheetId="53" r:id="rId8"/>
    <sheet name="CCQM-K26b" sheetId="54" r:id="rId9"/>
    <sheet name="CCQM-K41.2017" sheetId="56" r:id="rId10"/>
    <sheet name="CCQM-K51" sheetId="57" r:id="rId11"/>
    <sheet name="CCQM-K52" sheetId="58" r:id="rId12"/>
    <sheet name="CCQM-K53" sheetId="59" r:id="rId13"/>
    <sheet name="CCQM-K68" sheetId="60" r:id="rId14"/>
    <sheet name="CCQM-K71" sheetId="61" r:id="rId15"/>
    <sheet name="CCQM-K74" sheetId="85" r:id="rId16"/>
    <sheet name="CCQM-K76" sheetId="62" r:id="rId17"/>
    <sheet name="CCQM-K77" sheetId="63" r:id="rId18"/>
    <sheet name="CCQM-K82" sheetId="64" r:id="rId19"/>
    <sheet name="CCQM-K84" sheetId="65" r:id="rId20"/>
    <sheet name="CCQM-K90" sheetId="46" r:id="rId21"/>
    <sheet name="CCQM-K93" sheetId="67" r:id="rId22"/>
    <sheet name="CCQM-K94" sheetId="66" r:id="rId23"/>
    <sheet name="CCQM-K111" sheetId="69" r:id="rId24"/>
    <sheet name="CCQM-K112" sheetId="80" r:id="rId25"/>
    <sheet name="CCQM-K113" sheetId="84" r:id="rId26"/>
    <sheet name="CCQM-K116" sheetId="81" r:id="rId27"/>
    <sheet name="CCQM-K120" sheetId="48" r:id="rId28"/>
    <sheet name="CCQM-K121" sheetId="82" r:id="rId29"/>
    <sheet name="CCQM-K137" sheetId="43" r:id="rId30"/>
    <sheet name="K137" sheetId="44" r:id="rId31"/>
    <sheet name="COOMET.QM-K76" sheetId="91" r:id="rId32"/>
    <sheet name="COOMET.QM-K111" sheetId="92" r:id="rId33"/>
    <sheet name="EURAMET.QM-K26a" sheetId="97" r:id="rId34"/>
    <sheet name="EURAMET.QM-K111" sheetId="98" r:id="rId35"/>
  </sheets>
  <definedNames>
    <definedName name="_xlnm.Print_Area" localSheetId="30">'K137'!$A$1:$L$41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 i="100" l="1"/>
  <c r="G25" i="100"/>
  <c r="I25" i="100" s="1"/>
  <c r="J25" i="100" s="1"/>
  <c r="K25" i="100" s="1"/>
  <c r="M25" i="100" s="1"/>
  <c r="N25" i="100" s="1"/>
  <c r="O25" i="100" s="1"/>
  <c r="F25" i="100"/>
  <c r="E25" i="100"/>
  <c r="D25" i="100"/>
  <c r="C25" i="100"/>
  <c r="B25" i="100"/>
  <c r="A25" i="100"/>
  <c r="H24" i="100"/>
  <c r="G24" i="100"/>
  <c r="I24" i="100" s="1"/>
  <c r="J24" i="100" s="1"/>
  <c r="F24" i="100"/>
  <c r="E24" i="100"/>
  <c r="D24" i="100"/>
  <c r="C24" i="100"/>
  <c r="L24" i="100" s="1"/>
  <c r="B24" i="100"/>
  <c r="A24" i="100"/>
  <c r="H23" i="100"/>
  <c r="G23" i="100"/>
  <c r="F23" i="100"/>
  <c r="E23" i="100"/>
  <c r="D23" i="100"/>
  <c r="C23" i="100"/>
  <c r="B23" i="100"/>
  <c r="A23" i="100"/>
  <c r="H22" i="100"/>
  <c r="G22" i="100"/>
  <c r="I22" i="100" s="1"/>
  <c r="J22" i="100" s="1"/>
  <c r="K22" i="100" s="1"/>
  <c r="M22" i="100" s="1"/>
  <c r="F22" i="100"/>
  <c r="E22" i="100"/>
  <c r="D22" i="100"/>
  <c r="C22" i="100"/>
  <c r="B22" i="100"/>
  <c r="A22" i="100"/>
  <c r="H21" i="100"/>
  <c r="G21" i="100"/>
  <c r="I21" i="100" s="1"/>
  <c r="J21" i="100" s="1"/>
  <c r="K21" i="100" s="1"/>
  <c r="M21" i="100" s="1"/>
  <c r="N21" i="100" s="1"/>
  <c r="O21" i="100" s="1"/>
  <c r="F21" i="100"/>
  <c r="E21" i="100"/>
  <c r="D21" i="100"/>
  <c r="C21" i="100"/>
  <c r="L21" i="100" s="1"/>
  <c r="B21" i="100"/>
  <c r="A21" i="100"/>
  <c r="H20" i="100"/>
  <c r="G20" i="100"/>
  <c r="F20" i="100"/>
  <c r="E20" i="100"/>
  <c r="D20" i="100"/>
  <c r="C20" i="100"/>
  <c r="L20" i="100" s="1"/>
  <c r="B20" i="100"/>
  <c r="A20" i="100"/>
  <c r="H19" i="100"/>
  <c r="G19" i="100"/>
  <c r="F19" i="100"/>
  <c r="E19" i="100"/>
  <c r="D19" i="100"/>
  <c r="C19" i="100"/>
  <c r="L19" i="100" s="1"/>
  <c r="B19" i="100"/>
  <c r="A19" i="100"/>
  <c r="H18" i="100"/>
  <c r="G18" i="100"/>
  <c r="I18" i="100" s="1"/>
  <c r="J18" i="100" s="1"/>
  <c r="K18" i="100" s="1"/>
  <c r="M18" i="100" s="1"/>
  <c r="F18" i="100"/>
  <c r="E18" i="100"/>
  <c r="D18" i="100"/>
  <c r="C18" i="100"/>
  <c r="L18" i="100" s="1"/>
  <c r="B18" i="100"/>
  <c r="A18" i="100"/>
  <c r="H17" i="100"/>
  <c r="G17" i="100"/>
  <c r="F17" i="100"/>
  <c r="E17" i="100"/>
  <c r="D17" i="100"/>
  <c r="C17" i="100"/>
  <c r="B17" i="100"/>
  <c r="A17" i="100"/>
  <c r="W25" i="100"/>
  <c r="V25" i="100"/>
  <c r="L25" i="100"/>
  <c r="W24" i="100"/>
  <c r="V24" i="100"/>
  <c r="W23" i="100"/>
  <c r="V23" i="100"/>
  <c r="L23" i="100"/>
  <c r="I23" i="100"/>
  <c r="J23" i="100" s="1"/>
  <c r="K23" i="100" s="1"/>
  <c r="M23" i="100" s="1"/>
  <c r="N23" i="100" s="1"/>
  <c r="O23" i="100" s="1"/>
  <c r="W22" i="100"/>
  <c r="V22" i="100"/>
  <c r="L22" i="100"/>
  <c r="W21" i="100"/>
  <c r="V21" i="100"/>
  <c r="W20" i="100"/>
  <c r="V20" i="100"/>
  <c r="I20" i="100"/>
  <c r="J20" i="100" s="1"/>
  <c r="K20" i="100" s="1"/>
  <c r="M20" i="100" s="1"/>
  <c r="W19" i="100"/>
  <c r="V19" i="100"/>
  <c r="W18" i="100"/>
  <c r="V18" i="100"/>
  <c r="W17" i="100"/>
  <c r="V17" i="100"/>
  <c r="L17" i="100"/>
  <c r="I17" i="100"/>
  <c r="R18" i="43"/>
  <c r="S18" i="43"/>
  <c r="R19" i="43"/>
  <c r="S19" i="43"/>
  <c r="R20" i="43"/>
  <c r="S20" i="43"/>
  <c r="R21" i="43"/>
  <c r="S21" i="43"/>
  <c r="R22" i="43"/>
  <c r="S22" i="43"/>
  <c r="R23" i="43"/>
  <c r="S23" i="43"/>
  <c r="R24" i="43"/>
  <c r="S24" i="43"/>
  <c r="R25" i="43"/>
  <c r="S25" i="43"/>
  <c r="R26" i="43"/>
  <c r="S26" i="43"/>
  <c r="R27" i="43"/>
  <c r="S27" i="43"/>
  <c r="R28" i="43"/>
  <c r="S28" i="43"/>
  <c r="I41" i="84"/>
  <c r="J41" i="84" s="1"/>
  <c r="K41" i="84" s="1"/>
  <c r="M41" i="84" s="1"/>
  <c r="I40" i="84"/>
  <c r="J40" i="84" s="1"/>
  <c r="K40" i="84" s="1"/>
  <c r="M40" i="84" s="1"/>
  <c r="L40" i="84"/>
  <c r="L41" i="84"/>
  <c r="V40" i="84"/>
  <c r="W40" i="84"/>
  <c r="V41" i="84"/>
  <c r="W41" i="84"/>
  <c r="H106" i="80"/>
  <c r="G106" i="80"/>
  <c r="F106" i="80"/>
  <c r="E106" i="80"/>
  <c r="H105" i="80"/>
  <c r="G105" i="80"/>
  <c r="F105" i="80"/>
  <c r="E105" i="80"/>
  <c r="H104" i="80"/>
  <c r="G104" i="80"/>
  <c r="F104" i="80"/>
  <c r="E104" i="80"/>
  <c r="H103" i="80"/>
  <c r="G103" i="80"/>
  <c r="F103" i="80"/>
  <c r="E103" i="80"/>
  <c r="H102" i="80"/>
  <c r="G102" i="80"/>
  <c r="F102" i="80"/>
  <c r="E102" i="80"/>
  <c r="H101" i="80"/>
  <c r="G101" i="80"/>
  <c r="F101" i="80"/>
  <c r="E101" i="80"/>
  <c r="H100" i="80"/>
  <c r="G100" i="80"/>
  <c r="F100" i="80"/>
  <c r="E100" i="80"/>
  <c r="H99" i="80"/>
  <c r="G99" i="80"/>
  <c r="F99" i="80"/>
  <c r="E99" i="80"/>
  <c r="H98" i="80"/>
  <c r="G98" i="80"/>
  <c r="F98" i="80"/>
  <c r="E98" i="80"/>
  <c r="H97" i="80"/>
  <c r="G97" i="80"/>
  <c r="F97" i="80"/>
  <c r="E97" i="80"/>
  <c r="G85" i="80"/>
  <c r="H85" i="80"/>
  <c r="G86" i="80"/>
  <c r="H86" i="80"/>
  <c r="G87" i="80"/>
  <c r="H87" i="80"/>
  <c r="G88" i="80"/>
  <c r="H88" i="80"/>
  <c r="G89" i="80"/>
  <c r="H89" i="80"/>
  <c r="G90" i="80"/>
  <c r="H90" i="80"/>
  <c r="G91" i="80"/>
  <c r="H91" i="80"/>
  <c r="G92" i="80"/>
  <c r="H92" i="80"/>
  <c r="G93" i="80"/>
  <c r="H93" i="80"/>
  <c r="H84" i="80"/>
  <c r="G84" i="80"/>
  <c r="F85" i="80"/>
  <c r="F86" i="80"/>
  <c r="F87" i="80"/>
  <c r="F88" i="80"/>
  <c r="F89" i="80"/>
  <c r="F90" i="80"/>
  <c r="F91" i="80"/>
  <c r="F92" i="80"/>
  <c r="F93" i="80"/>
  <c r="F84" i="80"/>
  <c r="E85" i="80"/>
  <c r="E86" i="80"/>
  <c r="E87" i="80"/>
  <c r="E88" i="80"/>
  <c r="E89" i="80"/>
  <c r="E90" i="80"/>
  <c r="E91" i="80"/>
  <c r="E92" i="80"/>
  <c r="E93" i="80"/>
  <c r="E84" i="80"/>
  <c r="A18" i="98"/>
  <c r="B18" i="98"/>
  <c r="C18" i="98"/>
  <c r="D18" i="98"/>
  <c r="E18" i="98"/>
  <c r="F18" i="98"/>
  <c r="G18" i="98"/>
  <c r="H18" i="98"/>
  <c r="I18" i="98" s="1"/>
  <c r="J18" i="98" s="1"/>
  <c r="K18" i="98" s="1"/>
  <c r="M18" i="98" s="1"/>
  <c r="A19" i="98"/>
  <c r="B19" i="98"/>
  <c r="C19" i="98"/>
  <c r="D19" i="98"/>
  <c r="E19" i="98"/>
  <c r="F19" i="98"/>
  <c r="G19" i="98"/>
  <c r="H19" i="98"/>
  <c r="I19" i="98" s="1"/>
  <c r="J19" i="98" s="1"/>
  <c r="K19" i="98" s="1"/>
  <c r="M19" i="98" s="1"/>
  <c r="N19" i="98" s="1"/>
  <c r="O19" i="98" s="1"/>
  <c r="A20" i="98"/>
  <c r="B20" i="98"/>
  <c r="C20" i="98"/>
  <c r="D20" i="98"/>
  <c r="E20" i="98"/>
  <c r="F20" i="98"/>
  <c r="G20" i="98"/>
  <c r="H20" i="98"/>
  <c r="I20" i="98" s="1"/>
  <c r="J20" i="98" s="1"/>
  <c r="K20" i="98" s="1"/>
  <c r="M20" i="98" s="1"/>
  <c r="N20" i="98" s="1"/>
  <c r="O20" i="98" s="1"/>
  <c r="A21" i="98"/>
  <c r="B21" i="98"/>
  <c r="C21" i="98"/>
  <c r="D21" i="98"/>
  <c r="E21" i="98"/>
  <c r="F21" i="98"/>
  <c r="G21" i="98"/>
  <c r="H21" i="98"/>
  <c r="I21" i="98" s="1"/>
  <c r="J21" i="98" s="1"/>
  <c r="K21" i="98" s="1"/>
  <c r="M21" i="98" s="1"/>
  <c r="N21" i="98" s="1"/>
  <c r="O21" i="98" s="1"/>
  <c r="A22" i="98"/>
  <c r="B22" i="98"/>
  <c r="C22" i="98"/>
  <c r="D22" i="98"/>
  <c r="E22" i="98"/>
  <c r="F22" i="98"/>
  <c r="G22" i="98"/>
  <c r="H22" i="98"/>
  <c r="I22" i="98" s="1"/>
  <c r="J22" i="98" s="1"/>
  <c r="K22" i="98" s="1"/>
  <c r="M22" i="98" s="1"/>
  <c r="A23" i="98"/>
  <c r="B23" i="98"/>
  <c r="C23" i="98"/>
  <c r="D23" i="98"/>
  <c r="E23" i="98"/>
  <c r="F23" i="98"/>
  <c r="G23" i="98"/>
  <c r="H23" i="98"/>
  <c r="I23" i="98" s="1"/>
  <c r="J23" i="98" s="1"/>
  <c r="K23" i="98" s="1"/>
  <c r="M23" i="98" s="1"/>
  <c r="N23" i="98" s="1"/>
  <c r="O23" i="98" s="1"/>
  <c r="A24" i="98"/>
  <c r="B24" i="98"/>
  <c r="C24" i="98"/>
  <c r="D24" i="98"/>
  <c r="E24" i="98"/>
  <c r="F24" i="98"/>
  <c r="G24" i="98"/>
  <c r="H24" i="98"/>
  <c r="I24" i="98" s="1"/>
  <c r="J24" i="98" s="1"/>
  <c r="K24" i="98" s="1"/>
  <c r="M24" i="98" s="1"/>
  <c r="N24" i="98" s="1"/>
  <c r="O24" i="98" s="1"/>
  <c r="A25" i="98"/>
  <c r="B25" i="98"/>
  <c r="C25" i="98"/>
  <c r="D25" i="98"/>
  <c r="E25" i="98"/>
  <c r="F25" i="98"/>
  <c r="G25" i="98"/>
  <c r="H25" i="98"/>
  <c r="I25" i="98" s="1"/>
  <c r="J25" i="98" s="1"/>
  <c r="K25" i="98" s="1"/>
  <c r="M25" i="98" s="1"/>
  <c r="N25" i="98" s="1"/>
  <c r="O25" i="98" s="1"/>
  <c r="H17" i="98"/>
  <c r="G17" i="98"/>
  <c r="F17" i="98"/>
  <c r="E17" i="98"/>
  <c r="D17" i="98"/>
  <c r="C17" i="98"/>
  <c r="L17" i="98" s="1"/>
  <c r="B17" i="98"/>
  <c r="A17" i="98"/>
  <c r="W25" i="98"/>
  <c r="V25" i="98"/>
  <c r="L25" i="98"/>
  <c r="W24" i="98"/>
  <c r="V24" i="98"/>
  <c r="L24" i="98"/>
  <c r="W23" i="98"/>
  <c r="V23" i="98"/>
  <c r="L23" i="98"/>
  <c r="W22" i="98"/>
  <c r="V22" i="98"/>
  <c r="L22" i="98"/>
  <c r="W21" i="98"/>
  <c r="V21" i="98"/>
  <c r="L21" i="98"/>
  <c r="W20" i="98"/>
  <c r="V20" i="98"/>
  <c r="L20" i="98"/>
  <c r="W19" i="98"/>
  <c r="V19" i="98"/>
  <c r="L19" i="98"/>
  <c r="W18" i="98"/>
  <c r="V18" i="98"/>
  <c r="L18" i="98"/>
  <c r="W17" i="98"/>
  <c r="V17" i="98"/>
  <c r="A18" i="97"/>
  <c r="B18" i="97"/>
  <c r="C18" i="97"/>
  <c r="D18" i="97"/>
  <c r="E18" i="97"/>
  <c r="G18" i="97" s="1"/>
  <c r="I18" i="97" s="1"/>
  <c r="J18" i="97" s="1"/>
  <c r="K18" i="97" s="1"/>
  <c r="M18" i="97" s="1"/>
  <c r="F18" i="97"/>
  <c r="H18" i="97"/>
  <c r="A19" i="97"/>
  <c r="B19" i="97"/>
  <c r="C19" i="97"/>
  <c r="D19" i="97"/>
  <c r="E19" i="97"/>
  <c r="G19" i="97" s="1"/>
  <c r="I19" i="97" s="1"/>
  <c r="J19" i="97" s="1"/>
  <c r="K19" i="97" s="1"/>
  <c r="M19" i="97" s="1"/>
  <c r="N19" i="97" s="1"/>
  <c r="O19" i="97" s="1"/>
  <c r="F19" i="97"/>
  <c r="H19" i="97"/>
  <c r="A20" i="97"/>
  <c r="B20" i="97"/>
  <c r="C20" i="97"/>
  <c r="D20" i="97"/>
  <c r="E20" i="97"/>
  <c r="G20" i="97" s="1"/>
  <c r="F20" i="97"/>
  <c r="H20" i="97"/>
  <c r="A21" i="97"/>
  <c r="B21" i="97"/>
  <c r="C21" i="97"/>
  <c r="D21" i="97"/>
  <c r="H21" i="97" s="1"/>
  <c r="E21" i="97"/>
  <c r="G21" i="97" s="1"/>
  <c r="F21" i="97"/>
  <c r="A22" i="97"/>
  <c r="B22" i="97"/>
  <c r="C22" i="97"/>
  <c r="D22" i="97"/>
  <c r="H22" i="97" s="1"/>
  <c r="E22" i="97"/>
  <c r="G22" i="97" s="1"/>
  <c r="I22" i="97" s="1"/>
  <c r="J22" i="97" s="1"/>
  <c r="K22" i="97" s="1"/>
  <c r="M22" i="97" s="1"/>
  <c r="F22" i="97"/>
  <c r="A23" i="97"/>
  <c r="B23" i="97"/>
  <c r="C23" i="97"/>
  <c r="D23" i="97"/>
  <c r="H23" i="97" s="1"/>
  <c r="E23" i="97"/>
  <c r="G23" i="97" s="1"/>
  <c r="F23" i="97"/>
  <c r="A24" i="97"/>
  <c r="B24" i="97"/>
  <c r="C24" i="97"/>
  <c r="D24" i="97"/>
  <c r="H24" i="97" s="1"/>
  <c r="E24" i="97"/>
  <c r="G24" i="97" s="1"/>
  <c r="I24" i="97" s="1"/>
  <c r="J24" i="97" s="1"/>
  <c r="K24" i="97" s="1"/>
  <c r="M24" i="97" s="1"/>
  <c r="N24" i="97" s="1"/>
  <c r="O24" i="97" s="1"/>
  <c r="F24" i="97"/>
  <c r="A25" i="97"/>
  <c r="B25" i="97"/>
  <c r="C25" i="97"/>
  <c r="D25" i="97"/>
  <c r="H25" i="97" s="1"/>
  <c r="E25" i="97"/>
  <c r="G25" i="97" s="1"/>
  <c r="F25" i="97"/>
  <c r="A26" i="97"/>
  <c r="B26" i="97"/>
  <c r="C26" i="97"/>
  <c r="D26" i="97"/>
  <c r="H26" i="97" s="1"/>
  <c r="E26" i="97"/>
  <c r="G26" i="97" s="1"/>
  <c r="I26" i="97" s="1"/>
  <c r="J26" i="97" s="1"/>
  <c r="K26" i="97" s="1"/>
  <c r="M26" i="97" s="1"/>
  <c r="F26" i="97"/>
  <c r="A27" i="97"/>
  <c r="B27" i="97"/>
  <c r="C27" i="97"/>
  <c r="D27" i="97"/>
  <c r="E27" i="97"/>
  <c r="G27" i="97" s="1"/>
  <c r="I27" i="97" s="1"/>
  <c r="J27" i="97" s="1"/>
  <c r="K27" i="97" s="1"/>
  <c r="M27" i="97" s="1"/>
  <c r="F27" i="97"/>
  <c r="H27" i="97"/>
  <c r="A28" i="97"/>
  <c r="B28" i="97"/>
  <c r="C28" i="97"/>
  <c r="D28" i="97"/>
  <c r="E28" i="97"/>
  <c r="G28" i="97" s="1"/>
  <c r="I28" i="97" s="1"/>
  <c r="J28" i="97" s="1"/>
  <c r="K28" i="97" s="1"/>
  <c r="M28" i="97" s="1"/>
  <c r="F28" i="97"/>
  <c r="H28" i="97"/>
  <c r="A29" i="97"/>
  <c r="B29" i="97"/>
  <c r="C29" i="97"/>
  <c r="D29" i="97"/>
  <c r="E29" i="97"/>
  <c r="G29" i="97" s="1"/>
  <c r="I29" i="97" s="1"/>
  <c r="J29" i="97" s="1"/>
  <c r="K29" i="97" s="1"/>
  <c r="M29" i="97" s="1"/>
  <c r="N29" i="97" s="1"/>
  <c r="O29" i="97" s="1"/>
  <c r="F29" i="97"/>
  <c r="H29" i="97"/>
  <c r="A30" i="97"/>
  <c r="B30" i="97"/>
  <c r="C30" i="97"/>
  <c r="D30" i="97"/>
  <c r="E30" i="97"/>
  <c r="G30" i="97" s="1"/>
  <c r="F30" i="97"/>
  <c r="H30" i="97"/>
  <c r="A31" i="97"/>
  <c r="B31" i="97"/>
  <c r="C31" i="97"/>
  <c r="D31" i="97"/>
  <c r="E31" i="97"/>
  <c r="G31" i="97" s="1"/>
  <c r="I31" i="97" s="1"/>
  <c r="J31" i="97" s="1"/>
  <c r="K31" i="97" s="1"/>
  <c r="M31" i="97" s="1"/>
  <c r="F31" i="97"/>
  <c r="H31" i="97"/>
  <c r="F17" i="97"/>
  <c r="H17" i="97" s="1"/>
  <c r="G17" i="97"/>
  <c r="D17" i="97"/>
  <c r="C17" i="97"/>
  <c r="E17" i="97"/>
  <c r="B17" i="97"/>
  <c r="A17" i="97"/>
  <c r="W31" i="97"/>
  <c r="V31" i="97"/>
  <c r="L31" i="97"/>
  <c r="W30" i="97"/>
  <c r="V30" i="97"/>
  <c r="L30" i="97"/>
  <c r="W29" i="97"/>
  <c r="V29" i="97"/>
  <c r="L29" i="97"/>
  <c r="W28" i="97"/>
  <c r="V28" i="97"/>
  <c r="L28" i="97"/>
  <c r="W27" i="97"/>
  <c r="V27" i="97"/>
  <c r="L27" i="97"/>
  <c r="W26" i="97"/>
  <c r="V26" i="97"/>
  <c r="L26" i="97"/>
  <c r="W25" i="97"/>
  <c r="V25" i="97"/>
  <c r="L25" i="97"/>
  <c r="W24" i="97"/>
  <c r="V24" i="97"/>
  <c r="L24" i="97"/>
  <c r="W23" i="97"/>
  <c r="V23" i="97"/>
  <c r="L23" i="97"/>
  <c r="W22" i="97"/>
  <c r="V22" i="97"/>
  <c r="L22" i="97"/>
  <c r="W21" i="97"/>
  <c r="V21" i="97"/>
  <c r="L21" i="97"/>
  <c r="W20" i="97"/>
  <c r="V20" i="97"/>
  <c r="L20" i="97"/>
  <c r="W19" i="97"/>
  <c r="V19" i="97"/>
  <c r="L19" i="97"/>
  <c r="W18" i="97"/>
  <c r="V18" i="97"/>
  <c r="L18" i="97"/>
  <c r="W17" i="97"/>
  <c r="V17" i="97"/>
  <c r="L17" i="97"/>
  <c r="H20" i="92"/>
  <c r="H19" i="92"/>
  <c r="H18" i="92"/>
  <c r="H17" i="92"/>
  <c r="G20" i="92"/>
  <c r="G19" i="92"/>
  <c r="G18" i="92"/>
  <c r="G17" i="92"/>
  <c r="F20" i="92"/>
  <c r="F19" i="92"/>
  <c r="F18" i="92"/>
  <c r="F17" i="92"/>
  <c r="I17" i="92"/>
  <c r="J17" i="92" s="1"/>
  <c r="K17" i="92" s="1"/>
  <c r="M17" i="92" s="1"/>
  <c r="E20" i="92"/>
  <c r="I19" i="92"/>
  <c r="J19" i="92" s="1"/>
  <c r="K19" i="92" s="1"/>
  <c r="M19" i="92" s="1"/>
  <c r="N19" i="92" s="1"/>
  <c r="O19" i="92" s="1"/>
  <c r="E19" i="92"/>
  <c r="E18" i="92"/>
  <c r="E17" i="92"/>
  <c r="D20" i="92"/>
  <c r="D19" i="92"/>
  <c r="D18" i="92"/>
  <c r="D17" i="92"/>
  <c r="B17" i="92"/>
  <c r="C17" i="92"/>
  <c r="B18" i="92"/>
  <c r="C18" i="92"/>
  <c r="L18" i="92" s="1"/>
  <c r="B19" i="92"/>
  <c r="C19" i="92"/>
  <c r="B20" i="92"/>
  <c r="C20" i="92"/>
  <c r="L20" i="92" s="1"/>
  <c r="A20" i="92"/>
  <c r="A19" i="92"/>
  <c r="A18" i="92"/>
  <c r="A17" i="92"/>
  <c r="W20" i="92"/>
  <c r="V20" i="92"/>
  <c r="I20" i="92"/>
  <c r="W19" i="92"/>
  <c r="V19" i="92"/>
  <c r="L19" i="92"/>
  <c r="W18" i="92"/>
  <c r="V18" i="92"/>
  <c r="I18" i="92"/>
  <c r="W17" i="92"/>
  <c r="V17" i="92"/>
  <c r="L17" i="92"/>
  <c r="H20" i="91"/>
  <c r="H19" i="91"/>
  <c r="H18" i="91"/>
  <c r="H17" i="91"/>
  <c r="G17" i="91"/>
  <c r="G18" i="91"/>
  <c r="I18" i="91" s="1"/>
  <c r="G19" i="91"/>
  <c r="G20" i="91"/>
  <c r="I20" i="91" s="1"/>
  <c r="J20" i="91" s="1"/>
  <c r="E17" i="91"/>
  <c r="F17" i="91"/>
  <c r="E18" i="91"/>
  <c r="F18" i="91"/>
  <c r="E19" i="91"/>
  <c r="F19" i="91"/>
  <c r="E20" i="91"/>
  <c r="F20" i="91"/>
  <c r="D18" i="91"/>
  <c r="D19" i="91"/>
  <c r="D20" i="91"/>
  <c r="D17" i="91"/>
  <c r="I19" i="91"/>
  <c r="J19" i="91" s="1"/>
  <c r="K19" i="91" s="1"/>
  <c r="M19" i="91" s="1"/>
  <c r="A18" i="91"/>
  <c r="B18" i="91"/>
  <c r="C18" i="91"/>
  <c r="A19" i="91"/>
  <c r="B19" i="91"/>
  <c r="C19" i="91"/>
  <c r="A20" i="91"/>
  <c r="B20" i="91"/>
  <c r="C20" i="91"/>
  <c r="B17" i="91"/>
  <c r="C17" i="91"/>
  <c r="A17" i="91"/>
  <c r="W20" i="91"/>
  <c r="V20" i="91"/>
  <c r="L20" i="91"/>
  <c r="W19" i="91"/>
  <c r="V19" i="91"/>
  <c r="L19" i="91"/>
  <c r="W18" i="91"/>
  <c r="V18" i="91"/>
  <c r="L18" i="91"/>
  <c r="W17" i="91"/>
  <c r="V17" i="91"/>
  <c r="L17" i="91"/>
  <c r="I17" i="91"/>
  <c r="J17" i="91" s="1"/>
  <c r="K17" i="91" s="1"/>
  <c r="M17" i="91" s="1"/>
  <c r="N17" i="91" s="1"/>
  <c r="O17" i="91" s="1"/>
  <c r="C17" i="46"/>
  <c r="E17" i="46"/>
  <c r="I19" i="100" l="1"/>
  <c r="J19" i="100" s="1"/>
  <c r="K19" i="100" s="1"/>
  <c r="M19" i="100" s="1"/>
  <c r="N19" i="100" s="1"/>
  <c r="O19" i="100" s="1"/>
  <c r="S18" i="100"/>
  <c r="U18" i="100" s="1"/>
  <c r="Y18" i="100" s="1"/>
  <c r="K24" i="100"/>
  <c r="M24" i="100" s="1"/>
  <c r="N24" i="100" s="1"/>
  <c r="O24" i="100" s="1"/>
  <c r="J17" i="100"/>
  <c r="K17" i="100" s="1"/>
  <c r="M17" i="100" s="1"/>
  <c r="R17" i="100" s="1"/>
  <c r="T17" i="100" s="1"/>
  <c r="X17" i="100" s="1"/>
  <c r="R22" i="100"/>
  <c r="T22" i="100" s="1"/>
  <c r="X22" i="100" s="1"/>
  <c r="N22" i="100"/>
  <c r="O22" i="100" s="1"/>
  <c r="S22" i="100"/>
  <c r="U22" i="100" s="1"/>
  <c r="Y22" i="100" s="1"/>
  <c r="N20" i="100"/>
  <c r="O20" i="100" s="1"/>
  <c r="S20" i="100"/>
  <c r="U20" i="100" s="1"/>
  <c r="Y20" i="100" s="1"/>
  <c r="R20" i="100"/>
  <c r="T20" i="100" s="1"/>
  <c r="X20" i="100" s="1"/>
  <c r="S25" i="100"/>
  <c r="U25" i="100" s="1"/>
  <c r="Y25" i="100" s="1"/>
  <c r="R18" i="100"/>
  <c r="T18" i="100" s="1"/>
  <c r="X18" i="100" s="1"/>
  <c r="N18" i="100"/>
  <c r="O18" i="100" s="1"/>
  <c r="S23" i="100"/>
  <c r="U23" i="100" s="1"/>
  <c r="Y23" i="100" s="1"/>
  <c r="S21" i="100"/>
  <c r="U21" i="100" s="1"/>
  <c r="Y21" i="100" s="1"/>
  <c r="S24" i="100"/>
  <c r="U24" i="100" s="1"/>
  <c r="Y24" i="100" s="1"/>
  <c r="R21" i="100"/>
  <c r="T21" i="100" s="1"/>
  <c r="X21" i="100" s="1"/>
  <c r="R25" i="100"/>
  <c r="T25" i="100" s="1"/>
  <c r="X25" i="100" s="1"/>
  <c r="R19" i="100"/>
  <c r="T19" i="100" s="1"/>
  <c r="X19" i="100" s="1"/>
  <c r="R23" i="100"/>
  <c r="T23" i="100" s="1"/>
  <c r="X23" i="100" s="1"/>
  <c r="S41" i="84"/>
  <c r="U41" i="84" s="1"/>
  <c r="Y41" i="84" s="1"/>
  <c r="N41" i="84"/>
  <c r="O41" i="84" s="1"/>
  <c r="R41" i="84"/>
  <c r="T41" i="84" s="1"/>
  <c r="X41" i="84" s="1"/>
  <c r="R40" i="84"/>
  <c r="T40" i="84" s="1"/>
  <c r="X40" i="84" s="1"/>
  <c r="S40" i="84"/>
  <c r="U40" i="84" s="1"/>
  <c r="Y40" i="84" s="1"/>
  <c r="N40" i="84"/>
  <c r="O40" i="84" s="1"/>
  <c r="R18" i="98"/>
  <c r="T18" i="98" s="1"/>
  <c r="X18" i="98" s="1"/>
  <c r="S23" i="98"/>
  <c r="U23" i="98" s="1"/>
  <c r="Y23" i="98" s="1"/>
  <c r="S24" i="98"/>
  <c r="U24" i="98" s="1"/>
  <c r="Y24" i="98" s="1"/>
  <c r="S25" i="98"/>
  <c r="U25" i="98" s="1"/>
  <c r="Y25" i="98" s="1"/>
  <c r="I17" i="98"/>
  <c r="J17" i="98" s="1"/>
  <c r="K17" i="98" s="1"/>
  <c r="M17" i="98" s="1"/>
  <c r="N17" i="98" s="1"/>
  <c r="O17" i="98" s="1"/>
  <c r="S22" i="98"/>
  <c r="U22" i="98" s="1"/>
  <c r="Y22" i="98" s="1"/>
  <c r="N22" i="98"/>
  <c r="O22" i="98" s="1"/>
  <c r="S19" i="98"/>
  <c r="U19" i="98" s="1"/>
  <c r="Y19" i="98" s="1"/>
  <c r="S20" i="98"/>
  <c r="U20" i="98" s="1"/>
  <c r="Y20" i="98" s="1"/>
  <c r="R21" i="98"/>
  <c r="T21" i="98" s="1"/>
  <c r="X21" i="98" s="1"/>
  <c r="R22" i="98"/>
  <c r="T22" i="98" s="1"/>
  <c r="X22" i="98" s="1"/>
  <c r="S18" i="98"/>
  <c r="U18" i="98" s="1"/>
  <c r="Y18" i="98" s="1"/>
  <c r="N18" i="98"/>
  <c r="O18" i="98" s="1"/>
  <c r="R25" i="98"/>
  <c r="T25" i="98" s="1"/>
  <c r="X25" i="98" s="1"/>
  <c r="R20" i="98"/>
  <c r="T20" i="98" s="1"/>
  <c r="X20" i="98" s="1"/>
  <c r="S21" i="98"/>
  <c r="U21" i="98" s="1"/>
  <c r="Y21" i="98" s="1"/>
  <c r="R24" i="98"/>
  <c r="T24" i="98" s="1"/>
  <c r="X24" i="98" s="1"/>
  <c r="R19" i="98"/>
  <c r="T19" i="98" s="1"/>
  <c r="X19" i="98" s="1"/>
  <c r="R23" i="98"/>
  <c r="T23" i="98" s="1"/>
  <c r="X23" i="98" s="1"/>
  <c r="I30" i="97"/>
  <c r="J30" i="97" s="1"/>
  <c r="K30" i="97" s="1"/>
  <c r="M30" i="97" s="1"/>
  <c r="I20" i="97"/>
  <c r="J20" i="97" s="1"/>
  <c r="K20" i="97" s="1"/>
  <c r="M20" i="97" s="1"/>
  <c r="N20" i="97" s="1"/>
  <c r="O20" i="97" s="1"/>
  <c r="N31" i="97"/>
  <c r="O31" i="97" s="1"/>
  <c r="N27" i="97"/>
  <c r="O27" i="97" s="1"/>
  <c r="N28" i="97"/>
  <c r="O28" i="97" s="1"/>
  <c r="I25" i="97"/>
  <c r="J25" i="97" s="1"/>
  <c r="K25" i="97" s="1"/>
  <c r="M25" i="97" s="1"/>
  <c r="N25" i="97" s="1"/>
  <c r="O25" i="97" s="1"/>
  <c r="I23" i="97"/>
  <c r="J23" i="97" s="1"/>
  <c r="K23" i="97" s="1"/>
  <c r="M23" i="97" s="1"/>
  <c r="N23" i="97" s="1"/>
  <c r="O23" i="97" s="1"/>
  <c r="I21" i="97"/>
  <c r="J21" i="97" s="1"/>
  <c r="K21" i="97" s="1"/>
  <c r="M21" i="97" s="1"/>
  <c r="N21" i="97" s="1"/>
  <c r="O21" i="97" s="1"/>
  <c r="R26" i="97"/>
  <c r="T26" i="97" s="1"/>
  <c r="X26" i="97" s="1"/>
  <c r="S27" i="97"/>
  <c r="U27" i="97" s="1"/>
  <c r="Y27" i="97" s="1"/>
  <c r="S28" i="97"/>
  <c r="U28" i="97" s="1"/>
  <c r="Y28" i="97" s="1"/>
  <c r="R29" i="97"/>
  <c r="T29" i="97" s="1"/>
  <c r="X29" i="97" s="1"/>
  <c r="R30" i="97"/>
  <c r="T30" i="97" s="1"/>
  <c r="X30" i="97" s="1"/>
  <c r="S24" i="97"/>
  <c r="U24" i="97" s="1"/>
  <c r="Y24" i="97" s="1"/>
  <c r="R18" i="97"/>
  <c r="T18" i="97" s="1"/>
  <c r="X18" i="97" s="1"/>
  <c r="S31" i="97"/>
  <c r="U31" i="97" s="1"/>
  <c r="Y31" i="97" s="1"/>
  <c r="R25" i="97"/>
  <c r="T25" i="97" s="1"/>
  <c r="X25" i="97" s="1"/>
  <c r="I17" i="97"/>
  <c r="J17" i="97" s="1"/>
  <c r="K17" i="97" s="1"/>
  <c r="M17" i="97" s="1"/>
  <c r="N17" i="97" s="1"/>
  <c r="O17" i="97" s="1"/>
  <c r="S22" i="97"/>
  <c r="U22" i="97" s="1"/>
  <c r="Y22" i="97" s="1"/>
  <c r="N22" i="97"/>
  <c r="O22" i="97" s="1"/>
  <c r="S19" i="97"/>
  <c r="U19" i="97" s="1"/>
  <c r="Y19" i="97" s="1"/>
  <c r="S20" i="97"/>
  <c r="U20" i="97" s="1"/>
  <c r="Y20" i="97" s="1"/>
  <c r="R21" i="97"/>
  <c r="T21" i="97" s="1"/>
  <c r="X21" i="97" s="1"/>
  <c r="R22" i="97"/>
  <c r="T22" i="97" s="1"/>
  <c r="X22" i="97" s="1"/>
  <c r="N26" i="97"/>
  <c r="O26" i="97" s="1"/>
  <c r="S26" i="97"/>
  <c r="U26" i="97" s="1"/>
  <c r="Y26" i="97" s="1"/>
  <c r="S30" i="97"/>
  <c r="U30" i="97" s="1"/>
  <c r="Y30" i="97" s="1"/>
  <c r="N30" i="97"/>
  <c r="O30" i="97" s="1"/>
  <c r="S18" i="97"/>
  <c r="U18" i="97" s="1"/>
  <c r="Y18" i="97" s="1"/>
  <c r="N18" i="97"/>
  <c r="O18" i="97" s="1"/>
  <c r="R20" i="97"/>
  <c r="T20" i="97" s="1"/>
  <c r="X20" i="97" s="1"/>
  <c r="R24" i="97"/>
  <c r="T24" i="97" s="1"/>
  <c r="X24" i="97" s="1"/>
  <c r="S25" i="97"/>
  <c r="U25" i="97" s="1"/>
  <c r="Y25" i="97" s="1"/>
  <c r="R28" i="97"/>
  <c r="T28" i="97" s="1"/>
  <c r="X28" i="97" s="1"/>
  <c r="S29" i="97"/>
  <c r="U29" i="97" s="1"/>
  <c r="Y29" i="97" s="1"/>
  <c r="R19" i="97"/>
  <c r="T19" i="97" s="1"/>
  <c r="X19" i="97" s="1"/>
  <c r="R23" i="97"/>
  <c r="T23" i="97" s="1"/>
  <c r="X23" i="97" s="1"/>
  <c r="R27" i="97"/>
  <c r="T27" i="97" s="1"/>
  <c r="X27" i="97" s="1"/>
  <c r="R31" i="97"/>
  <c r="T31" i="97" s="1"/>
  <c r="X31" i="97" s="1"/>
  <c r="J20" i="92"/>
  <c r="K20" i="92" s="1"/>
  <c r="M20" i="92" s="1"/>
  <c r="S17" i="92"/>
  <c r="U17" i="92" s="1"/>
  <c r="Y17" i="92" s="1"/>
  <c r="J18" i="92"/>
  <c r="K18" i="92" s="1"/>
  <c r="M18" i="92" s="1"/>
  <c r="R18" i="92" s="1"/>
  <c r="T18" i="92" s="1"/>
  <c r="X18" i="92" s="1"/>
  <c r="N20" i="92"/>
  <c r="O20" i="92" s="1"/>
  <c r="S20" i="92"/>
  <c r="U20" i="92" s="1"/>
  <c r="Y20" i="92" s="1"/>
  <c r="S19" i="92"/>
  <c r="U19" i="92" s="1"/>
  <c r="Y19" i="92" s="1"/>
  <c r="R20" i="92"/>
  <c r="T20" i="92" s="1"/>
  <c r="X20" i="92" s="1"/>
  <c r="R17" i="92"/>
  <c r="T17" i="92" s="1"/>
  <c r="X17" i="92" s="1"/>
  <c r="N17" i="92"/>
  <c r="O17" i="92" s="1"/>
  <c r="R19" i="92"/>
  <c r="T19" i="92" s="1"/>
  <c r="X19" i="92" s="1"/>
  <c r="K20" i="91"/>
  <c r="M20" i="91" s="1"/>
  <c r="N20" i="91" s="1"/>
  <c r="O20" i="91" s="1"/>
  <c r="J18" i="91"/>
  <c r="K18" i="91" s="1"/>
  <c r="M18" i="91" s="1"/>
  <c r="R18" i="91" s="1"/>
  <c r="T18" i="91" s="1"/>
  <c r="X18" i="91" s="1"/>
  <c r="N19" i="91"/>
  <c r="O19" i="91" s="1"/>
  <c r="R17" i="91"/>
  <c r="T17" i="91" s="1"/>
  <c r="X17" i="91" s="1"/>
  <c r="S19" i="91"/>
  <c r="U19" i="91" s="1"/>
  <c r="Y19" i="91" s="1"/>
  <c r="S20" i="91"/>
  <c r="U20" i="91" s="1"/>
  <c r="Y20" i="91" s="1"/>
  <c r="N18" i="91"/>
  <c r="O18" i="91" s="1"/>
  <c r="S17" i="91"/>
  <c r="U17" i="91" s="1"/>
  <c r="Y17" i="91" s="1"/>
  <c r="R20" i="91"/>
  <c r="T20" i="91" s="1"/>
  <c r="X20" i="91" s="1"/>
  <c r="R19" i="91"/>
  <c r="T19" i="91" s="1"/>
  <c r="X19" i="91" s="1"/>
  <c r="R24" i="100" l="1"/>
  <c r="T24" i="100" s="1"/>
  <c r="X24" i="100" s="1"/>
  <c r="S19" i="100"/>
  <c r="U19" i="100" s="1"/>
  <c r="Y19" i="100" s="1"/>
  <c r="S17" i="100"/>
  <c r="U17" i="100" s="1"/>
  <c r="Y17" i="100" s="1"/>
  <c r="N17" i="100"/>
  <c r="O17" i="100" s="1"/>
  <c r="R17" i="98"/>
  <c r="T17" i="98" s="1"/>
  <c r="X17" i="98" s="1"/>
  <c r="S17" i="98"/>
  <c r="U17" i="98" s="1"/>
  <c r="Y17" i="98" s="1"/>
  <c r="S21" i="97"/>
  <c r="U21" i="97" s="1"/>
  <c r="Y21" i="97" s="1"/>
  <c r="S23" i="97"/>
  <c r="U23" i="97" s="1"/>
  <c r="Y23" i="97" s="1"/>
  <c r="S17" i="97"/>
  <c r="U17" i="97" s="1"/>
  <c r="Y17" i="97" s="1"/>
  <c r="R17" i="97"/>
  <c r="T17" i="97" s="1"/>
  <c r="X17" i="97" s="1"/>
  <c r="N18" i="92"/>
  <c r="O18" i="92" s="1"/>
  <c r="S18" i="92"/>
  <c r="U18" i="92" s="1"/>
  <c r="Y18" i="92" s="1"/>
  <c r="S18" i="91"/>
  <c r="U18" i="91" s="1"/>
  <c r="Y18" i="91" s="1"/>
  <c r="S66" i="48" l="1"/>
  <c r="R66" i="48"/>
  <c r="S65" i="48"/>
  <c r="R65" i="48"/>
  <c r="S64" i="48"/>
  <c r="R64" i="48"/>
  <c r="S63" i="48"/>
  <c r="R63" i="48"/>
  <c r="S62" i="48"/>
  <c r="R62" i="48"/>
  <c r="S61" i="48"/>
  <c r="R61" i="48"/>
  <c r="S60" i="48"/>
  <c r="R60" i="48"/>
  <c r="S59" i="48"/>
  <c r="R59" i="48"/>
  <c r="S58" i="48"/>
  <c r="R58" i="48"/>
  <c r="S57" i="48"/>
  <c r="R57" i="48"/>
  <c r="S56" i="48"/>
  <c r="R56" i="48"/>
  <c r="S55" i="48"/>
  <c r="R55" i="48"/>
  <c r="S54" i="48"/>
  <c r="R54" i="48"/>
  <c r="S53" i="48"/>
  <c r="R53" i="48"/>
  <c r="S52" i="48"/>
  <c r="R52" i="48"/>
  <c r="S48" i="48"/>
  <c r="R48" i="48"/>
  <c r="S47" i="48"/>
  <c r="R47" i="48"/>
  <c r="S46" i="48"/>
  <c r="R46" i="48"/>
  <c r="S45" i="48"/>
  <c r="R45" i="48"/>
  <c r="S44" i="48"/>
  <c r="R44" i="48"/>
  <c r="S43" i="48"/>
  <c r="R43" i="48"/>
  <c r="S42" i="48"/>
  <c r="R42" i="48"/>
  <c r="S41" i="48"/>
  <c r="R41" i="48"/>
  <c r="S40" i="48"/>
  <c r="R40" i="48"/>
  <c r="S39" i="48"/>
  <c r="R39" i="48"/>
  <c r="S38" i="48"/>
  <c r="R38" i="48"/>
  <c r="S37" i="48"/>
  <c r="R37" i="48"/>
  <c r="S36" i="48"/>
  <c r="R36" i="48"/>
  <c r="S35" i="48"/>
  <c r="R35" i="48"/>
  <c r="S34" i="48"/>
  <c r="R34" i="48"/>
  <c r="S30" i="48"/>
  <c r="R30" i="48"/>
  <c r="S29" i="48"/>
  <c r="R29" i="48"/>
  <c r="S28" i="48"/>
  <c r="R28" i="48"/>
  <c r="S27" i="48"/>
  <c r="R27" i="48"/>
  <c r="S26" i="48"/>
  <c r="R26" i="48"/>
  <c r="S25" i="48"/>
  <c r="R25" i="48"/>
  <c r="S24" i="48"/>
  <c r="R24" i="48"/>
  <c r="S23" i="48"/>
  <c r="R23" i="48"/>
  <c r="S22" i="48"/>
  <c r="R22" i="48"/>
  <c r="S21" i="48"/>
  <c r="R21" i="48"/>
  <c r="S20" i="48"/>
  <c r="R20" i="48"/>
  <c r="S19" i="48"/>
  <c r="R19" i="48"/>
  <c r="S18" i="48"/>
  <c r="R18" i="48"/>
  <c r="S17" i="48"/>
  <c r="R17" i="48"/>
  <c r="N17" i="48"/>
  <c r="O17" i="48" s="1"/>
  <c r="S24" i="69"/>
  <c r="R24" i="69"/>
  <c r="S23" i="69"/>
  <c r="R23" i="69"/>
  <c r="S22" i="69"/>
  <c r="R22" i="69"/>
  <c r="S21" i="69"/>
  <c r="R21" i="69"/>
  <c r="S20" i="69"/>
  <c r="R20" i="69"/>
  <c r="S19" i="69"/>
  <c r="R19" i="69"/>
  <c r="S18" i="69"/>
  <c r="R18" i="69"/>
  <c r="S17" i="69"/>
  <c r="R17" i="69"/>
  <c r="N17" i="69"/>
  <c r="O17" i="69" s="1"/>
  <c r="S26" i="66"/>
  <c r="R26" i="66"/>
  <c r="S25" i="66"/>
  <c r="R25" i="66"/>
  <c r="S24" i="66"/>
  <c r="R24" i="66"/>
  <c r="S23" i="66"/>
  <c r="R23" i="66"/>
  <c r="S22" i="66"/>
  <c r="R22" i="66"/>
  <c r="N22" i="66"/>
  <c r="O22" i="66" s="1"/>
  <c r="S29" i="67"/>
  <c r="R29" i="67"/>
  <c r="S28" i="67"/>
  <c r="R28" i="67"/>
  <c r="S27" i="67"/>
  <c r="R27" i="67"/>
  <c r="S26" i="67"/>
  <c r="R26" i="67"/>
  <c r="S25" i="67"/>
  <c r="R25" i="67"/>
  <c r="S24" i="67"/>
  <c r="R24" i="67"/>
  <c r="S23" i="67"/>
  <c r="R23" i="67"/>
  <c r="S22" i="67"/>
  <c r="R22" i="67"/>
  <c r="S21" i="67"/>
  <c r="R21" i="67"/>
  <c r="S20" i="67"/>
  <c r="R20" i="67"/>
  <c r="S19" i="67"/>
  <c r="R19" i="67"/>
  <c r="S18" i="67"/>
  <c r="R18" i="67"/>
  <c r="S17" i="67"/>
  <c r="R17" i="67"/>
  <c r="N17" i="67"/>
  <c r="O17" i="67" s="1"/>
  <c r="S26" i="65"/>
  <c r="R26" i="65"/>
  <c r="S25" i="65"/>
  <c r="R25" i="65"/>
  <c r="S24" i="65"/>
  <c r="R24" i="65"/>
  <c r="S23" i="65"/>
  <c r="R23" i="65"/>
  <c r="S22" i="65"/>
  <c r="R22" i="65"/>
  <c r="S21" i="65"/>
  <c r="R21" i="65"/>
  <c r="S20" i="65"/>
  <c r="R20" i="65"/>
  <c r="S19" i="65"/>
  <c r="R19" i="65"/>
  <c r="S18" i="65"/>
  <c r="R18" i="65"/>
  <c r="S17" i="65"/>
  <c r="R17" i="65"/>
  <c r="N17" i="65"/>
  <c r="O17" i="65" s="1"/>
  <c r="S32" i="64"/>
  <c r="R32" i="64"/>
  <c r="S31" i="64"/>
  <c r="R31" i="64"/>
  <c r="S30" i="64"/>
  <c r="R30" i="64"/>
  <c r="S29" i="64"/>
  <c r="R29" i="64"/>
  <c r="S28" i="64"/>
  <c r="R28" i="64"/>
  <c r="S27" i="64"/>
  <c r="R27" i="64"/>
  <c r="S26" i="64"/>
  <c r="R26" i="64"/>
  <c r="S25" i="64"/>
  <c r="R25" i="64"/>
  <c r="S24" i="64"/>
  <c r="R24" i="64"/>
  <c r="S23" i="64"/>
  <c r="R23" i="64"/>
  <c r="S22" i="64"/>
  <c r="R22" i="64"/>
  <c r="S21" i="64"/>
  <c r="R21" i="64"/>
  <c r="S20" i="64"/>
  <c r="R20" i="64"/>
  <c r="S19" i="64"/>
  <c r="R19" i="64"/>
  <c r="S18" i="64"/>
  <c r="R18" i="64"/>
  <c r="S17" i="64"/>
  <c r="R17" i="64"/>
  <c r="N17" i="64"/>
  <c r="O17" i="64" s="1"/>
  <c r="S158" i="63"/>
  <c r="R158" i="63"/>
  <c r="S157" i="63"/>
  <c r="R157" i="63"/>
  <c r="S156" i="63"/>
  <c r="R156" i="63"/>
  <c r="S155" i="63"/>
  <c r="R155" i="63"/>
  <c r="S154" i="63"/>
  <c r="R154" i="63"/>
  <c r="S153" i="63"/>
  <c r="R153" i="63"/>
  <c r="S152" i="63"/>
  <c r="R152" i="63"/>
  <c r="S151" i="63"/>
  <c r="R151" i="63"/>
  <c r="S147" i="63"/>
  <c r="R147" i="63"/>
  <c r="S146" i="63"/>
  <c r="R146" i="63"/>
  <c r="S145" i="63"/>
  <c r="R145" i="63"/>
  <c r="S144" i="63"/>
  <c r="R144" i="63"/>
  <c r="S143" i="63"/>
  <c r="R143" i="63"/>
  <c r="S142" i="63"/>
  <c r="R142" i="63"/>
  <c r="S141" i="63"/>
  <c r="R141" i="63"/>
  <c r="S140" i="63"/>
  <c r="R140" i="63"/>
  <c r="S136" i="63"/>
  <c r="R136" i="63"/>
  <c r="S135" i="63"/>
  <c r="R135" i="63"/>
  <c r="S134" i="63"/>
  <c r="R134" i="63"/>
  <c r="S133" i="63"/>
  <c r="R133" i="63"/>
  <c r="S132" i="63"/>
  <c r="R132" i="63"/>
  <c r="S131" i="63"/>
  <c r="R131" i="63"/>
  <c r="S130" i="63"/>
  <c r="R130" i="63"/>
  <c r="S129" i="63"/>
  <c r="R129" i="63"/>
  <c r="S125" i="63"/>
  <c r="R125" i="63"/>
  <c r="S124" i="63"/>
  <c r="R124" i="63"/>
  <c r="S123" i="63"/>
  <c r="R123" i="63"/>
  <c r="S122" i="63"/>
  <c r="R122" i="63"/>
  <c r="S121" i="63"/>
  <c r="R121" i="63"/>
  <c r="S120" i="63"/>
  <c r="R120" i="63"/>
  <c r="S119" i="63"/>
  <c r="R119" i="63"/>
  <c r="S118" i="63"/>
  <c r="R118" i="63"/>
  <c r="S114" i="63"/>
  <c r="R114" i="63"/>
  <c r="S113" i="63"/>
  <c r="R113" i="63"/>
  <c r="S112" i="63"/>
  <c r="R112" i="63"/>
  <c r="S111" i="63"/>
  <c r="R111" i="63"/>
  <c r="S110" i="63"/>
  <c r="R110" i="63"/>
  <c r="S109" i="63"/>
  <c r="R109" i="63"/>
  <c r="S108" i="63"/>
  <c r="R108" i="63"/>
  <c r="S107" i="63"/>
  <c r="R107" i="63"/>
  <c r="S103" i="63"/>
  <c r="R103" i="63"/>
  <c r="S102" i="63"/>
  <c r="R102" i="63"/>
  <c r="S101" i="63"/>
  <c r="R101" i="63"/>
  <c r="S100" i="63"/>
  <c r="R100" i="63"/>
  <c r="S99" i="63"/>
  <c r="R99" i="63"/>
  <c r="S98" i="63"/>
  <c r="R98" i="63"/>
  <c r="S97" i="63"/>
  <c r="R97" i="63"/>
  <c r="S96" i="63"/>
  <c r="R96" i="63"/>
  <c r="S92" i="63"/>
  <c r="R92" i="63"/>
  <c r="S91" i="63"/>
  <c r="R91" i="63"/>
  <c r="S90" i="63"/>
  <c r="R90" i="63"/>
  <c r="S89" i="63"/>
  <c r="R89" i="63"/>
  <c r="S88" i="63"/>
  <c r="R88" i="63"/>
  <c r="S87" i="63"/>
  <c r="R87" i="63"/>
  <c r="S86" i="63"/>
  <c r="R86" i="63"/>
  <c r="S85" i="63"/>
  <c r="R85" i="63"/>
  <c r="S81" i="63"/>
  <c r="R81" i="63"/>
  <c r="S80" i="63"/>
  <c r="R80" i="63"/>
  <c r="S79" i="63"/>
  <c r="R79" i="63"/>
  <c r="S78" i="63"/>
  <c r="R78" i="63"/>
  <c r="S77" i="63"/>
  <c r="R77" i="63"/>
  <c r="S76" i="63"/>
  <c r="R76" i="63"/>
  <c r="S75" i="63"/>
  <c r="R75" i="63"/>
  <c r="S74" i="63"/>
  <c r="R74" i="63"/>
  <c r="S70" i="63"/>
  <c r="R70" i="63"/>
  <c r="S69" i="63"/>
  <c r="R69" i="63"/>
  <c r="S68" i="63"/>
  <c r="R68" i="63"/>
  <c r="S67" i="63"/>
  <c r="R67" i="63"/>
  <c r="S66" i="63"/>
  <c r="R66" i="63"/>
  <c r="S65" i="63"/>
  <c r="R65" i="63"/>
  <c r="S64" i="63"/>
  <c r="R64" i="63"/>
  <c r="S63" i="63"/>
  <c r="R63" i="63"/>
  <c r="S59" i="63"/>
  <c r="R59" i="63"/>
  <c r="S58" i="63"/>
  <c r="R58" i="63"/>
  <c r="S57" i="63"/>
  <c r="R57" i="63"/>
  <c r="S56" i="63"/>
  <c r="R56" i="63"/>
  <c r="S55" i="63"/>
  <c r="R55" i="63"/>
  <c r="S54" i="63"/>
  <c r="R54" i="63"/>
  <c r="S53" i="63"/>
  <c r="R53" i="63"/>
  <c r="S52" i="63"/>
  <c r="R52" i="63"/>
  <c r="S48" i="63"/>
  <c r="R48" i="63"/>
  <c r="S47" i="63"/>
  <c r="R47" i="63"/>
  <c r="S46" i="63"/>
  <c r="R46" i="63"/>
  <c r="S45" i="63"/>
  <c r="R45" i="63"/>
  <c r="S44" i="63"/>
  <c r="R44" i="63"/>
  <c r="S43" i="63"/>
  <c r="R43" i="63"/>
  <c r="S42" i="63"/>
  <c r="R42" i="63"/>
  <c r="S41" i="63"/>
  <c r="R41" i="63"/>
  <c r="S32" i="62"/>
  <c r="R32" i="62"/>
  <c r="S31" i="62"/>
  <c r="R31" i="62"/>
  <c r="S30" i="62"/>
  <c r="R30" i="62"/>
  <c r="S29" i="62"/>
  <c r="R29" i="62"/>
  <c r="S28" i="62"/>
  <c r="R28" i="62"/>
  <c r="S27" i="62"/>
  <c r="R27" i="62"/>
  <c r="S26" i="62"/>
  <c r="R26" i="62"/>
  <c r="S25" i="62"/>
  <c r="R25" i="62"/>
  <c r="S24" i="62"/>
  <c r="R24" i="62"/>
  <c r="S23" i="62"/>
  <c r="R23" i="62"/>
  <c r="S22" i="62"/>
  <c r="R22" i="62"/>
  <c r="S21" i="62"/>
  <c r="R21" i="62"/>
  <c r="S20" i="62"/>
  <c r="R20" i="62"/>
  <c r="S19" i="62"/>
  <c r="R19" i="62"/>
  <c r="S18" i="62"/>
  <c r="R18" i="62"/>
  <c r="S17" i="62"/>
  <c r="R17" i="62"/>
  <c r="N17" i="62"/>
  <c r="O17" i="62" s="1"/>
  <c r="S90" i="61"/>
  <c r="R90" i="61"/>
  <c r="S89" i="61"/>
  <c r="R89" i="61"/>
  <c r="S88" i="61"/>
  <c r="R88" i="61"/>
  <c r="S87" i="61"/>
  <c r="R87" i="61"/>
  <c r="S86" i="61"/>
  <c r="R86" i="61"/>
  <c r="S85" i="61"/>
  <c r="R85" i="61"/>
  <c r="S84" i="61"/>
  <c r="R84" i="61"/>
  <c r="S83" i="61"/>
  <c r="R83" i="61"/>
  <c r="S82" i="61"/>
  <c r="R82" i="61"/>
  <c r="S81" i="61"/>
  <c r="R81" i="61"/>
  <c r="S80" i="61"/>
  <c r="R80" i="61"/>
  <c r="S76" i="61"/>
  <c r="R76" i="61"/>
  <c r="S74" i="61"/>
  <c r="R74" i="61"/>
  <c r="S73" i="61"/>
  <c r="R73" i="61"/>
  <c r="S72" i="61"/>
  <c r="R72" i="61"/>
  <c r="S71" i="61"/>
  <c r="R71" i="61"/>
  <c r="S70" i="61"/>
  <c r="R70" i="61"/>
  <c r="S69" i="61"/>
  <c r="R69" i="61"/>
  <c r="S68" i="61"/>
  <c r="R68" i="61"/>
  <c r="S67" i="61"/>
  <c r="R67" i="61"/>
  <c r="S66" i="61"/>
  <c r="R66" i="61"/>
  <c r="R53" i="61"/>
  <c r="S53" i="61"/>
  <c r="R54" i="61"/>
  <c r="S54" i="61"/>
  <c r="R55" i="61"/>
  <c r="S55" i="61"/>
  <c r="R56" i="61"/>
  <c r="S56" i="61"/>
  <c r="R57" i="61"/>
  <c r="S57" i="61"/>
  <c r="R58" i="61"/>
  <c r="S58" i="61"/>
  <c r="R59" i="61"/>
  <c r="S59" i="61"/>
  <c r="R60" i="61"/>
  <c r="S60" i="61"/>
  <c r="R62" i="61"/>
  <c r="S62" i="61"/>
  <c r="S52" i="61"/>
  <c r="R52" i="61"/>
  <c r="S48" i="61"/>
  <c r="R48" i="61"/>
  <c r="S47" i="61"/>
  <c r="R47" i="61"/>
  <c r="S46" i="61"/>
  <c r="R46" i="61"/>
  <c r="S45" i="61"/>
  <c r="R45" i="61"/>
  <c r="S44" i="61"/>
  <c r="R44" i="61"/>
  <c r="S43" i="61"/>
  <c r="R43" i="61"/>
  <c r="S42" i="61"/>
  <c r="R42" i="61"/>
  <c r="S41" i="61"/>
  <c r="R41" i="61"/>
  <c r="S40" i="61"/>
  <c r="R40" i="61"/>
  <c r="S39" i="61"/>
  <c r="R39" i="61"/>
  <c r="S38" i="61"/>
  <c r="R38" i="61"/>
  <c r="S33" i="61"/>
  <c r="R33" i="61"/>
  <c r="S32" i="61"/>
  <c r="R32" i="61"/>
  <c r="S31" i="61"/>
  <c r="R31" i="61"/>
  <c r="S30" i="61"/>
  <c r="R30" i="61"/>
  <c r="S29" i="61"/>
  <c r="R29" i="61"/>
  <c r="S28" i="61"/>
  <c r="R28" i="61"/>
  <c r="S27" i="61"/>
  <c r="R27" i="61"/>
  <c r="S26" i="61"/>
  <c r="R26" i="61"/>
  <c r="S25" i="61"/>
  <c r="R25" i="61"/>
  <c r="S24" i="61"/>
  <c r="R24" i="61"/>
  <c r="S23" i="61"/>
  <c r="R23" i="61"/>
  <c r="S23" i="60"/>
  <c r="R23" i="60"/>
  <c r="S22" i="60"/>
  <c r="R22" i="60"/>
  <c r="S21" i="60"/>
  <c r="R21" i="60"/>
  <c r="S20" i="60"/>
  <c r="R20" i="60"/>
  <c r="S19" i="60"/>
  <c r="R19" i="60"/>
  <c r="S18" i="60"/>
  <c r="R18" i="60"/>
  <c r="S17" i="60"/>
  <c r="R17" i="60"/>
  <c r="N17" i="60"/>
  <c r="O17" i="60" s="1"/>
  <c r="S28" i="59"/>
  <c r="R28" i="59"/>
  <c r="S27" i="59"/>
  <c r="R27" i="59"/>
  <c r="S26" i="59"/>
  <c r="R26" i="59"/>
  <c r="S25" i="59"/>
  <c r="R25" i="59"/>
  <c r="S24" i="59"/>
  <c r="R24" i="59"/>
  <c r="S23" i="59"/>
  <c r="R23" i="59"/>
  <c r="S22" i="59"/>
  <c r="R22" i="59"/>
  <c r="S21" i="59"/>
  <c r="R21" i="59"/>
  <c r="S20" i="59"/>
  <c r="R20" i="59"/>
  <c r="S19" i="59"/>
  <c r="R19" i="59"/>
  <c r="S18" i="59"/>
  <c r="R18" i="59"/>
  <c r="S17" i="59"/>
  <c r="R17" i="59"/>
  <c r="N17" i="59"/>
  <c r="O17" i="59" s="1"/>
  <c r="S36" i="58"/>
  <c r="R36" i="58"/>
  <c r="S35" i="58"/>
  <c r="R35" i="58"/>
  <c r="S34" i="58"/>
  <c r="R34" i="58"/>
  <c r="S33" i="58"/>
  <c r="R33" i="58"/>
  <c r="S32" i="58"/>
  <c r="R32" i="58"/>
  <c r="S31" i="58"/>
  <c r="R31" i="58"/>
  <c r="S30" i="58"/>
  <c r="R30" i="58"/>
  <c r="S29" i="58"/>
  <c r="R29" i="58"/>
  <c r="S28" i="58"/>
  <c r="R28" i="58"/>
  <c r="S27" i="58"/>
  <c r="R27" i="58"/>
  <c r="S26" i="58"/>
  <c r="R26" i="58"/>
  <c r="S25" i="58"/>
  <c r="R25" i="58"/>
  <c r="S24" i="58"/>
  <c r="R24" i="58"/>
  <c r="S23" i="58"/>
  <c r="R23" i="58"/>
  <c r="S22" i="58"/>
  <c r="R22" i="58"/>
  <c r="S21" i="58"/>
  <c r="R21" i="58"/>
  <c r="S20" i="58"/>
  <c r="R20" i="58"/>
  <c r="S19" i="58"/>
  <c r="R19" i="58"/>
  <c r="S18" i="58"/>
  <c r="R18" i="58"/>
  <c r="S17" i="58"/>
  <c r="R17" i="58"/>
  <c r="N17" i="58"/>
  <c r="O17" i="58" s="1"/>
  <c r="S25" i="56"/>
  <c r="R25" i="56"/>
  <c r="S24" i="56"/>
  <c r="R24" i="56"/>
  <c r="S23" i="56"/>
  <c r="R23" i="56"/>
  <c r="S22" i="56"/>
  <c r="R22" i="56"/>
  <c r="S21" i="56"/>
  <c r="R21" i="56"/>
  <c r="S20" i="56"/>
  <c r="R20" i="56"/>
  <c r="S19" i="56"/>
  <c r="R19" i="56"/>
  <c r="S18" i="56"/>
  <c r="R18" i="56"/>
  <c r="N17" i="56"/>
  <c r="O17" i="56" s="1"/>
  <c r="S17" i="56"/>
  <c r="R17" i="56"/>
  <c r="S28" i="54"/>
  <c r="R28" i="54"/>
  <c r="S27" i="54"/>
  <c r="R27" i="54"/>
  <c r="S26" i="54"/>
  <c r="R26" i="54"/>
  <c r="S25" i="54"/>
  <c r="R25" i="54"/>
  <c r="S24" i="54"/>
  <c r="R24" i="54"/>
  <c r="S23" i="54"/>
  <c r="R23" i="54"/>
  <c r="S22" i="54"/>
  <c r="R22" i="54"/>
  <c r="S21" i="54"/>
  <c r="R21" i="54"/>
  <c r="S20" i="54"/>
  <c r="R20" i="54"/>
  <c r="S19" i="54"/>
  <c r="R19" i="54"/>
  <c r="S18" i="54"/>
  <c r="R18" i="54"/>
  <c r="S17" i="54"/>
  <c r="R17" i="54"/>
  <c r="N17" i="54"/>
  <c r="O17" i="54" s="1"/>
  <c r="S28" i="53"/>
  <c r="R28" i="53"/>
  <c r="S27" i="53"/>
  <c r="R27" i="53"/>
  <c r="S26" i="53"/>
  <c r="R26" i="53"/>
  <c r="S25" i="53"/>
  <c r="R25" i="53"/>
  <c r="S24" i="53"/>
  <c r="R24" i="53"/>
  <c r="S23" i="53"/>
  <c r="R23" i="53"/>
  <c r="S22" i="53"/>
  <c r="R22" i="53"/>
  <c r="S21" i="53"/>
  <c r="R21" i="53"/>
  <c r="S20" i="53"/>
  <c r="R20" i="53"/>
  <c r="S19" i="53"/>
  <c r="R19" i="53"/>
  <c r="S18" i="53"/>
  <c r="R18" i="53"/>
  <c r="S17" i="53"/>
  <c r="R17" i="53"/>
  <c r="N17" i="53"/>
  <c r="O17" i="53" s="1"/>
  <c r="S91" i="42"/>
  <c r="R91" i="42"/>
  <c r="S90" i="42"/>
  <c r="R90" i="42"/>
  <c r="S89" i="42"/>
  <c r="R89" i="42"/>
  <c r="S88" i="42"/>
  <c r="R88" i="42"/>
  <c r="S87" i="42"/>
  <c r="R87" i="42"/>
  <c r="S86" i="42"/>
  <c r="R86" i="42"/>
  <c r="S85" i="42"/>
  <c r="R85" i="42"/>
  <c r="S84" i="42"/>
  <c r="R84" i="42"/>
  <c r="S83" i="42"/>
  <c r="R83" i="42"/>
  <c r="S82" i="42"/>
  <c r="R82" i="42"/>
  <c r="S78" i="42"/>
  <c r="R78" i="42"/>
  <c r="S77" i="42"/>
  <c r="R77" i="42"/>
  <c r="S76" i="42"/>
  <c r="R76" i="42"/>
  <c r="S75" i="42"/>
  <c r="R75" i="42"/>
  <c r="S74" i="42"/>
  <c r="R74" i="42"/>
  <c r="S73" i="42"/>
  <c r="R73" i="42"/>
  <c r="S72" i="42"/>
  <c r="R72" i="42"/>
  <c r="S71" i="42"/>
  <c r="R71" i="42"/>
  <c r="S70" i="42"/>
  <c r="R70" i="42"/>
  <c r="S69" i="42"/>
  <c r="R69" i="42"/>
  <c r="S65" i="42"/>
  <c r="R65" i="42"/>
  <c r="S64" i="42"/>
  <c r="R64" i="42"/>
  <c r="S63" i="42"/>
  <c r="R63" i="42"/>
  <c r="S62" i="42"/>
  <c r="R62" i="42"/>
  <c r="S61" i="42"/>
  <c r="R61" i="42"/>
  <c r="S60" i="42"/>
  <c r="R60" i="42"/>
  <c r="S59" i="42"/>
  <c r="R59" i="42"/>
  <c r="S58" i="42"/>
  <c r="R58" i="42"/>
  <c r="S57" i="42"/>
  <c r="R57" i="42"/>
  <c r="S56" i="42"/>
  <c r="R56" i="42"/>
  <c r="S52" i="42"/>
  <c r="R52" i="42"/>
  <c r="S51" i="42"/>
  <c r="R51" i="42"/>
  <c r="S50" i="42"/>
  <c r="R50" i="42"/>
  <c r="S49" i="42"/>
  <c r="R49" i="42"/>
  <c r="S48" i="42"/>
  <c r="R48" i="42"/>
  <c r="S47" i="42"/>
  <c r="R47" i="42"/>
  <c r="S46" i="42"/>
  <c r="R46" i="42"/>
  <c r="S45" i="42"/>
  <c r="R45" i="42"/>
  <c r="S44" i="42"/>
  <c r="R44" i="42"/>
  <c r="S43" i="42"/>
  <c r="R43" i="42"/>
  <c r="R31" i="42"/>
  <c r="S31" i="42"/>
  <c r="R32" i="42"/>
  <c r="S32" i="42"/>
  <c r="R33" i="42"/>
  <c r="S33" i="42"/>
  <c r="R34" i="42"/>
  <c r="S34" i="42"/>
  <c r="R35" i="42"/>
  <c r="S35" i="42"/>
  <c r="R36" i="42"/>
  <c r="S36" i="42"/>
  <c r="R37" i="42"/>
  <c r="S37" i="42"/>
  <c r="R38" i="42"/>
  <c r="S38" i="42"/>
  <c r="R39" i="42"/>
  <c r="S39" i="42"/>
  <c r="S30" i="42"/>
  <c r="R30" i="42"/>
  <c r="R18" i="42"/>
  <c r="S18" i="42"/>
  <c r="R19" i="42"/>
  <c r="S19" i="42"/>
  <c r="R20" i="42"/>
  <c r="S20" i="42"/>
  <c r="R21" i="42"/>
  <c r="S21" i="42"/>
  <c r="R22" i="42"/>
  <c r="S22" i="42"/>
  <c r="R23" i="42"/>
  <c r="S23" i="42"/>
  <c r="R24" i="42"/>
  <c r="S24" i="42"/>
  <c r="R25" i="42"/>
  <c r="S25" i="42"/>
  <c r="R26" i="42"/>
  <c r="S26" i="42"/>
  <c r="N17" i="42"/>
  <c r="S17" i="42"/>
  <c r="R17" i="42"/>
  <c r="O17" i="42"/>
  <c r="S46" i="52"/>
  <c r="R46" i="52"/>
  <c r="S45" i="52"/>
  <c r="R45" i="52"/>
  <c r="S44" i="52"/>
  <c r="R44" i="52"/>
  <c r="S43" i="52"/>
  <c r="R43" i="52"/>
  <c r="S42" i="52"/>
  <c r="R42" i="52"/>
  <c r="S41" i="52"/>
  <c r="R41" i="52"/>
  <c r="S40" i="52"/>
  <c r="R40" i="52"/>
  <c r="S39" i="52"/>
  <c r="R39" i="52"/>
  <c r="S35" i="52"/>
  <c r="R35" i="52"/>
  <c r="S34" i="52"/>
  <c r="R34" i="52"/>
  <c r="S33" i="52"/>
  <c r="R33" i="52"/>
  <c r="S32" i="52"/>
  <c r="R32" i="52"/>
  <c r="S31" i="52"/>
  <c r="R31" i="52"/>
  <c r="S30" i="52"/>
  <c r="R30" i="52"/>
  <c r="S29" i="52"/>
  <c r="R29" i="52"/>
  <c r="S28" i="52"/>
  <c r="R28" i="52"/>
  <c r="R18" i="52"/>
  <c r="S18" i="52"/>
  <c r="R19" i="52"/>
  <c r="S19" i="52"/>
  <c r="R20" i="52"/>
  <c r="S20" i="52"/>
  <c r="R21" i="52"/>
  <c r="S21" i="52"/>
  <c r="R22" i="52"/>
  <c r="S22" i="52"/>
  <c r="R23" i="52"/>
  <c r="S23" i="52"/>
  <c r="R24" i="52"/>
  <c r="S24" i="52"/>
  <c r="S17" i="52"/>
  <c r="R17" i="52"/>
  <c r="N17" i="52"/>
  <c r="O17" i="52" s="1"/>
  <c r="A32" i="85"/>
  <c r="B32" i="85"/>
  <c r="C32" i="85"/>
  <c r="D32" i="85"/>
  <c r="E32" i="85"/>
  <c r="F32" i="85"/>
  <c r="G32" i="85"/>
  <c r="H32" i="85"/>
  <c r="A33" i="85"/>
  <c r="B33" i="85"/>
  <c r="C33" i="85"/>
  <c r="L33" i="85" s="1"/>
  <c r="D33" i="85"/>
  <c r="E33" i="85"/>
  <c r="F33" i="85"/>
  <c r="G33" i="85"/>
  <c r="H33" i="85"/>
  <c r="A18" i="85"/>
  <c r="B18" i="85"/>
  <c r="C18" i="85"/>
  <c r="D18" i="85"/>
  <c r="E18" i="85"/>
  <c r="F18" i="85"/>
  <c r="G18" i="85"/>
  <c r="H18" i="85"/>
  <c r="A19" i="85"/>
  <c r="B19" i="85"/>
  <c r="C19" i="85"/>
  <c r="D19" i="85"/>
  <c r="E19" i="85"/>
  <c r="F19" i="85"/>
  <c r="G19" i="85"/>
  <c r="H19" i="85"/>
  <c r="A20" i="85"/>
  <c r="B20" i="85"/>
  <c r="C20" i="85"/>
  <c r="D20" i="85"/>
  <c r="E20" i="85"/>
  <c r="F20" i="85"/>
  <c r="G20" i="85"/>
  <c r="I20" i="85" s="1"/>
  <c r="H20" i="85"/>
  <c r="A21" i="85"/>
  <c r="B21" i="85"/>
  <c r="C21" i="85"/>
  <c r="D21" i="85"/>
  <c r="E21" i="85"/>
  <c r="F21" i="85"/>
  <c r="G21" i="85"/>
  <c r="H21" i="85"/>
  <c r="A22" i="85"/>
  <c r="B22" i="85"/>
  <c r="C22" i="85"/>
  <c r="L22" i="85" s="1"/>
  <c r="D22" i="85"/>
  <c r="E22" i="85"/>
  <c r="F22" i="85"/>
  <c r="G22" i="85"/>
  <c r="H22" i="85"/>
  <c r="A23" i="85"/>
  <c r="B23" i="85"/>
  <c r="C23" i="85"/>
  <c r="L23" i="85" s="1"/>
  <c r="D23" i="85"/>
  <c r="E23" i="85"/>
  <c r="F23" i="85"/>
  <c r="G23" i="85"/>
  <c r="I23" i="85" s="1"/>
  <c r="H23" i="85"/>
  <c r="A24" i="85"/>
  <c r="B24" i="85"/>
  <c r="C24" i="85"/>
  <c r="D24" i="85"/>
  <c r="E24" i="85"/>
  <c r="F24" i="85"/>
  <c r="G24" i="85"/>
  <c r="H24" i="85"/>
  <c r="I24" i="85" s="1"/>
  <c r="J24" i="85" s="1"/>
  <c r="K24" i="85" s="1"/>
  <c r="M24" i="85" s="1"/>
  <c r="A25" i="85"/>
  <c r="B25" i="85"/>
  <c r="C25" i="85"/>
  <c r="L25" i="85" s="1"/>
  <c r="D25" i="85"/>
  <c r="E25" i="85"/>
  <c r="F25" i="85"/>
  <c r="G25" i="85"/>
  <c r="H25" i="85"/>
  <c r="A26" i="85"/>
  <c r="B26" i="85"/>
  <c r="C26" i="85"/>
  <c r="L26" i="85" s="1"/>
  <c r="D26" i="85"/>
  <c r="E26" i="85"/>
  <c r="F26" i="85"/>
  <c r="G26" i="85"/>
  <c r="I26" i="85" s="1"/>
  <c r="H26" i="85"/>
  <c r="A27" i="85"/>
  <c r="B27" i="85"/>
  <c r="C27" i="85"/>
  <c r="D27" i="85"/>
  <c r="E27" i="85"/>
  <c r="F27" i="85"/>
  <c r="G27" i="85"/>
  <c r="I27" i="85" s="1"/>
  <c r="J27" i="85" s="1"/>
  <c r="K27" i="85" s="1"/>
  <c r="M27" i="85" s="1"/>
  <c r="N27" i="85" s="1"/>
  <c r="O27" i="85" s="1"/>
  <c r="H27" i="85"/>
  <c r="A28" i="85"/>
  <c r="B28" i="85"/>
  <c r="C28" i="85"/>
  <c r="L28" i="85" s="1"/>
  <c r="D28" i="85"/>
  <c r="E28" i="85"/>
  <c r="F28" i="85"/>
  <c r="G28" i="85"/>
  <c r="H28" i="85"/>
  <c r="A29" i="85"/>
  <c r="B29" i="85"/>
  <c r="C29" i="85"/>
  <c r="D29" i="85"/>
  <c r="E29" i="85"/>
  <c r="F29" i="85"/>
  <c r="G29" i="85"/>
  <c r="I29" i="85" s="1"/>
  <c r="H29" i="85"/>
  <c r="A30" i="85"/>
  <c r="B30" i="85"/>
  <c r="C30" i="85"/>
  <c r="D30" i="85"/>
  <c r="E30" i="85"/>
  <c r="F30" i="85"/>
  <c r="G30" i="85"/>
  <c r="I30" i="85" s="1"/>
  <c r="J30" i="85" s="1"/>
  <c r="K30" i="85" s="1"/>
  <c r="M30" i="85" s="1"/>
  <c r="N30" i="85" s="1"/>
  <c r="O30" i="85" s="1"/>
  <c r="H30" i="85"/>
  <c r="A31" i="85"/>
  <c r="B31" i="85"/>
  <c r="C31" i="85"/>
  <c r="L31" i="85" s="1"/>
  <c r="D31" i="85"/>
  <c r="E31" i="85"/>
  <c r="F31" i="85"/>
  <c r="G31" i="85"/>
  <c r="H31" i="85"/>
  <c r="H17" i="85"/>
  <c r="I17" i="85" s="1"/>
  <c r="G17" i="85"/>
  <c r="F17" i="85"/>
  <c r="E17" i="85"/>
  <c r="D17" i="85"/>
  <c r="C17" i="85"/>
  <c r="L17" i="85" s="1"/>
  <c r="B17" i="85"/>
  <c r="A17" i="85"/>
  <c r="W33" i="85"/>
  <c r="V33" i="85"/>
  <c r="I33" i="85"/>
  <c r="W32" i="85"/>
  <c r="V32" i="85"/>
  <c r="L32" i="85"/>
  <c r="I32" i="85"/>
  <c r="J32" i="85" s="1"/>
  <c r="K32" i="85" s="1"/>
  <c r="M32" i="85" s="1"/>
  <c r="W31" i="85"/>
  <c r="V31" i="85"/>
  <c r="I31" i="85"/>
  <c r="W30" i="85"/>
  <c r="V30" i="85"/>
  <c r="L30" i="85"/>
  <c r="W29" i="85"/>
  <c r="V29" i="85"/>
  <c r="L29" i="85"/>
  <c r="W28" i="85"/>
  <c r="V28" i="85"/>
  <c r="I28" i="85"/>
  <c r="W27" i="85"/>
  <c r="V27" i="85"/>
  <c r="L27" i="85"/>
  <c r="W26" i="85"/>
  <c r="V26" i="85"/>
  <c r="W25" i="85"/>
  <c r="V25" i="85"/>
  <c r="I25" i="85"/>
  <c r="W24" i="85"/>
  <c r="V24" i="85"/>
  <c r="L24" i="85"/>
  <c r="W23" i="85"/>
  <c r="V23" i="85"/>
  <c r="W22" i="85"/>
  <c r="V22" i="85"/>
  <c r="I22" i="85"/>
  <c r="W21" i="85"/>
  <c r="V21" i="85"/>
  <c r="L21" i="85"/>
  <c r="I21" i="85"/>
  <c r="J21" i="85" s="1"/>
  <c r="K21" i="85" s="1"/>
  <c r="M21" i="85" s="1"/>
  <c r="N21" i="85" s="1"/>
  <c r="O21" i="85" s="1"/>
  <c r="W20" i="85"/>
  <c r="V20" i="85"/>
  <c r="L20" i="85"/>
  <c r="W19" i="85"/>
  <c r="V19" i="85"/>
  <c r="L19" i="85"/>
  <c r="I19" i="85"/>
  <c r="W18" i="85"/>
  <c r="V18" i="85"/>
  <c r="L18" i="85"/>
  <c r="I18" i="85"/>
  <c r="J18" i="85" s="1"/>
  <c r="K18" i="85" s="1"/>
  <c r="M18" i="85" s="1"/>
  <c r="N18" i="85" s="1"/>
  <c r="O18" i="85" s="1"/>
  <c r="W17" i="85"/>
  <c r="V17" i="85"/>
  <c r="D41" i="84"/>
  <c r="C41" i="84"/>
  <c r="B41" i="84"/>
  <c r="A41" i="84"/>
  <c r="D40" i="84"/>
  <c r="C40" i="84"/>
  <c r="B40" i="84"/>
  <c r="A40" i="84"/>
  <c r="W39" i="84"/>
  <c r="V39" i="84"/>
  <c r="L39" i="84"/>
  <c r="H39" i="84"/>
  <c r="G39" i="84"/>
  <c r="I39" i="84" s="1"/>
  <c r="J39" i="84" s="1"/>
  <c r="K39" i="84" s="1"/>
  <c r="M39" i="84" s="1"/>
  <c r="N39" i="84" s="1"/>
  <c r="O39" i="84" s="1"/>
  <c r="F39" i="84"/>
  <c r="E39" i="84"/>
  <c r="D39" i="84"/>
  <c r="C39" i="84"/>
  <c r="B39" i="84"/>
  <c r="A39" i="84"/>
  <c r="W38" i="84"/>
  <c r="V38" i="84"/>
  <c r="L38" i="84"/>
  <c r="H38" i="84"/>
  <c r="I38" i="84" s="1"/>
  <c r="J38" i="84" s="1"/>
  <c r="K38" i="84" s="1"/>
  <c r="M38" i="84" s="1"/>
  <c r="N38" i="84" s="1"/>
  <c r="O38" i="84" s="1"/>
  <c r="G38" i="84"/>
  <c r="F38" i="84"/>
  <c r="E38" i="84"/>
  <c r="D38" i="84"/>
  <c r="C38" i="84"/>
  <c r="B38" i="84"/>
  <c r="A38" i="84"/>
  <c r="A36" i="84"/>
  <c r="W34" i="84"/>
  <c r="V34" i="84"/>
  <c r="I34" i="84"/>
  <c r="D34" i="84"/>
  <c r="C34" i="84"/>
  <c r="B34" i="84"/>
  <c r="A34" i="84"/>
  <c r="W33" i="84"/>
  <c r="V33" i="84"/>
  <c r="L33" i="84"/>
  <c r="H33" i="84"/>
  <c r="G33" i="84"/>
  <c r="F33" i="84"/>
  <c r="E33" i="84"/>
  <c r="D33" i="84"/>
  <c r="C33" i="84"/>
  <c r="B33" i="84"/>
  <c r="A33" i="84"/>
  <c r="W32" i="84"/>
  <c r="V32" i="84"/>
  <c r="H32" i="84"/>
  <c r="I32" i="84" s="1"/>
  <c r="G32" i="84"/>
  <c r="F32" i="84"/>
  <c r="E32" i="84"/>
  <c r="D32" i="84"/>
  <c r="C32" i="84"/>
  <c r="L32" i="84" s="1"/>
  <c r="B32" i="84"/>
  <c r="A32" i="84"/>
  <c r="W31" i="84"/>
  <c r="V31" i="84"/>
  <c r="I31" i="84"/>
  <c r="J31" i="84" s="1"/>
  <c r="K31" i="84" s="1"/>
  <c r="M31" i="84" s="1"/>
  <c r="H31" i="84"/>
  <c r="G31" i="84"/>
  <c r="F31" i="84"/>
  <c r="E31" i="84"/>
  <c r="D31" i="84"/>
  <c r="C31" i="84"/>
  <c r="L31" i="84" s="1"/>
  <c r="B31" i="84"/>
  <c r="A31" i="84"/>
  <c r="A29" i="84"/>
  <c r="W27" i="84"/>
  <c r="V27" i="84"/>
  <c r="H27" i="84"/>
  <c r="I27" i="84" s="1"/>
  <c r="J27" i="84" s="1"/>
  <c r="K27" i="84" s="1"/>
  <c r="G27" i="84"/>
  <c r="F27" i="84"/>
  <c r="E27" i="84"/>
  <c r="D27" i="84"/>
  <c r="C27" i="84"/>
  <c r="L27" i="84" s="1"/>
  <c r="B27" i="84"/>
  <c r="A27" i="84"/>
  <c r="W26" i="84"/>
  <c r="V26" i="84"/>
  <c r="L26" i="84"/>
  <c r="H26" i="84"/>
  <c r="G26" i="84"/>
  <c r="I26" i="84" s="1"/>
  <c r="J26" i="84" s="1"/>
  <c r="K26" i="84" s="1"/>
  <c r="F26" i="84"/>
  <c r="E26" i="84"/>
  <c r="D26" i="84"/>
  <c r="C26" i="84"/>
  <c r="B26" i="84"/>
  <c r="A26" i="84"/>
  <c r="W25" i="84"/>
  <c r="V25" i="84"/>
  <c r="H25" i="84"/>
  <c r="G25" i="84"/>
  <c r="I25" i="84" s="1"/>
  <c r="J25" i="84" s="1"/>
  <c r="K25" i="84" s="1"/>
  <c r="M25" i="84" s="1"/>
  <c r="N25" i="84" s="1"/>
  <c r="O25" i="84" s="1"/>
  <c r="F25" i="84"/>
  <c r="E25" i="84"/>
  <c r="D25" i="84"/>
  <c r="C25" i="84"/>
  <c r="L25" i="84" s="1"/>
  <c r="B25" i="84"/>
  <c r="A25" i="84"/>
  <c r="W24" i="84"/>
  <c r="V24" i="84"/>
  <c r="L24" i="84"/>
  <c r="H24" i="84"/>
  <c r="G24" i="84"/>
  <c r="I24" i="84" s="1"/>
  <c r="J24" i="84" s="1"/>
  <c r="K24" i="84" s="1"/>
  <c r="M24" i="84" s="1"/>
  <c r="N24" i="84" s="1"/>
  <c r="O24" i="84" s="1"/>
  <c r="F24" i="84"/>
  <c r="E24" i="84"/>
  <c r="D24" i="84"/>
  <c r="C24" i="84"/>
  <c r="B24" i="84"/>
  <c r="A24" i="84"/>
  <c r="A22" i="84"/>
  <c r="A15" i="84"/>
  <c r="A18" i="84"/>
  <c r="B18" i="84"/>
  <c r="C18" i="84"/>
  <c r="D18" i="84"/>
  <c r="E18" i="84"/>
  <c r="F18" i="84"/>
  <c r="G18" i="84"/>
  <c r="H18" i="84"/>
  <c r="A19" i="84"/>
  <c r="B19" i="84"/>
  <c r="C19" i="84"/>
  <c r="L19" i="84" s="1"/>
  <c r="D19" i="84"/>
  <c r="E19" i="84"/>
  <c r="F19" i="84"/>
  <c r="G19" i="84"/>
  <c r="H19" i="84"/>
  <c r="I19" i="84" s="1"/>
  <c r="A20" i="84"/>
  <c r="B20" i="84"/>
  <c r="C20" i="84"/>
  <c r="D20" i="84"/>
  <c r="I20" i="84"/>
  <c r="J20" i="84" s="1"/>
  <c r="K20" i="84" s="1"/>
  <c r="M20" i="84" s="1"/>
  <c r="H17" i="84"/>
  <c r="G17" i="84"/>
  <c r="F17" i="84"/>
  <c r="E17" i="84"/>
  <c r="D17" i="84"/>
  <c r="C17" i="84"/>
  <c r="B17" i="84"/>
  <c r="A17" i="84"/>
  <c r="W20" i="84"/>
  <c r="V20" i="84"/>
  <c r="L20" i="84"/>
  <c r="W19" i="84"/>
  <c r="V19" i="84"/>
  <c r="W18" i="84"/>
  <c r="V18" i="84"/>
  <c r="L18" i="84"/>
  <c r="W17" i="84"/>
  <c r="V17" i="84"/>
  <c r="L17" i="84"/>
  <c r="W50" i="82"/>
  <c r="V50" i="82"/>
  <c r="C50" i="82"/>
  <c r="L50" i="82" s="1"/>
  <c r="B50" i="82"/>
  <c r="A50" i="82"/>
  <c r="W49" i="82"/>
  <c r="V49" i="82"/>
  <c r="B49" i="82"/>
  <c r="A49" i="82"/>
  <c r="W48" i="82"/>
  <c r="V48" i="82"/>
  <c r="H48" i="82"/>
  <c r="W44" i="82"/>
  <c r="V44" i="82"/>
  <c r="H44" i="82"/>
  <c r="W43" i="82"/>
  <c r="V43" i="82"/>
  <c r="G43" i="82"/>
  <c r="W42" i="82"/>
  <c r="V42" i="82"/>
  <c r="B42" i="82"/>
  <c r="A42" i="82"/>
  <c r="A40" i="82"/>
  <c r="W38" i="82"/>
  <c r="V38" i="82"/>
  <c r="B38" i="82"/>
  <c r="W37" i="82"/>
  <c r="V37" i="82"/>
  <c r="H37" i="82"/>
  <c r="W36" i="82"/>
  <c r="V36" i="82"/>
  <c r="B36" i="82"/>
  <c r="A36" i="82"/>
  <c r="A34" i="82"/>
  <c r="J76" i="82"/>
  <c r="H50" i="82" s="1"/>
  <c r="I50" i="82" s="1"/>
  <c r="J50" i="82" s="1"/>
  <c r="I76" i="82"/>
  <c r="G50" i="82" s="1"/>
  <c r="H76" i="82"/>
  <c r="F50" i="82" s="1"/>
  <c r="G76" i="82"/>
  <c r="E50" i="82" s="1"/>
  <c r="F76" i="82"/>
  <c r="D50" i="82" s="1"/>
  <c r="E76" i="82"/>
  <c r="D76" i="82"/>
  <c r="C76" i="82"/>
  <c r="A76" i="82"/>
  <c r="J75" i="82"/>
  <c r="H49" i="82" s="1"/>
  <c r="I75" i="82"/>
  <c r="G49" i="82" s="1"/>
  <c r="I49" i="82" s="1"/>
  <c r="H75" i="82"/>
  <c r="F49" i="82" s="1"/>
  <c r="G75" i="82"/>
  <c r="E49" i="82" s="1"/>
  <c r="F75" i="82"/>
  <c r="D49" i="82" s="1"/>
  <c r="E75" i="82"/>
  <c r="C49" i="82" s="1"/>
  <c r="L49" i="82" s="1"/>
  <c r="D75" i="82"/>
  <c r="C75" i="82"/>
  <c r="A75" i="82"/>
  <c r="J74" i="82"/>
  <c r="I74" i="82"/>
  <c r="G48" i="82" s="1"/>
  <c r="I48" i="82" s="1"/>
  <c r="H74" i="82"/>
  <c r="F48" i="82" s="1"/>
  <c r="G74" i="82"/>
  <c r="E48" i="82" s="1"/>
  <c r="F74" i="82"/>
  <c r="D48" i="82" s="1"/>
  <c r="E74" i="82"/>
  <c r="C48" i="82" s="1"/>
  <c r="L48" i="82" s="1"/>
  <c r="D74" i="82"/>
  <c r="A46" i="82" s="1"/>
  <c r="C74" i="82"/>
  <c r="B48" i="82" s="1"/>
  <c r="A74" i="82"/>
  <c r="A48" i="82" s="1"/>
  <c r="J70" i="82"/>
  <c r="I70" i="82"/>
  <c r="G44" i="82" s="1"/>
  <c r="I44" i="82" s="1"/>
  <c r="H70" i="82"/>
  <c r="F44" i="82" s="1"/>
  <c r="G70" i="82"/>
  <c r="E44" i="82" s="1"/>
  <c r="F70" i="82"/>
  <c r="D44" i="82" s="1"/>
  <c r="E70" i="82"/>
  <c r="C44" i="82" s="1"/>
  <c r="L44" i="82" s="1"/>
  <c r="D70" i="82"/>
  <c r="C70" i="82"/>
  <c r="B44" i="82" s="1"/>
  <c r="A70" i="82"/>
  <c r="A44" i="82" s="1"/>
  <c r="J69" i="82"/>
  <c r="H43" i="82" s="1"/>
  <c r="I69" i="82"/>
  <c r="H69" i="82"/>
  <c r="F43" i="82" s="1"/>
  <c r="G69" i="82"/>
  <c r="E43" i="82" s="1"/>
  <c r="F69" i="82"/>
  <c r="D43" i="82" s="1"/>
  <c r="E69" i="82"/>
  <c r="C43" i="82" s="1"/>
  <c r="L43" i="82" s="1"/>
  <c r="D69" i="82"/>
  <c r="C69" i="82"/>
  <c r="B43" i="82" s="1"/>
  <c r="A69" i="82"/>
  <c r="A43" i="82" s="1"/>
  <c r="J68" i="82"/>
  <c r="H42" i="82" s="1"/>
  <c r="I68" i="82"/>
  <c r="G42" i="82" s="1"/>
  <c r="I42" i="82" s="1"/>
  <c r="H68" i="82"/>
  <c r="F42" i="82" s="1"/>
  <c r="G68" i="82"/>
  <c r="E42" i="82" s="1"/>
  <c r="F68" i="82"/>
  <c r="D42" i="82" s="1"/>
  <c r="E68" i="82"/>
  <c r="C42" i="82" s="1"/>
  <c r="L42" i="82" s="1"/>
  <c r="D68" i="82"/>
  <c r="C68" i="82"/>
  <c r="A68" i="82"/>
  <c r="J64" i="82"/>
  <c r="H38" i="82" s="1"/>
  <c r="I64" i="82"/>
  <c r="G38" i="82" s="1"/>
  <c r="H64" i="82"/>
  <c r="F38" i="82" s="1"/>
  <c r="G64" i="82"/>
  <c r="E38" i="82" s="1"/>
  <c r="F64" i="82"/>
  <c r="D38" i="82" s="1"/>
  <c r="E64" i="82"/>
  <c r="C38" i="82" s="1"/>
  <c r="L38" i="82" s="1"/>
  <c r="D64" i="82"/>
  <c r="C64" i="82"/>
  <c r="A64" i="82"/>
  <c r="A38" i="82" s="1"/>
  <c r="J63" i="82"/>
  <c r="I63" i="82"/>
  <c r="G37" i="82" s="1"/>
  <c r="I37" i="82" s="1"/>
  <c r="H63" i="82"/>
  <c r="F37" i="82" s="1"/>
  <c r="G63" i="82"/>
  <c r="E37" i="82" s="1"/>
  <c r="F63" i="82"/>
  <c r="D37" i="82" s="1"/>
  <c r="E63" i="82"/>
  <c r="C37" i="82" s="1"/>
  <c r="L37" i="82" s="1"/>
  <c r="D63" i="82"/>
  <c r="C63" i="82"/>
  <c r="B37" i="82" s="1"/>
  <c r="A63" i="82"/>
  <c r="A37" i="82" s="1"/>
  <c r="J62" i="82"/>
  <c r="H36" i="82" s="1"/>
  <c r="I62" i="82"/>
  <c r="G36" i="82" s="1"/>
  <c r="H62" i="82"/>
  <c r="F36" i="82" s="1"/>
  <c r="G62" i="82"/>
  <c r="E36" i="82" s="1"/>
  <c r="F62" i="82"/>
  <c r="D36" i="82" s="1"/>
  <c r="E62" i="82"/>
  <c r="C36" i="82" s="1"/>
  <c r="L36" i="82" s="1"/>
  <c r="D62" i="82"/>
  <c r="C62" i="82"/>
  <c r="A62" i="82"/>
  <c r="J58" i="82"/>
  <c r="H32" i="82" s="1"/>
  <c r="I58" i="82"/>
  <c r="G32" i="82" s="1"/>
  <c r="H58" i="82"/>
  <c r="F32" i="82" s="1"/>
  <c r="G58" i="82"/>
  <c r="E32" i="82" s="1"/>
  <c r="F58" i="82"/>
  <c r="D32" i="82" s="1"/>
  <c r="E58" i="82"/>
  <c r="C32" i="82" s="1"/>
  <c r="L32" i="82" s="1"/>
  <c r="D58" i="82"/>
  <c r="C58" i="82"/>
  <c r="B32" i="82" s="1"/>
  <c r="A58" i="82"/>
  <c r="A32" i="82" s="1"/>
  <c r="J57" i="82"/>
  <c r="H31" i="82" s="1"/>
  <c r="I57" i="82"/>
  <c r="G31" i="82" s="1"/>
  <c r="H57" i="82"/>
  <c r="F31" i="82" s="1"/>
  <c r="G57" i="82"/>
  <c r="E31" i="82" s="1"/>
  <c r="F57" i="82"/>
  <c r="D31" i="82" s="1"/>
  <c r="E57" i="82"/>
  <c r="C31" i="82" s="1"/>
  <c r="L31" i="82" s="1"/>
  <c r="D57" i="82"/>
  <c r="C57" i="82"/>
  <c r="B31" i="82" s="1"/>
  <c r="A57" i="82"/>
  <c r="A31" i="82" s="1"/>
  <c r="J56" i="82"/>
  <c r="H30" i="82" s="1"/>
  <c r="I56" i="82"/>
  <c r="G30" i="82" s="1"/>
  <c r="I30" i="82" s="1"/>
  <c r="H56" i="82"/>
  <c r="F30" i="82" s="1"/>
  <c r="G56" i="82"/>
  <c r="E30" i="82" s="1"/>
  <c r="F56" i="82"/>
  <c r="D30" i="82" s="1"/>
  <c r="E56" i="82"/>
  <c r="C30" i="82" s="1"/>
  <c r="L30" i="82" s="1"/>
  <c r="D56" i="82"/>
  <c r="A28" i="82" s="1"/>
  <c r="C56" i="82"/>
  <c r="B30" i="82" s="1"/>
  <c r="A56" i="82"/>
  <c r="A30" i="82" s="1"/>
  <c r="W32" i="82"/>
  <c r="V32" i="82"/>
  <c r="W31" i="82"/>
  <c r="V31" i="82"/>
  <c r="W30" i="82"/>
  <c r="V30" i="82"/>
  <c r="A18" i="81"/>
  <c r="B18" i="81"/>
  <c r="C18" i="81"/>
  <c r="E18" i="81"/>
  <c r="F18" i="81"/>
  <c r="G18" i="81"/>
  <c r="H18" i="81"/>
  <c r="I18" i="81" s="1"/>
  <c r="J18" i="81" s="1"/>
  <c r="K18" i="81" s="1"/>
  <c r="M18" i="81" s="1"/>
  <c r="N18" i="81" s="1"/>
  <c r="O18" i="81" s="1"/>
  <c r="A19" i="81"/>
  <c r="B19" i="81"/>
  <c r="C19" i="81"/>
  <c r="E19" i="81"/>
  <c r="F19" i="81"/>
  <c r="G19" i="81"/>
  <c r="H19" i="81"/>
  <c r="A20" i="81"/>
  <c r="B20" i="81"/>
  <c r="C20" i="81"/>
  <c r="E20" i="81"/>
  <c r="F20" i="81"/>
  <c r="G20" i="81"/>
  <c r="I20" i="81" s="1"/>
  <c r="J20" i="81" s="1"/>
  <c r="K20" i="81" s="1"/>
  <c r="M20" i="81" s="1"/>
  <c r="H20" i="81"/>
  <c r="A21" i="81"/>
  <c r="B21" i="81"/>
  <c r="C21" i="81"/>
  <c r="L21" i="81" s="1"/>
  <c r="E21" i="81"/>
  <c r="F21" i="81"/>
  <c r="G21" i="81"/>
  <c r="H21" i="81"/>
  <c r="A22" i="81"/>
  <c r="B22" i="81"/>
  <c r="C22" i="81"/>
  <c r="L22" i="81" s="1"/>
  <c r="E22" i="81"/>
  <c r="F22" i="81"/>
  <c r="G22" i="81"/>
  <c r="H22" i="81"/>
  <c r="A23" i="81"/>
  <c r="B23" i="81"/>
  <c r="C23" i="81"/>
  <c r="E23" i="81"/>
  <c r="F23" i="81"/>
  <c r="G23" i="81"/>
  <c r="H23" i="81"/>
  <c r="I23" i="81" s="1"/>
  <c r="J23" i="81" s="1"/>
  <c r="K23" i="81" s="1"/>
  <c r="M23" i="81" s="1"/>
  <c r="N23" i="81" s="1"/>
  <c r="O23" i="81" s="1"/>
  <c r="A24" i="81"/>
  <c r="B24" i="81"/>
  <c r="C24" i="81"/>
  <c r="E24" i="81"/>
  <c r="F24" i="81"/>
  <c r="G24" i="81"/>
  <c r="I24" i="81" s="1"/>
  <c r="J24" i="81" s="1"/>
  <c r="K24" i="81" s="1"/>
  <c r="M24" i="81" s="1"/>
  <c r="H24" i="81"/>
  <c r="F17" i="81"/>
  <c r="G17" i="81"/>
  <c r="H17" i="81"/>
  <c r="E17" i="81"/>
  <c r="C17" i="81"/>
  <c r="B17" i="81"/>
  <c r="A17" i="81"/>
  <c r="W24" i="81"/>
  <c r="V24" i="81"/>
  <c r="L24" i="81"/>
  <c r="W23" i="81"/>
  <c r="V23" i="81"/>
  <c r="L23" i="81"/>
  <c r="W22" i="81"/>
  <c r="V22" i="81"/>
  <c r="I22" i="81"/>
  <c r="J22" i="81" s="1"/>
  <c r="K22" i="81" s="1"/>
  <c r="M22" i="81" s="1"/>
  <c r="N22" i="81" s="1"/>
  <c r="O22" i="81" s="1"/>
  <c r="W21" i="81"/>
  <c r="V21" i="81"/>
  <c r="I21" i="81"/>
  <c r="J21" i="81" s="1"/>
  <c r="K21" i="81" s="1"/>
  <c r="M21" i="81" s="1"/>
  <c r="W20" i="81"/>
  <c r="V20" i="81"/>
  <c r="L20" i="81"/>
  <c r="W19" i="81"/>
  <c r="V19" i="81"/>
  <c r="L19" i="81"/>
  <c r="I19" i="81"/>
  <c r="J19" i="81" s="1"/>
  <c r="K19" i="81" s="1"/>
  <c r="M19" i="81" s="1"/>
  <c r="N19" i="81" s="1"/>
  <c r="O19" i="81" s="1"/>
  <c r="W18" i="81"/>
  <c r="V18" i="81"/>
  <c r="L18" i="81"/>
  <c r="W17" i="81"/>
  <c r="V17" i="81"/>
  <c r="L17" i="81"/>
  <c r="I17" i="81"/>
  <c r="J17" i="81" s="1"/>
  <c r="K17" i="81" s="1"/>
  <c r="M17" i="81" s="1"/>
  <c r="W106" i="80"/>
  <c r="V106" i="80"/>
  <c r="I106" i="80"/>
  <c r="J106" i="80" s="1"/>
  <c r="D106" i="80"/>
  <c r="C106" i="80"/>
  <c r="L106" i="80" s="1"/>
  <c r="A106" i="80"/>
  <c r="W105" i="80"/>
  <c r="V105" i="80"/>
  <c r="I105" i="80"/>
  <c r="D105" i="80"/>
  <c r="C105" i="80"/>
  <c r="L105" i="80" s="1"/>
  <c r="A105" i="80"/>
  <c r="W104" i="80"/>
  <c r="V104" i="80"/>
  <c r="L104" i="80"/>
  <c r="I104" i="80"/>
  <c r="J104" i="80" s="1"/>
  <c r="K104" i="80" s="1"/>
  <c r="M104" i="80" s="1"/>
  <c r="D104" i="80"/>
  <c r="C104" i="80"/>
  <c r="A104" i="80"/>
  <c r="W103" i="80"/>
  <c r="V103" i="80"/>
  <c r="L103" i="80"/>
  <c r="I103" i="80"/>
  <c r="J103" i="80" s="1"/>
  <c r="K103" i="80" s="1"/>
  <c r="M103" i="80" s="1"/>
  <c r="N103" i="80" s="1"/>
  <c r="O103" i="80" s="1"/>
  <c r="D103" i="80"/>
  <c r="C103" i="80"/>
  <c r="A103" i="80"/>
  <c r="W102" i="80"/>
  <c r="V102" i="80"/>
  <c r="L102" i="80"/>
  <c r="I102" i="80"/>
  <c r="J102" i="80" s="1"/>
  <c r="K102" i="80" s="1"/>
  <c r="D102" i="80"/>
  <c r="C102" i="80"/>
  <c r="A102" i="80"/>
  <c r="W101" i="80"/>
  <c r="V101" i="80"/>
  <c r="I101" i="80"/>
  <c r="J101" i="80" s="1"/>
  <c r="D101" i="80"/>
  <c r="C101" i="80"/>
  <c r="A101" i="80"/>
  <c r="W100" i="80"/>
  <c r="V100" i="80"/>
  <c r="I100" i="80"/>
  <c r="J100" i="80" s="1"/>
  <c r="K100" i="80" s="1"/>
  <c r="M100" i="80" s="1"/>
  <c r="D100" i="80"/>
  <c r="C100" i="80"/>
  <c r="L100" i="80" s="1"/>
  <c r="A100" i="80"/>
  <c r="W99" i="80"/>
  <c r="V99" i="80"/>
  <c r="I99" i="80"/>
  <c r="D99" i="80"/>
  <c r="C99" i="80"/>
  <c r="L99" i="80" s="1"/>
  <c r="A99" i="80"/>
  <c r="W98" i="80"/>
  <c r="V98" i="80"/>
  <c r="I98" i="80"/>
  <c r="J98" i="80" s="1"/>
  <c r="K98" i="80" s="1"/>
  <c r="M98" i="80" s="1"/>
  <c r="N98" i="80" s="1"/>
  <c r="O98" i="80" s="1"/>
  <c r="D98" i="80"/>
  <c r="C98" i="80"/>
  <c r="L98" i="80" s="1"/>
  <c r="A98" i="80"/>
  <c r="D97" i="80"/>
  <c r="C97" i="80"/>
  <c r="A97" i="80"/>
  <c r="W93" i="80"/>
  <c r="V93" i="80"/>
  <c r="L93" i="80"/>
  <c r="I93" i="80"/>
  <c r="J93" i="80" s="1"/>
  <c r="K93" i="80" s="1"/>
  <c r="M93" i="80" s="1"/>
  <c r="N93" i="80" s="1"/>
  <c r="O93" i="80" s="1"/>
  <c r="D93" i="80"/>
  <c r="C93" i="80"/>
  <c r="A93" i="80"/>
  <c r="W92" i="80"/>
  <c r="V92" i="80"/>
  <c r="L92" i="80"/>
  <c r="I92" i="80"/>
  <c r="J92" i="80" s="1"/>
  <c r="K92" i="80" s="1"/>
  <c r="M92" i="80" s="1"/>
  <c r="N92" i="80" s="1"/>
  <c r="O92" i="80" s="1"/>
  <c r="D92" i="80"/>
  <c r="C92" i="80"/>
  <c r="A92" i="80"/>
  <c r="W91" i="80"/>
  <c r="V91" i="80"/>
  <c r="L91" i="80"/>
  <c r="I91" i="80"/>
  <c r="J91" i="80" s="1"/>
  <c r="K91" i="80" s="1"/>
  <c r="D91" i="80"/>
  <c r="C91" i="80"/>
  <c r="A91" i="80"/>
  <c r="W90" i="80"/>
  <c r="V90" i="80"/>
  <c r="L90" i="80"/>
  <c r="I90" i="80"/>
  <c r="J90" i="80" s="1"/>
  <c r="D90" i="80"/>
  <c r="C90" i="80"/>
  <c r="A90" i="80"/>
  <c r="W89" i="80"/>
  <c r="V89" i="80"/>
  <c r="I89" i="80"/>
  <c r="J89" i="80" s="1"/>
  <c r="D89" i="80"/>
  <c r="C89" i="80"/>
  <c r="A89" i="80"/>
  <c r="W88" i="80"/>
  <c r="V88" i="80"/>
  <c r="I88" i="80"/>
  <c r="J88" i="80" s="1"/>
  <c r="K88" i="80" s="1"/>
  <c r="D88" i="80"/>
  <c r="C88" i="80"/>
  <c r="A88" i="80"/>
  <c r="W87" i="80"/>
  <c r="V87" i="80"/>
  <c r="L87" i="80"/>
  <c r="I87" i="80"/>
  <c r="J87" i="80" s="1"/>
  <c r="K87" i="80" s="1"/>
  <c r="M87" i="80" s="1"/>
  <c r="N87" i="80" s="1"/>
  <c r="O87" i="80" s="1"/>
  <c r="D87" i="80"/>
  <c r="C87" i="80"/>
  <c r="A87" i="80"/>
  <c r="W86" i="80"/>
  <c r="V86" i="80"/>
  <c r="L86" i="80"/>
  <c r="I86" i="80"/>
  <c r="J86" i="80" s="1"/>
  <c r="K86" i="80" s="1"/>
  <c r="M86" i="80" s="1"/>
  <c r="N86" i="80" s="1"/>
  <c r="O86" i="80" s="1"/>
  <c r="D86" i="80"/>
  <c r="C86" i="80"/>
  <c r="A86" i="80"/>
  <c r="W85" i="80"/>
  <c r="V85" i="80"/>
  <c r="I85" i="80"/>
  <c r="J85" i="80" s="1"/>
  <c r="K85" i="80" s="1"/>
  <c r="D85" i="80"/>
  <c r="C85" i="80"/>
  <c r="A85" i="80"/>
  <c r="D84" i="80"/>
  <c r="C84" i="80"/>
  <c r="E80" i="80"/>
  <c r="E79" i="80"/>
  <c r="E78" i="80"/>
  <c r="E77" i="80"/>
  <c r="E76" i="80"/>
  <c r="E75" i="80"/>
  <c r="E74" i="80"/>
  <c r="E73" i="80"/>
  <c r="E72" i="80"/>
  <c r="E71" i="80"/>
  <c r="A84" i="80"/>
  <c r="W80" i="80"/>
  <c r="V80" i="80"/>
  <c r="I80" i="80"/>
  <c r="J80" i="80" s="1"/>
  <c r="H80" i="80"/>
  <c r="G80" i="80"/>
  <c r="F80" i="80"/>
  <c r="K80" i="80" s="1"/>
  <c r="M80" i="80" s="1"/>
  <c r="D80" i="80"/>
  <c r="C80" i="80"/>
  <c r="L80" i="80" s="1"/>
  <c r="A80" i="80"/>
  <c r="W79" i="80"/>
  <c r="V79" i="80"/>
  <c r="L79" i="80"/>
  <c r="H79" i="80"/>
  <c r="G79" i="80"/>
  <c r="I79" i="80" s="1"/>
  <c r="F79" i="80"/>
  <c r="D79" i="80"/>
  <c r="C79" i="80"/>
  <c r="A79" i="80"/>
  <c r="W78" i="80"/>
  <c r="V78" i="80"/>
  <c r="L78" i="80"/>
  <c r="I78" i="80"/>
  <c r="H78" i="80"/>
  <c r="G78" i="80"/>
  <c r="F78" i="80"/>
  <c r="D78" i="80"/>
  <c r="C78" i="80"/>
  <c r="A78" i="80"/>
  <c r="W77" i="80"/>
  <c r="V77" i="80"/>
  <c r="H77" i="80"/>
  <c r="G77" i="80"/>
  <c r="I77" i="80" s="1"/>
  <c r="F77" i="80"/>
  <c r="D77" i="80"/>
  <c r="C77" i="80"/>
  <c r="A77" i="80"/>
  <c r="W76" i="80"/>
  <c r="V76" i="80"/>
  <c r="H76" i="80"/>
  <c r="G76" i="80"/>
  <c r="I76" i="80" s="1"/>
  <c r="J76" i="80" s="1"/>
  <c r="F76" i="80"/>
  <c r="K76" i="80" s="1"/>
  <c r="M76" i="80" s="1"/>
  <c r="N76" i="80" s="1"/>
  <c r="O76" i="80" s="1"/>
  <c r="D76" i="80"/>
  <c r="C76" i="80"/>
  <c r="L76" i="80" s="1"/>
  <c r="A76" i="80"/>
  <c r="W75" i="80"/>
  <c r="V75" i="80"/>
  <c r="H75" i="80"/>
  <c r="G75" i="80"/>
  <c r="I75" i="80" s="1"/>
  <c r="J75" i="80" s="1"/>
  <c r="K75" i="80" s="1"/>
  <c r="F75" i="80"/>
  <c r="D75" i="80"/>
  <c r="C75" i="80"/>
  <c r="A75" i="80"/>
  <c r="W74" i="80"/>
  <c r="V74" i="80"/>
  <c r="I74" i="80"/>
  <c r="J74" i="80" s="1"/>
  <c r="K74" i="80" s="1"/>
  <c r="M74" i="80" s="1"/>
  <c r="H74" i="80"/>
  <c r="G74" i="80"/>
  <c r="F74" i="80"/>
  <c r="D74" i="80"/>
  <c r="C74" i="80"/>
  <c r="L74" i="80" s="1"/>
  <c r="A74" i="80"/>
  <c r="W73" i="80"/>
  <c r="V73" i="80"/>
  <c r="L73" i="80"/>
  <c r="H73" i="80"/>
  <c r="G73" i="80"/>
  <c r="I73" i="80" s="1"/>
  <c r="J73" i="80" s="1"/>
  <c r="K73" i="80" s="1"/>
  <c r="M73" i="80" s="1"/>
  <c r="N73" i="80" s="1"/>
  <c r="O73" i="80" s="1"/>
  <c r="F73" i="80"/>
  <c r="D73" i="80"/>
  <c r="C73" i="80"/>
  <c r="A73" i="80"/>
  <c r="W72" i="80"/>
  <c r="V72" i="80"/>
  <c r="I72" i="80"/>
  <c r="J72" i="80" s="1"/>
  <c r="K72" i="80" s="1"/>
  <c r="M72" i="80" s="1"/>
  <c r="N72" i="80" s="1"/>
  <c r="O72" i="80" s="1"/>
  <c r="H72" i="80"/>
  <c r="G72" i="80"/>
  <c r="F72" i="80"/>
  <c r="D72" i="80"/>
  <c r="C72" i="80"/>
  <c r="L72" i="80" s="1"/>
  <c r="A72" i="80"/>
  <c r="D71" i="80"/>
  <c r="C71" i="80"/>
  <c r="H71" i="80"/>
  <c r="G71" i="80"/>
  <c r="F71" i="80"/>
  <c r="A71" i="80"/>
  <c r="M88" i="80" l="1"/>
  <c r="J17" i="85"/>
  <c r="K17" i="85" s="1"/>
  <c r="M17" i="85" s="1"/>
  <c r="J33" i="85"/>
  <c r="K33" i="85" s="1"/>
  <c r="M33" i="85" s="1"/>
  <c r="S33" i="85" s="1"/>
  <c r="U33" i="85" s="1"/>
  <c r="Y33" i="85" s="1"/>
  <c r="J29" i="85"/>
  <c r="K29" i="85" s="1"/>
  <c r="M29" i="85" s="1"/>
  <c r="N29" i="85" s="1"/>
  <c r="O29" i="85" s="1"/>
  <c r="J26" i="85"/>
  <c r="K26" i="85" s="1"/>
  <c r="M26" i="85" s="1"/>
  <c r="N26" i="85" s="1"/>
  <c r="O26" i="85" s="1"/>
  <c r="J23" i="85"/>
  <c r="K23" i="85" s="1"/>
  <c r="M23" i="85" s="1"/>
  <c r="N23" i="85" s="1"/>
  <c r="O23" i="85" s="1"/>
  <c r="J20" i="85"/>
  <c r="K20" i="85" s="1"/>
  <c r="M20" i="85" s="1"/>
  <c r="S18" i="85"/>
  <c r="U18" i="85" s="1"/>
  <c r="Y18" i="85" s="1"/>
  <c r="S21" i="85"/>
  <c r="U21" i="85" s="1"/>
  <c r="Y21" i="85" s="1"/>
  <c r="S27" i="85"/>
  <c r="U27" i="85" s="1"/>
  <c r="Y27" i="85" s="1"/>
  <c r="J19" i="85"/>
  <c r="K19" i="85" s="1"/>
  <c r="M19" i="85" s="1"/>
  <c r="N19" i="85" s="1"/>
  <c r="O19" i="85" s="1"/>
  <c r="J22" i="85"/>
  <c r="K22" i="85" s="1"/>
  <c r="M22" i="85" s="1"/>
  <c r="N22" i="85" s="1"/>
  <c r="O22" i="85" s="1"/>
  <c r="J25" i="85"/>
  <c r="K25" i="85" s="1"/>
  <c r="M25" i="85" s="1"/>
  <c r="N25" i="85" s="1"/>
  <c r="O25" i="85" s="1"/>
  <c r="J28" i="85"/>
  <c r="K28" i="85" s="1"/>
  <c r="M28" i="85" s="1"/>
  <c r="S28" i="85" s="1"/>
  <c r="U28" i="85" s="1"/>
  <c r="Y28" i="85" s="1"/>
  <c r="J31" i="85"/>
  <c r="K31" i="85" s="1"/>
  <c r="M31" i="85" s="1"/>
  <c r="N31" i="85" s="1"/>
  <c r="O31" i="85" s="1"/>
  <c r="S23" i="85"/>
  <c r="U23" i="85" s="1"/>
  <c r="Y23" i="85" s="1"/>
  <c r="S17" i="85"/>
  <c r="U17" i="85" s="1"/>
  <c r="Y17" i="85" s="1"/>
  <c r="N17" i="85"/>
  <c r="O17" i="85" s="1"/>
  <c r="N24" i="85"/>
  <c r="O24" i="85" s="1"/>
  <c r="R24" i="85"/>
  <c r="T24" i="85" s="1"/>
  <c r="X24" i="85" s="1"/>
  <c r="S24" i="85"/>
  <c r="U24" i="85" s="1"/>
  <c r="Y24" i="85" s="1"/>
  <c r="S30" i="85"/>
  <c r="U30" i="85" s="1"/>
  <c r="Y30" i="85" s="1"/>
  <c r="S19" i="85"/>
  <c r="U19" i="85" s="1"/>
  <c r="Y19" i="85" s="1"/>
  <c r="N20" i="85"/>
  <c r="O20" i="85" s="1"/>
  <c r="S20" i="85"/>
  <c r="U20" i="85" s="1"/>
  <c r="Y20" i="85" s="1"/>
  <c r="R20" i="85"/>
  <c r="T20" i="85" s="1"/>
  <c r="X20" i="85" s="1"/>
  <c r="S26" i="85"/>
  <c r="U26" i="85" s="1"/>
  <c r="Y26" i="85" s="1"/>
  <c r="S29" i="85"/>
  <c r="U29" i="85" s="1"/>
  <c r="Y29" i="85" s="1"/>
  <c r="N32" i="85"/>
  <c r="O32" i="85" s="1"/>
  <c r="R32" i="85"/>
  <c r="T32" i="85" s="1"/>
  <c r="X32" i="85" s="1"/>
  <c r="S32" i="85"/>
  <c r="U32" i="85" s="1"/>
  <c r="Y32" i="85" s="1"/>
  <c r="R17" i="85"/>
  <c r="T17" i="85" s="1"/>
  <c r="X17" i="85" s="1"/>
  <c r="R21" i="85"/>
  <c r="T21" i="85" s="1"/>
  <c r="X21" i="85" s="1"/>
  <c r="R29" i="85"/>
  <c r="T29" i="85" s="1"/>
  <c r="X29" i="85" s="1"/>
  <c r="R33" i="85"/>
  <c r="T33" i="85" s="1"/>
  <c r="X33" i="85" s="1"/>
  <c r="R18" i="85"/>
  <c r="T18" i="85" s="1"/>
  <c r="X18" i="85" s="1"/>
  <c r="R22" i="85"/>
  <c r="T22" i="85" s="1"/>
  <c r="X22" i="85" s="1"/>
  <c r="R26" i="85"/>
  <c r="T26" i="85" s="1"/>
  <c r="X26" i="85" s="1"/>
  <c r="R30" i="85"/>
  <c r="T30" i="85" s="1"/>
  <c r="X30" i="85" s="1"/>
  <c r="R19" i="85"/>
  <c r="T19" i="85" s="1"/>
  <c r="X19" i="85" s="1"/>
  <c r="R23" i="85"/>
  <c r="T23" i="85" s="1"/>
  <c r="X23" i="85" s="1"/>
  <c r="R27" i="85"/>
  <c r="T27" i="85" s="1"/>
  <c r="X27" i="85" s="1"/>
  <c r="S38" i="84"/>
  <c r="U38" i="84" s="1"/>
  <c r="Y38" i="84" s="1"/>
  <c r="I18" i="84"/>
  <c r="J18" i="84" s="1"/>
  <c r="K18" i="84" s="1"/>
  <c r="M18" i="84" s="1"/>
  <c r="R18" i="84" s="1"/>
  <c r="T18" i="84" s="1"/>
  <c r="X18" i="84" s="1"/>
  <c r="J34" i="84"/>
  <c r="K34" i="84" s="1"/>
  <c r="M34" i="84" s="1"/>
  <c r="I33" i="84"/>
  <c r="J33" i="84" s="1"/>
  <c r="K33" i="84" s="1"/>
  <c r="M33" i="84" s="1"/>
  <c r="S39" i="84"/>
  <c r="U39" i="84" s="1"/>
  <c r="Y39" i="84" s="1"/>
  <c r="R39" i="84"/>
  <c r="T39" i="84" s="1"/>
  <c r="X39" i="84" s="1"/>
  <c r="R38" i="84"/>
  <c r="T38" i="84" s="1"/>
  <c r="X38" i="84" s="1"/>
  <c r="S24" i="84"/>
  <c r="U24" i="84" s="1"/>
  <c r="Y24" i="84" s="1"/>
  <c r="J32" i="84"/>
  <c r="K32" i="84" s="1"/>
  <c r="M32" i="84" s="1"/>
  <c r="N31" i="84"/>
  <c r="O31" i="84" s="1"/>
  <c r="R31" i="84"/>
  <c r="T31" i="84" s="1"/>
  <c r="X31" i="84" s="1"/>
  <c r="R32" i="84"/>
  <c r="T32" i="84" s="1"/>
  <c r="X32" i="84" s="1"/>
  <c r="N32" i="84"/>
  <c r="O32" i="84" s="1"/>
  <c r="S32" i="84"/>
  <c r="U32" i="84" s="1"/>
  <c r="Y32" i="84" s="1"/>
  <c r="L34" i="84"/>
  <c r="S31" i="84"/>
  <c r="U31" i="84" s="1"/>
  <c r="Y31" i="84" s="1"/>
  <c r="S25" i="84"/>
  <c r="U25" i="84" s="1"/>
  <c r="Y25" i="84" s="1"/>
  <c r="R25" i="84"/>
  <c r="T25" i="84" s="1"/>
  <c r="X25" i="84" s="1"/>
  <c r="M26" i="84"/>
  <c r="S26" i="84" s="1"/>
  <c r="U26" i="84" s="1"/>
  <c r="Y26" i="84" s="1"/>
  <c r="M27" i="84"/>
  <c r="N27" i="84" s="1"/>
  <c r="O27" i="84" s="1"/>
  <c r="R24" i="84"/>
  <c r="T24" i="84" s="1"/>
  <c r="X24" i="84" s="1"/>
  <c r="I17" i="84"/>
  <c r="J17" i="84" s="1"/>
  <c r="K17" i="84" s="1"/>
  <c r="M17" i="84" s="1"/>
  <c r="S17" i="84" s="1"/>
  <c r="U17" i="84" s="1"/>
  <c r="Y17" i="84" s="1"/>
  <c r="J19" i="84"/>
  <c r="K19" i="84" s="1"/>
  <c r="M19" i="84" s="1"/>
  <c r="N19" i="84" s="1"/>
  <c r="O19" i="84" s="1"/>
  <c r="S18" i="84"/>
  <c r="U18" i="84" s="1"/>
  <c r="Y18" i="84" s="1"/>
  <c r="N18" i="84"/>
  <c r="O18" i="84" s="1"/>
  <c r="N20" i="84"/>
  <c r="O20" i="84" s="1"/>
  <c r="S20" i="84"/>
  <c r="U20" i="84" s="1"/>
  <c r="Y20" i="84" s="1"/>
  <c r="R20" i="84"/>
  <c r="T20" i="84" s="1"/>
  <c r="X20" i="84" s="1"/>
  <c r="R19" i="84"/>
  <c r="T19" i="84" s="1"/>
  <c r="X19" i="84" s="1"/>
  <c r="I36" i="82"/>
  <c r="J36" i="82" s="1"/>
  <c r="K36" i="82" s="1"/>
  <c r="M36" i="82" s="1"/>
  <c r="N36" i="82" s="1"/>
  <c r="O36" i="82" s="1"/>
  <c r="J42" i="82"/>
  <c r="K42" i="82" s="1"/>
  <c r="M42" i="82" s="1"/>
  <c r="J49" i="82"/>
  <c r="K49" i="82" s="1"/>
  <c r="M49" i="82" s="1"/>
  <c r="N49" i="82" s="1"/>
  <c r="O49" i="82" s="1"/>
  <c r="J48" i="82"/>
  <c r="K48" i="82" s="1"/>
  <c r="M48" i="82" s="1"/>
  <c r="I38" i="82"/>
  <c r="J38" i="82" s="1"/>
  <c r="K38" i="82" s="1"/>
  <c r="M38" i="82" s="1"/>
  <c r="N38" i="82" s="1"/>
  <c r="O38" i="82" s="1"/>
  <c r="J44" i="82"/>
  <c r="K44" i="82" s="1"/>
  <c r="M44" i="82" s="1"/>
  <c r="N44" i="82" s="1"/>
  <c r="O44" i="82" s="1"/>
  <c r="J37" i="82"/>
  <c r="K37" i="82" s="1"/>
  <c r="M37" i="82" s="1"/>
  <c r="N37" i="82" s="1"/>
  <c r="O37" i="82" s="1"/>
  <c r="I43" i="82"/>
  <c r="J43" i="82" s="1"/>
  <c r="K43" i="82" s="1"/>
  <c r="M43" i="82" s="1"/>
  <c r="N43" i="82" s="1"/>
  <c r="O43" i="82" s="1"/>
  <c r="K50" i="82"/>
  <c r="M50" i="82" s="1"/>
  <c r="N50" i="82" s="1"/>
  <c r="O50" i="82" s="1"/>
  <c r="S49" i="82"/>
  <c r="U49" i="82" s="1"/>
  <c r="Y49" i="82" s="1"/>
  <c r="R49" i="82"/>
  <c r="T49" i="82" s="1"/>
  <c r="X49" i="82" s="1"/>
  <c r="S38" i="82"/>
  <c r="U38" i="82" s="1"/>
  <c r="Y38" i="82" s="1"/>
  <c r="S37" i="82"/>
  <c r="U37" i="82" s="1"/>
  <c r="Y37" i="82" s="1"/>
  <c r="S36" i="82"/>
  <c r="U36" i="82" s="1"/>
  <c r="Y36" i="82" s="1"/>
  <c r="R38" i="82"/>
  <c r="T38" i="82" s="1"/>
  <c r="X38" i="82" s="1"/>
  <c r="R36" i="82"/>
  <c r="T36" i="82" s="1"/>
  <c r="X36" i="82" s="1"/>
  <c r="I32" i="82"/>
  <c r="J32" i="82" s="1"/>
  <c r="K32" i="82" s="1"/>
  <c r="M32" i="82" s="1"/>
  <c r="N32" i="82" s="1"/>
  <c r="O32" i="82" s="1"/>
  <c r="I31" i="82"/>
  <c r="J31" i="82" s="1"/>
  <c r="K31" i="82" s="1"/>
  <c r="M31" i="82" s="1"/>
  <c r="N31" i="82" s="1"/>
  <c r="O31" i="82" s="1"/>
  <c r="J30" i="82"/>
  <c r="K30" i="82" s="1"/>
  <c r="M30" i="82" s="1"/>
  <c r="N30" i="82" s="1"/>
  <c r="O30" i="82" s="1"/>
  <c r="R22" i="81"/>
  <c r="T22" i="81" s="1"/>
  <c r="X22" i="81" s="1"/>
  <c r="S19" i="81"/>
  <c r="U19" i="81" s="1"/>
  <c r="Y19" i="81" s="1"/>
  <c r="S21" i="81"/>
  <c r="U21" i="81" s="1"/>
  <c r="Y21" i="81" s="1"/>
  <c r="R21" i="81"/>
  <c r="T21" i="81" s="1"/>
  <c r="X21" i="81" s="1"/>
  <c r="N21" i="81"/>
  <c r="O21" i="81" s="1"/>
  <c r="N24" i="81"/>
  <c r="O24" i="81" s="1"/>
  <c r="S24" i="81"/>
  <c r="U24" i="81" s="1"/>
  <c r="Y24" i="81" s="1"/>
  <c r="R24" i="81"/>
  <c r="T24" i="81" s="1"/>
  <c r="X24" i="81" s="1"/>
  <c r="S17" i="81"/>
  <c r="U17" i="81" s="1"/>
  <c r="Y17" i="81" s="1"/>
  <c r="R17" i="81"/>
  <c r="T17" i="81" s="1"/>
  <c r="X17" i="81" s="1"/>
  <c r="N17" i="81"/>
  <c r="O17" i="81" s="1"/>
  <c r="N20" i="81"/>
  <c r="O20" i="81" s="1"/>
  <c r="R20" i="81"/>
  <c r="T20" i="81" s="1"/>
  <c r="X20" i="81" s="1"/>
  <c r="S20" i="81"/>
  <c r="U20" i="81" s="1"/>
  <c r="Y20" i="81" s="1"/>
  <c r="R18" i="81"/>
  <c r="T18" i="81" s="1"/>
  <c r="X18" i="81" s="1"/>
  <c r="S23" i="81"/>
  <c r="U23" i="81" s="1"/>
  <c r="Y23" i="81" s="1"/>
  <c r="S18" i="81"/>
  <c r="U18" i="81" s="1"/>
  <c r="Y18" i="81" s="1"/>
  <c r="S22" i="81"/>
  <c r="U22" i="81" s="1"/>
  <c r="Y22" i="81" s="1"/>
  <c r="R19" i="81"/>
  <c r="T19" i="81" s="1"/>
  <c r="X19" i="81" s="1"/>
  <c r="R23" i="81"/>
  <c r="T23" i="81" s="1"/>
  <c r="X23" i="81" s="1"/>
  <c r="K101" i="80"/>
  <c r="M101" i="80" s="1"/>
  <c r="S86" i="80"/>
  <c r="U86" i="80" s="1"/>
  <c r="Y86" i="80" s="1"/>
  <c r="K90" i="80"/>
  <c r="M90" i="80" s="1"/>
  <c r="R90" i="80" s="1"/>
  <c r="T90" i="80" s="1"/>
  <c r="X90" i="80" s="1"/>
  <c r="S103" i="80"/>
  <c r="U103" i="80" s="1"/>
  <c r="Y103" i="80" s="1"/>
  <c r="S104" i="80"/>
  <c r="U104" i="80" s="1"/>
  <c r="Y104" i="80" s="1"/>
  <c r="K106" i="80"/>
  <c r="M106" i="80" s="1"/>
  <c r="N106" i="80" s="1"/>
  <c r="O106" i="80" s="1"/>
  <c r="R104" i="80"/>
  <c r="T104" i="80" s="1"/>
  <c r="X104" i="80" s="1"/>
  <c r="N104" i="80"/>
  <c r="O104" i="80" s="1"/>
  <c r="S100" i="80"/>
  <c r="U100" i="80" s="1"/>
  <c r="Y100" i="80" s="1"/>
  <c r="R100" i="80"/>
  <c r="T100" i="80" s="1"/>
  <c r="X100" i="80" s="1"/>
  <c r="N100" i="80"/>
  <c r="O100" i="80" s="1"/>
  <c r="R98" i="80"/>
  <c r="T98" i="80" s="1"/>
  <c r="X98" i="80" s="1"/>
  <c r="S98" i="80"/>
  <c r="U98" i="80" s="1"/>
  <c r="Y98" i="80" s="1"/>
  <c r="M102" i="80"/>
  <c r="J99" i="80"/>
  <c r="K99" i="80" s="1"/>
  <c r="M99" i="80" s="1"/>
  <c r="N99" i="80" s="1"/>
  <c r="O99" i="80" s="1"/>
  <c r="J105" i="80"/>
  <c r="K105" i="80" s="1"/>
  <c r="M105" i="80" s="1"/>
  <c r="N105" i="80" s="1"/>
  <c r="O105" i="80" s="1"/>
  <c r="L101" i="80"/>
  <c r="R103" i="80"/>
  <c r="T103" i="80" s="1"/>
  <c r="X103" i="80" s="1"/>
  <c r="M91" i="80"/>
  <c r="N91" i="80" s="1"/>
  <c r="O91" i="80" s="1"/>
  <c r="K89" i="80"/>
  <c r="M89" i="80" s="1"/>
  <c r="M85" i="80"/>
  <c r="S87" i="80"/>
  <c r="U87" i="80" s="1"/>
  <c r="Y87" i="80" s="1"/>
  <c r="S93" i="80"/>
  <c r="U93" i="80" s="1"/>
  <c r="Y93" i="80" s="1"/>
  <c r="S92" i="80"/>
  <c r="U92" i="80" s="1"/>
  <c r="Y92" i="80" s="1"/>
  <c r="L85" i="80"/>
  <c r="R87" i="80"/>
  <c r="T87" i="80" s="1"/>
  <c r="X87" i="80" s="1"/>
  <c r="R93" i="80"/>
  <c r="T93" i="80" s="1"/>
  <c r="X93" i="80" s="1"/>
  <c r="R86" i="80"/>
  <c r="T86" i="80" s="1"/>
  <c r="X86" i="80" s="1"/>
  <c r="R92" i="80"/>
  <c r="T92" i="80" s="1"/>
  <c r="X92" i="80" s="1"/>
  <c r="L89" i="80"/>
  <c r="L88" i="80"/>
  <c r="J77" i="80"/>
  <c r="K77" i="80" s="1"/>
  <c r="M77" i="80" s="1"/>
  <c r="S73" i="80"/>
  <c r="U73" i="80" s="1"/>
  <c r="Y73" i="80" s="1"/>
  <c r="M75" i="80"/>
  <c r="J79" i="80"/>
  <c r="K79" i="80" s="1"/>
  <c r="M79" i="80" s="1"/>
  <c r="N79" i="80" s="1"/>
  <c r="O79" i="80" s="1"/>
  <c r="J78" i="80"/>
  <c r="K78" i="80" s="1"/>
  <c r="M78" i="80" s="1"/>
  <c r="N78" i="80" s="1"/>
  <c r="O78" i="80" s="1"/>
  <c r="S80" i="80"/>
  <c r="U80" i="80" s="1"/>
  <c r="Y80" i="80" s="1"/>
  <c r="R80" i="80"/>
  <c r="T80" i="80" s="1"/>
  <c r="X80" i="80" s="1"/>
  <c r="N80" i="80"/>
  <c r="O80" i="80" s="1"/>
  <c r="S74" i="80"/>
  <c r="U74" i="80" s="1"/>
  <c r="Y74" i="80" s="1"/>
  <c r="R74" i="80"/>
  <c r="T74" i="80" s="1"/>
  <c r="X74" i="80" s="1"/>
  <c r="S72" i="80"/>
  <c r="U72" i="80" s="1"/>
  <c r="Y72" i="80" s="1"/>
  <c r="R72" i="80"/>
  <c r="T72" i="80" s="1"/>
  <c r="X72" i="80" s="1"/>
  <c r="S76" i="80"/>
  <c r="U76" i="80" s="1"/>
  <c r="Y76" i="80" s="1"/>
  <c r="R76" i="80"/>
  <c r="T76" i="80" s="1"/>
  <c r="X76" i="80" s="1"/>
  <c r="N74" i="80"/>
  <c r="O74" i="80" s="1"/>
  <c r="R73" i="80"/>
  <c r="T73" i="80" s="1"/>
  <c r="X73" i="80" s="1"/>
  <c r="L77" i="80"/>
  <c r="L75" i="80"/>
  <c r="H67" i="80"/>
  <c r="G67" i="80"/>
  <c r="I67" i="80" s="1"/>
  <c r="J67" i="80" s="1"/>
  <c r="K67" i="80" s="1"/>
  <c r="F67" i="80"/>
  <c r="E67" i="80"/>
  <c r="H66" i="80"/>
  <c r="G66" i="80"/>
  <c r="F66" i="80"/>
  <c r="E66" i="80"/>
  <c r="H65" i="80"/>
  <c r="G65" i="80"/>
  <c r="F65" i="80"/>
  <c r="E65" i="80"/>
  <c r="H64" i="80"/>
  <c r="G64" i="80"/>
  <c r="F64" i="80"/>
  <c r="E64" i="80"/>
  <c r="H63" i="80"/>
  <c r="G63" i="80"/>
  <c r="F63" i="80"/>
  <c r="E63" i="80"/>
  <c r="H62" i="80"/>
  <c r="G62" i="80"/>
  <c r="I62" i="80" s="1"/>
  <c r="F62" i="80"/>
  <c r="E62" i="80"/>
  <c r="H61" i="80"/>
  <c r="G61" i="80"/>
  <c r="I61" i="80" s="1"/>
  <c r="J61" i="80" s="1"/>
  <c r="K61" i="80" s="1"/>
  <c r="M61" i="80" s="1"/>
  <c r="N61" i="80" s="1"/>
  <c r="O61" i="80" s="1"/>
  <c r="F61" i="80"/>
  <c r="E61" i="80"/>
  <c r="H60" i="80"/>
  <c r="G60" i="80"/>
  <c r="F60" i="80"/>
  <c r="E60" i="80"/>
  <c r="H59" i="80"/>
  <c r="G59" i="80"/>
  <c r="F59" i="80"/>
  <c r="E59" i="80"/>
  <c r="H58" i="80"/>
  <c r="G58" i="80"/>
  <c r="F58" i="80"/>
  <c r="E58" i="80"/>
  <c r="W67" i="80"/>
  <c r="V67" i="80"/>
  <c r="D67" i="80"/>
  <c r="C67" i="80"/>
  <c r="L67" i="80" s="1"/>
  <c r="A67" i="80"/>
  <c r="W66" i="80"/>
  <c r="V66" i="80"/>
  <c r="D66" i="80"/>
  <c r="C66" i="80"/>
  <c r="L66" i="80" s="1"/>
  <c r="A66" i="80"/>
  <c r="W65" i="80"/>
  <c r="V65" i="80"/>
  <c r="L65" i="80"/>
  <c r="D65" i="80"/>
  <c r="C65" i="80"/>
  <c r="A65" i="80"/>
  <c r="W64" i="80"/>
  <c r="V64" i="80"/>
  <c r="I64" i="80"/>
  <c r="D64" i="80"/>
  <c r="C64" i="80"/>
  <c r="A64" i="80"/>
  <c r="W63" i="80"/>
  <c r="V63" i="80"/>
  <c r="D63" i="80"/>
  <c r="C63" i="80"/>
  <c r="A63" i="80"/>
  <c r="W62" i="80"/>
  <c r="V62" i="80"/>
  <c r="D62" i="80"/>
  <c r="C62" i="80"/>
  <c r="A62" i="80"/>
  <c r="W61" i="80"/>
  <c r="V61" i="80"/>
  <c r="D61" i="80"/>
  <c r="C61" i="80"/>
  <c r="L61" i="80" s="1"/>
  <c r="A61" i="80"/>
  <c r="W60" i="80"/>
  <c r="V60" i="80"/>
  <c r="D60" i="80"/>
  <c r="C60" i="80"/>
  <c r="L60" i="80" s="1"/>
  <c r="A60" i="80"/>
  <c r="W59" i="80"/>
  <c r="V59" i="80"/>
  <c r="D59" i="80"/>
  <c r="C59" i="80"/>
  <c r="L59" i="80" s="1"/>
  <c r="A59" i="80"/>
  <c r="D58" i="80"/>
  <c r="C58" i="80"/>
  <c r="A58" i="80"/>
  <c r="W54" i="80"/>
  <c r="V54" i="80"/>
  <c r="L54" i="80"/>
  <c r="H54" i="80"/>
  <c r="G54" i="80"/>
  <c r="I54" i="80" s="1"/>
  <c r="J54" i="80" s="1"/>
  <c r="K54" i="80" s="1"/>
  <c r="M54" i="80" s="1"/>
  <c r="N54" i="80" s="1"/>
  <c r="O54" i="80" s="1"/>
  <c r="F54" i="80"/>
  <c r="E54" i="80"/>
  <c r="D54" i="80"/>
  <c r="C54" i="80"/>
  <c r="A54" i="80"/>
  <c r="W53" i="80"/>
  <c r="V53" i="80"/>
  <c r="L53" i="80"/>
  <c r="H53" i="80"/>
  <c r="G53" i="80"/>
  <c r="I53" i="80" s="1"/>
  <c r="J53" i="80" s="1"/>
  <c r="K53" i="80" s="1"/>
  <c r="M53" i="80" s="1"/>
  <c r="F53" i="80"/>
  <c r="E53" i="80"/>
  <c r="D53" i="80"/>
  <c r="C53" i="80"/>
  <c r="A53" i="80"/>
  <c r="W52" i="80"/>
  <c r="V52" i="80"/>
  <c r="I52" i="80"/>
  <c r="J52" i="80" s="1"/>
  <c r="K52" i="80" s="1"/>
  <c r="H52" i="80"/>
  <c r="G52" i="80"/>
  <c r="F52" i="80"/>
  <c r="E52" i="80"/>
  <c r="D52" i="80"/>
  <c r="C52" i="80"/>
  <c r="L52" i="80" s="1"/>
  <c r="A52" i="80"/>
  <c r="W51" i="80"/>
  <c r="V51" i="80"/>
  <c r="L51" i="80"/>
  <c r="H51" i="80"/>
  <c r="G51" i="80"/>
  <c r="I51" i="80" s="1"/>
  <c r="J51" i="80" s="1"/>
  <c r="K51" i="80" s="1"/>
  <c r="M51" i="80" s="1"/>
  <c r="N51" i="80" s="1"/>
  <c r="O51" i="80" s="1"/>
  <c r="F51" i="80"/>
  <c r="E51" i="80"/>
  <c r="D51" i="80"/>
  <c r="C51" i="80"/>
  <c r="A51" i="80"/>
  <c r="W50" i="80"/>
  <c r="V50" i="80"/>
  <c r="H50" i="80"/>
  <c r="G50" i="80"/>
  <c r="I50" i="80" s="1"/>
  <c r="F50" i="80"/>
  <c r="E50" i="80"/>
  <c r="D50" i="80"/>
  <c r="C50" i="80"/>
  <c r="A50" i="80"/>
  <c r="W49" i="80"/>
  <c r="V49" i="80"/>
  <c r="H49" i="80"/>
  <c r="G49" i="80"/>
  <c r="F49" i="80"/>
  <c r="E49" i="80"/>
  <c r="D49" i="80"/>
  <c r="C49" i="80"/>
  <c r="A49" i="80"/>
  <c r="W48" i="80"/>
  <c r="V48" i="80"/>
  <c r="H48" i="80"/>
  <c r="G48" i="80"/>
  <c r="I48" i="80" s="1"/>
  <c r="J48" i="80" s="1"/>
  <c r="K48" i="80" s="1"/>
  <c r="F48" i="80"/>
  <c r="E48" i="80"/>
  <c r="D48" i="80"/>
  <c r="C48" i="80"/>
  <c r="A48" i="80"/>
  <c r="W47" i="80"/>
  <c r="V47" i="80"/>
  <c r="L47" i="80"/>
  <c r="H47" i="80"/>
  <c r="G47" i="80"/>
  <c r="I47" i="80" s="1"/>
  <c r="J47" i="80" s="1"/>
  <c r="K47" i="80" s="1"/>
  <c r="M47" i="80" s="1"/>
  <c r="F47" i="80"/>
  <c r="E47" i="80"/>
  <c r="D47" i="80"/>
  <c r="C47" i="80"/>
  <c r="A47" i="80"/>
  <c r="W46" i="80"/>
  <c r="V46" i="80"/>
  <c r="H46" i="80"/>
  <c r="G46" i="80"/>
  <c r="I46" i="80" s="1"/>
  <c r="J46" i="80" s="1"/>
  <c r="K46" i="80" s="1"/>
  <c r="F46" i="80"/>
  <c r="E46" i="80"/>
  <c r="D46" i="80"/>
  <c r="C46" i="80"/>
  <c r="A46" i="80"/>
  <c r="D45" i="80"/>
  <c r="C45" i="80"/>
  <c r="L45" i="80" s="1"/>
  <c r="H45" i="80"/>
  <c r="G45" i="80"/>
  <c r="I45" i="80" s="1"/>
  <c r="F45" i="80"/>
  <c r="E45" i="80"/>
  <c r="A45" i="80"/>
  <c r="D41" i="80"/>
  <c r="C41" i="80"/>
  <c r="D40" i="80"/>
  <c r="C40" i="80"/>
  <c r="L40" i="80" s="1"/>
  <c r="D39" i="80"/>
  <c r="C39" i="80"/>
  <c r="D38" i="80"/>
  <c r="C38" i="80"/>
  <c r="D37" i="80"/>
  <c r="C37" i="80"/>
  <c r="L37" i="80" s="1"/>
  <c r="D36" i="80"/>
  <c r="C36" i="80"/>
  <c r="D35" i="80"/>
  <c r="C35" i="80"/>
  <c r="D34" i="80"/>
  <c r="C34" i="80"/>
  <c r="D33" i="80"/>
  <c r="C33" i="80"/>
  <c r="D32" i="80"/>
  <c r="C32" i="80"/>
  <c r="D28" i="80"/>
  <c r="C28" i="80"/>
  <c r="L28" i="80" s="1"/>
  <c r="D27" i="80"/>
  <c r="C27" i="80"/>
  <c r="L27" i="80" s="1"/>
  <c r="D26" i="80"/>
  <c r="C26" i="80"/>
  <c r="D25" i="80"/>
  <c r="C25" i="80"/>
  <c r="L25" i="80" s="1"/>
  <c r="D24" i="80"/>
  <c r="C24" i="80"/>
  <c r="L24" i="80" s="1"/>
  <c r="D23" i="80"/>
  <c r="C23" i="80"/>
  <c r="D22" i="80"/>
  <c r="C22" i="80"/>
  <c r="D21" i="80"/>
  <c r="C21" i="80"/>
  <c r="L21" i="80" s="1"/>
  <c r="D20" i="80"/>
  <c r="C20" i="80"/>
  <c r="D19" i="80"/>
  <c r="C19" i="80"/>
  <c r="L19" i="80" s="1"/>
  <c r="W41" i="80"/>
  <c r="V41" i="80"/>
  <c r="H41" i="80"/>
  <c r="G41" i="80"/>
  <c r="F41" i="80"/>
  <c r="E41" i="80"/>
  <c r="A41" i="80"/>
  <c r="W40" i="80"/>
  <c r="V40" i="80"/>
  <c r="H40" i="80"/>
  <c r="G40" i="80"/>
  <c r="F40" i="80"/>
  <c r="E40" i="80"/>
  <c r="A40" i="80"/>
  <c r="W39" i="80"/>
  <c r="V39" i="80"/>
  <c r="L39" i="80"/>
  <c r="H39" i="80"/>
  <c r="G39" i="80"/>
  <c r="I39" i="80" s="1"/>
  <c r="J39" i="80" s="1"/>
  <c r="K39" i="80" s="1"/>
  <c r="M39" i="80" s="1"/>
  <c r="F39" i="80"/>
  <c r="E39" i="80"/>
  <c r="A39" i="80"/>
  <c r="W38" i="80"/>
  <c r="V38" i="80"/>
  <c r="L38" i="80"/>
  <c r="H38" i="80"/>
  <c r="G38" i="80"/>
  <c r="I38" i="80" s="1"/>
  <c r="J38" i="80" s="1"/>
  <c r="F38" i="80"/>
  <c r="E38" i="80"/>
  <c r="A38" i="80"/>
  <c r="W37" i="80"/>
  <c r="V37" i="80"/>
  <c r="H37" i="80"/>
  <c r="I37" i="80" s="1"/>
  <c r="G37" i="80"/>
  <c r="F37" i="80"/>
  <c r="E37" i="80"/>
  <c r="A37" i="80"/>
  <c r="W36" i="80"/>
  <c r="V36" i="80"/>
  <c r="H36" i="80"/>
  <c r="G36" i="80"/>
  <c r="I36" i="80" s="1"/>
  <c r="F36" i="80"/>
  <c r="E36" i="80"/>
  <c r="A36" i="80"/>
  <c r="W35" i="80"/>
  <c r="V35" i="80"/>
  <c r="H35" i="80"/>
  <c r="G35" i="80"/>
  <c r="I35" i="80" s="1"/>
  <c r="J35" i="80" s="1"/>
  <c r="F35" i="80"/>
  <c r="E35" i="80"/>
  <c r="L35" i="80"/>
  <c r="A35" i="80"/>
  <c r="W34" i="80"/>
  <c r="V34" i="80"/>
  <c r="H34" i="80"/>
  <c r="G34" i="80"/>
  <c r="I34" i="80" s="1"/>
  <c r="F34" i="80"/>
  <c r="E34" i="80"/>
  <c r="A34" i="80"/>
  <c r="W33" i="80"/>
  <c r="V33" i="80"/>
  <c r="L33" i="80"/>
  <c r="H33" i="80"/>
  <c r="G33" i="80"/>
  <c r="I33" i="80" s="1"/>
  <c r="J33" i="80" s="1"/>
  <c r="K33" i="80" s="1"/>
  <c r="M33" i="80" s="1"/>
  <c r="F33" i="80"/>
  <c r="E33" i="80"/>
  <c r="A33" i="80"/>
  <c r="W32" i="80"/>
  <c r="V32" i="80"/>
  <c r="L32" i="80"/>
  <c r="H32" i="80"/>
  <c r="G32" i="80"/>
  <c r="F32" i="80"/>
  <c r="E32" i="80"/>
  <c r="A32" i="80"/>
  <c r="W28" i="80"/>
  <c r="V28" i="80"/>
  <c r="H28" i="80"/>
  <c r="G28" i="80"/>
  <c r="F28" i="80"/>
  <c r="E28" i="80"/>
  <c r="A28" i="80"/>
  <c r="W27" i="80"/>
  <c r="V27" i="80"/>
  <c r="H27" i="80"/>
  <c r="G27" i="80"/>
  <c r="F27" i="80"/>
  <c r="E27" i="80"/>
  <c r="A27" i="80"/>
  <c r="W26" i="80"/>
  <c r="V26" i="80"/>
  <c r="L26" i="80"/>
  <c r="H26" i="80"/>
  <c r="I26" i="80" s="1"/>
  <c r="J26" i="80" s="1"/>
  <c r="K26" i="80" s="1"/>
  <c r="G26" i="80"/>
  <c r="F26" i="80"/>
  <c r="E26" i="80"/>
  <c r="A26" i="80"/>
  <c r="W25" i="80"/>
  <c r="V25" i="80"/>
  <c r="H25" i="80"/>
  <c r="G25" i="80"/>
  <c r="I25" i="80" s="1"/>
  <c r="J25" i="80" s="1"/>
  <c r="F25" i="80"/>
  <c r="E25" i="80"/>
  <c r="A25" i="80"/>
  <c r="W24" i="80"/>
  <c r="V24" i="80"/>
  <c r="H24" i="80"/>
  <c r="G24" i="80"/>
  <c r="F24" i="80"/>
  <c r="E24" i="80"/>
  <c r="A24" i="80"/>
  <c r="W23" i="80"/>
  <c r="V23" i="80"/>
  <c r="H23" i="80"/>
  <c r="I23" i="80" s="1"/>
  <c r="G23" i="80"/>
  <c r="F23" i="80"/>
  <c r="E23" i="80"/>
  <c r="A23" i="80"/>
  <c r="W22" i="80"/>
  <c r="V22" i="80"/>
  <c r="L22" i="80"/>
  <c r="H22" i="80"/>
  <c r="G22" i="80"/>
  <c r="I22" i="80" s="1"/>
  <c r="F22" i="80"/>
  <c r="E22" i="80"/>
  <c r="A22" i="80"/>
  <c r="W21" i="80"/>
  <c r="V21" i="80"/>
  <c r="H21" i="80"/>
  <c r="G21" i="80"/>
  <c r="I21" i="80" s="1"/>
  <c r="F21" i="80"/>
  <c r="E21" i="80"/>
  <c r="A21" i="80"/>
  <c r="W20" i="80"/>
  <c r="V20" i="80"/>
  <c r="H20" i="80"/>
  <c r="I20" i="80" s="1"/>
  <c r="J20" i="80" s="1"/>
  <c r="K20" i="80" s="1"/>
  <c r="G20" i="80"/>
  <c r="F20" i="80"/>
  <c r="E20" i="80"/>
  <c r="A20" i="80"/>
  <c r="H19" i="80"/>
  <c r="G19" i="80"/>
  <c r="I19" i="80" s="1"/>
  <c r="F19" i="80"/>
  <c r="E19" i="80"/>
  <c r="L84" i="80"/>
  <c r="L97" i="80"/>
  <c r="A19" i="80"/>
  <c r="R135" i="80"/>
  <c r="R134" i="80"/>
  <c r="R133" i="80"/>
  <c r="R132" i="80"/>
  <c r="R131" i="80"/>
  <c r="R130" i="80"/>
  <c r="R129" i="80"/>
  <c r="R128" i="80"/>
  <c r="R127" i="80"/>
  <c r="R126" i="80"/>
  <c r="W97" i="80"/>
  <c r="V97" i="80"/>
  <c r="I97" i="80"/>
  <c r="W84" i="80"/>
  <c r="V84" i="80"/>
  <c r="I84" i="80"/>
  <c r="W71" i="80"/>
  <c r="V71" i="80"/>
  <c r="L71" i="80"/>
  <c r="I71" i="80"/>
  <c r="J71" i="80" s="1"/>
  <c r="K71" i="80" s="1"/>
  <c r="M71" i="80" s="1"/>
  <c r="W58" i="80"/>
  <c r="V58" i="80"/>
  <c r="L58" i="80"/>
  <c r="W45" i="80"/>
  <c r="V45" i="80"/>
  <c r="W19" i="80"/>
  <c r="V19" i="80"/>
  <c r="N90" i="80" l="1"/>
  <c r="O90" i="80" s="1"/>
  <c r="S90" i="80"/>
  <c r="U90" i="80" s="1"/>
  <c r="Y90" i="80" s="1"/>
  <c r="R91" i="80"/>
  <c r="T91" i="80" s="1"/>
  <c r="X91" i="80" s="1"/>
  <c r="N33" i="85"/>
  <c r="O33" i="85" s="1"/>
  <c r="N28" i="85"/>
  <c r="O28" i="85" s="1"/>
  <c r="R28" i="85"/>
  <c r="T28" i="85" s="1"/>
  <c r="X28" i="85" s="1"/>
  <c r="S22" i="85"/>
  <c r="U22" i="85" s="1"/>
  <c r="Y22" i="85" s="1"/>
  <c r="R31" i="85"/>
  <c r="T31" i="85" s="1"/>
  <c r="X31" i="85" s="1"/>
  <c r="R25" i="85"/>
  <c r="T25" i="85" s="1"/>
  <c r="X25" i="85" s="1"/>
  <c r="S31" i="85"/>
  <c r="U31" i="85" s="1"/>
  <c r="Y31" i="85" s="1"/>
  <c r="S25" i="85"/>
  <c r="U25" i="85" s="1"/>
  <c r="Y25" i="85" s="1"/>
  <c r="N33" i="84"/>
  <c r="O33" i="84" s="1"/>
  <c r="R33" i="84"/>
  <c r="T33" i="84" s="1"/>
  <c r="X33" i="84" s="1"/>
  <c r="S33" i="84"/>
  <c r="U33" i="84" s="1"/>
  <c r="Y33" i="84" s="1"/>
  <c r="N34" i="84"/>
  <c r="O34" i="84" s="1"/>
  <c r="S34" i="84"/>
  <c r="U34" i="84" s="1"/>
  <c r="Y34" i="84" s="1"/>
  <c r="R34" i="84"/>
  <c r="T34" i="84" s="1"/>
  <c r="X34" i="84" s="1"/>
  <c r="R26" i="84"/>
  <c r="T26" i="84" s="1"/>
  <c r="X26" i="84" s="1"/>
  <c r="N26" i="84"/>
  <c r="O26" i="84" s="1"/>
  <c r="R27" i="84"/>
  <c r="T27" i="84" s="1"/>
  <c r="X27" i="84" s="1"/>
  <c r="S27" i="84"/>
  <c r="U27" i="84" s="1"/>
  <c r="Y27" i="84" s="1"/>
  <c r="S19" i="84"/>
  <c r="U19" i="84" s="1"/>
  <c r="Y19" i="84" s="1"/>
  <c r="N17" i="84"/>
  <c r="O17" i="84" s="1"/>
  <c r="R17" i="84"/>
  <c r="T17" i="84" s="1"/>
  <c r="X17" i="84" s="1"/>
  <c r="S48" i="82"/>
  <c r="U48" i="82" s="1"/>
  <c r="Y48" i="82" s="1"/>
  <c r="R48" i="82"/>
  <c r="T48" i="82" s="1"/>
  <c r="X48" i="82" s="1"/>
  <c r="N48" i="82"/>
  <c r="O48" i="82" s="1"/>
  <c r="N42" i="82"/>
  <c r="O42" i="82" s="1"/>
  <c r="S42" i="82"/>
  <c r="U42" i="82" s="1"/>
  <c r="Y42" i="82" s="1"/>
  <c r="R42" i="82"/>
  <c r="T42" i="82" s="1"/>
  <c r="X42" i="82" s="1"/>
  <c r="R43" i="82"/>
  <c r="T43" i="82" s="1"/>
  <c r="X43" i="82" s="1"/>
  <c r="S43" i="82"/>
  <c r="U43" i="82" s="1"/>
  <c r="Y43" i="82" s="1"/>
  <c r="R44" i="82"/>
  <c r="T44" i="82" s="1"/>
  <c r="X44" i="82" s="1"/>
  <c r="S44" i="82"/>
  <c r="U44" i="82" s="1"/>
  <c r="Y44" i="82" s="1"/>
  <c r="R37" i="82"/>
  <c r="T37" i="82" s="1"/>
  <c r="X37" i="82" s="1"/>
  <c r="R50" i="82"/>
  <c r="T50" i="82" s="1"/>
  <c r="X50" i="82" s="1"/>
  <c r="S50" i="82"/>
  <c r="U50" i="82" s="1"/>
  <c r="Y50" i="82" s="1"/>
  <c r="R32" i="82"/>
  <c r="T32" i="82" s="1"/>
  <c r="X32" i="82" s="1"/>
  <c r="S32" i="82"/>
  <c r="U32" i="82" s="1"/>
  <c r="Y32" i="82" s="1"/>
  <c r="S31" i="82"/>
  <c r="U31" i="82" s="1"/>
  <c r="Y31" i="82" s="1"/>
  <c r="S30" i="82"/>
  <c r="U30" i="82" s="1"/>
  <c r="Y30" i="82" s="1"/>
  <c r="R30" i="82"/>
  <c r="T30" i="82" s="1"/>
  <c r="X30" i="82" s="1"/>
  <c r="R31" i="82"/>
  <c r="T31" i="82" s="1"/>
  <c r="X31" i="82" s="1"/>
  <c r="J64" i="80"/>
  <c r="I24" i="80"/>
  <c r="J24" i="80" s="1"/>
  <c r="K24" i="80" s="1"/>
  <c r="M24" i="80" s="1"/>
  <c r="I27" i="80"/>
  <c r="J27" i="80" s="1"/>
  <c r="K27" i="80" s="1"/>
  <c r="M27" i="80" s="1"/>
  <c r="R79" i="80"/>
  <c r="T79" i="80" s="1"/>
  <c r="X79" i="80" s="1"/>
  <c r="J21" i="80"/>
  <c r="K21" i="80" s="1"/>
  <c r="M21" i="80" s="1"/>
  <c r="J50" i="80"/>
  <c r="K50" i="80" s="1"/>
  <c r="M50" i="80" s="1"/>
  <c r="J62" i="80"/>
  <c r="K38" i="80"/>
  <c r="I59" i="80"/>
  <c r="J59" i="80" s="1"/>
  <c r="K59" i="80" s="1"/>
  <c r="M59" i="80" s="1"/>
  <c r="N59" i="80" s="1"/>
  <c r="O59" i="80" s="1"/>
  <c r="I65" i="80"/>
  <c r="J65" i="80" s="1"/>
  <c r="K65" i="80" s="1"/>
  <c r="M65" i="80" s="1"/>
  <c r="N65" i="80" s="1"/>
  <c r="O65" i="80" s="1"/>
  <c r="I32" i="80"/>
  <c r="I41" i="80"/>
  <c r="J41" i="80" s="1"/>
  <c r="K41" i="80" s="1"/>
  <c r="M41" i="80" s="1"/>
  <c r="S79" i="80"/>
  <c r="U79" i="80" s="1"/>
  <c r="Y79" i="80" s="1"/>
  <c r="I49" i="80"/>
  <c r="J49" i="80" s="1"/>
  <c r="I60" i="80"/>
  <c r="J60" i="80" s="1"/>
  <c r="K60" i="80" s="1"/>
  <c r="M60" i="80" s="1"/>
  <c r="N60" i="80" s="1"/>
  <c r="O60" i="80" s="1"/>
  <c r="I63" i="80"/>
  <c r="J63" i="80" s="1"/>
  <c r="K63" i="80" s="1"/>
  <c r="I66" i="80"/>
  <c r="J66" i="80" s="1"/>
  <c r="K66" i="80" s="1"/>
  <c r="M66" i="80" s="1"/>
  <c r="S91" i="80"/>
  <c r="U91" i="80" s="1"/>
  <c r="Y91" i="80" s="1"/>
  <c r="S105" i="80"/>
  <c r="U105" i="80" s="1"/>
  <c r="Y105" i="80" s="1"/>
  <c r="J34" i="80"/>
  <c r="K34" i="80" s="1"/>
  <c r="M34" i="80" s="1"/>
  <c r="J22" i="80"/>
  <c r="I28" i="80"/>
  <c r="J28" i="80" s="1"/>
  <c r="K28" i="80" s="1"/>
  <c r="M28" i="80" s="1"/>
  <c r="N28" i="80" s="1"/>
  <c r="O28" i="80" s="1"/>
  <c r="I40" i="80"/>
  <c r="J40" i="80" s="1"/>
  <c r="K40" i="80" s="1"/>
  <c r="M40" i="80" s="1"/>
  <c r="I58" i="80"/>
  <c r="S101" i="80"/>
  <c r="U101" i="80" s="1"/>
  <c r="Y101" i="80" s="1"/>
  <c r="R101" i="80"/>
  <c r="T101" i="80" s="1"/>
  <c r="X101" i="80" s="1"/>
  <c r="R99" i="80"/>
  <c r="T99" i="80" s="1"/>
  <c r="X99" i="80" s="1"/>
  <c r="N102" i="80"/>
  <c r="O102" i="80" s="1"/>
  <c r="S102" i="80"/>
  <c r="U102" i="80" s="1"/>
  <c r="Y102" i="80" s="1"/>
  <c r="S99" i="80"/>
  <c r="U99" i="80" s="1"/>
  <c r="Y99" i="80" s="1"/>
  <c r="R105" i="80"/>
  <c r="T105" i="80" s="1"/>
  <c r="X105" i="80" s="1"/>
  <c r="R102" i="80"/>
  <c r="T102" i="80" s="1"/>
  <c r="X102" i="80" s="1"/>
  <c r="R106" i="80"/>
  <c r="T106" i="80" s="1"/>
  <c r="X106" i="80" s="1"/>
  <c r="S106" i="80"/>
  <c r="U106" i="80" s="1"/>
  <c r="Y106" i="80" s="1"/>
  <c r="N101" i="80"/>
  <c r="O101" i="80" s="1"/>
  <c r="N77" i="80"/>
  <c r="O77" i="80" s="1"/>
  <c r="S85" i="80"/>
  <c r="U85" i="80" s="1"/>
  <c r="Y85" i="80" s="1"/>
  <c r="R85" i="80"/>
  <c r="T85" i="80" s="1"/>
  <c r="X85" i="80" s="1"/>
  <c r="S88" i="80"/>
  <c r="U88" i="80" s="1"/>
  <c r="Y88" i="80" s="1"/>
  <c r="R88" i="80"/>
  <c r="T88" i="80" s="1"/>
  <c r="X88" i="80" s="1"/>
  <c r="N89" i="80"/>
  <c r="O89" i="80" s="1"/>
  <c r="R89" i="80"/>
  <c r="T89" i="80" s="1"/>
  <c r="X89" i="80" s="1"/>
  <c r="S89" i="80"/>
  <c r="U89" i="80" s="1"/>
  <c r="Y89" i="80" s="1"/>
  <c r="N85" i="80"/>
  <c r="O85" i="80" s="1"/>
  <c r="N88" i="80"/>
  <c r="O88" i="80" s="1"/>
  <c r="S78" i="80"/>
  <c r="U78" i="80" s="1"/>
  <c r="Y78" i="80" s="1"/>
  <c r="R78" i="80"/>
  <c r="T78" i="80" s="1"/>
  <c r="X78" i="80" s="1"/>
  <c r="K25" i="80"/>
  <c r="M25" i="80" s="1"/>
  <c r="K35" i="80"/>
  <c r="M35" i="80" s="1"/>
  <c r="N35" i="80" s="1"/>
  <c r="O35" i="80" s="1"/>
  <c r="M48" i="80"/>
  <c r="S75" i="80"/>
  <c r="U75" i="80" s="1"/>
  <c r="Y75" i="80" s="1"/>
  <c r="R75" i="80"/>
  <c r="T75" i="80" s="1"/>
  <c r="X75" i="80" s="1"/>
  <c r="S77" i="80"/>
  <c r="U77" i="80" s="1"/>
  <c r="Y77" i="80" s="1"/>
  <c r="R77" i="80"/>
  <c r="T77" i="80" s="1"/>
  <c r="X77" i="80" s="1"/>
  <c r="N75" i="80"/>
  <c r="O75" i="80" s="1"/>
  <c r="N71" i="80"/>
  <c r="O71" i="80" s="1"/>
  <c r="S61" i="80"/>
  <c r="U61" i="80" s="1"/>
  <c r="Y61" i="80" s="1"/>
  <c r="N40" i="80"/>
  <c r="O40" i="80" s="1"/>
  <c r="M67" i="80"/>
  <c r="N67" i="80" s="1"/>
  <c r="O67" i="80" s="1"/>
  <c r="S66" i="80"/>
  <c r="U66" i="80" s="1"/>
  <c r="Y66" i="80" s="1"/>
  <c r="R66" i="80"/>
  <c r="T66" i="80" s="1"/>
  <c r="X66" i="80" s="1"/>
  <c r="S60" i="80"/>
  <c r="U60" i="80" s="1"/>
  <c r="Y60" i="80" s="1"/>
  <c r="R60" i="80"/>
  <c r="T60" i="80" s="1"/>
  <c r="X60" i="80" s="1"/>
  <c r="K62" i="80"/>
  <c r="M62" i="80" s="1"/>
  <c r="N66" i="80"/>
  <c r="O66" i="80" s="1"/>
  <c r="M63" i="80"/>
  <c r="K64" i="80"/>
  <c r="M64" i="80" s="1"/>
  <c r="N64" i="80" s="1"/>
  <c r="O64" i="80" s="1"/>
  <c r="R61" i="80"/>
  <c r="T61" i="80" s="1"/>
  <c r="X61" i="80" s="1"/>
  <c r="R67" i="80"/>
  <c r="T67" i="80" s="1"/>
  <c r="X67" i="80" s="1"/>
  <c r="L64" i="80"/>
  <c r="R59" i="80"/>
  <c r="T59" i="80" s="1"/>
  <c r="X59" i="80" s="1"/>
  <c r="L63" i="80"/>
  <c r="L62" i="80"/>
  <c r="J58" i="80"/>
  <c r="K58" i="80" s="1"/>
  <c r="M58" i="80" s="1"/>
  <c r="N58" i="80" s="1"/>
  <c r="O58" i="80" s="1"/>
  <c r="S54" i="80"/>
  <c r="U54" i="80" s="1"/>
  <c r="Y54" i="80" s="1"/>
  <c r="R54" i="80"/>
  <c r="T54" i="80" s="1"/>
  <c r="X54" i="80" s="1"/>
  <c r="K49" i="80"/>
  <c r="M49" i="80" s="1"/>
  <c r="M52" i="80"/>
  <c r="R53" i="80"/>
  <c r="T53" i="80" s="1"/>
  <c r="X53" i="80" s="1"/>
  <c r="N53" i="80"/>
  <c r="O53" i="80" s="1"/>
  <c r="M46" i="80"/>
  <c r="R47" i="80"/>
  <c r="T47" i="80" s="1"/>
  <c r="X47" i="80" s="1"/>
  <c r="N47" i="80"/>
  <c r="O47" i="80" s="1"/>
  <c r="S47" i="80"/>
  <c r="U47" i="80" s="1"/>
  <c r="Y47" i="80" s="1"/>
  <c r="S53" i="80"/>
  <c r="U53" i="80" s="1"/>
  <c r="Y53" i="80" s="1"/>
  <c r="S51" i="80"/>
  <c r="U51" i="80" s="1"/>
  <c r="Y51" i="80" s="1"/>
  <c r="L46" i="80"/>
  <c r="L50" i="80"/>
  <c r="L49" i="80"/>
  <c r="R51" i="80"/>
  <c r="T51" i="80" s="1"/>
  <c r="X51" i="80" s="1"/>
  <c r="L48" i="80"/>
  <c r="J45" i="80"/>
  <c r="K45" i="80" s="1"/>
  <c r="M45" i="80" s="1"/>
  <c r="N45" i="80" s="1"/>
  <c r="O45" i="80" s="1"/>
  <c r="J37" i="80"/>
  <c r="K37" i="80" s="1"/>
  <c r="M37" i="80" s="1"/>
  <c r="R37" i="80" s="1"/>
  <c r="T37" i="80" s="1"/>
  <c r="X37" i="80" s="1"/>
  <c r="J36" i="80"/>
  <c r="K36" i="80" s="1"/>
  <c r="M36" i="80" s="1"/>
  <c r="J32" i="80"/>
  <c r="J23" i="80"/>
  <c r="K23" i="80" s="1"/>
  <c r="M23" i="80" s="1"/>
  <c r="N25" i="80"/>
  <c r="O25" i="80" s="1"/>
  <c r="S40" i="80"/>
  <c r="U40" i="80" s="1"/>
  <c r="Y40" i="80" s="1"/>
  <c r="R40" i="80"/>
  <c r="T40" i="80" s="1"/>
  <c r="X40" i="80" s="1"/>
  <c r="L41" i="80"/>
  <c r="M38" i="80"/>
  <c r="N38" i="80" s="1"/>
  <c r="O38" i="80" s="1"/>
  <c r="R39" i="80"/>
  <c r="T39" i="80" s="1"/>
  <c r="X39" i="80" s="1"/>
  <c r="N39" i="80"/>
  <c r="O39" i="80" s="1"/>
  <c r="R33" i="80"/>
  <c r="T33" i="80" s="1"/>
  <c r="X33" i="80" s="1"/>
  <c r="N33" i="80"/>
  <c r="O33" i="80" s="1"/>
  <c r="S39" i="80"/>
  <c r="U39" i="80" s="1"/>
  <c r="Y39" i="80" s="1"/>
  <c r="S33" i="80"/>
  <c r="U33" i="80" s="1"/>
  <c r="Y33" i="80" s="1"/>
  <c r="S35" i="80"/>
  <c r="U35" i="80" s="1"/>
  <c r="Y35" i="80" s="1"/>
  <c r="L36" i="80"/>
  <c r="K32" i="80"/>
  <c r="M32" i="80" s="1"/>
  <c r="N32" i="80" s="1"/>
  <c r="O32" i="80" s="1"/>
  <c r="L34" i="80"/>
  <c r="R27" i="80"/>
  <c r="T27" i="80" s="1"/>
  <c r="X27" i="80" s="1"/>
  <c r="N27" i="80"/>
  <c r="O27" i="80" s="1"/>
  <c r="S27" i="80"/>
  <c r="U27" i="80" s="1"/>
  <c r="Y27" i="80" s="1"/>
  <c r="R21" i="80"/>
  <c r="T21" i="80" s="1"/>
  <c r="X21" i="80" s="1"/>
  <c r="N21" i="80"/>
  <c r="O21" i="80" s="1"/>
  <c r="S21" i="80"/>
  <c r="U21" i="80" s="1"/>
  <c r="Y21" i="80" s="1"/>
  <c r="K22" i="80"/>
  <c r="M22" i="80" s="1"/>
  <c r="N22" i="80" s="1"/>
  <c r="O22" i="80" s="1"/>
  <c r="M26" i="80"/>
  <c r="R24" i="80"/>
  <c r="T24" i="80" s="1"/>
  <c r="X24" i="80" s="1"/>
  <c r="N24" i="80"/>
  <c r="O24" i="80" s="1"/>
  <c r="S24" i="80"/>
  <c r="U24" i="80" s="1"/>
  <c r="Y24" i="80" s="1"/>
  <c r="S25" i="80"/>
  <c r="U25" i="80" s="1"/>
  <c r="Y25" i="80" s="1"/>
  <c r="M20" i="80"/>
  <c r="L20" i="80"/>
  <c r="L23" i="80"/>
  <c r="R25" i="80"/>
  <c r="T25" i="80" s="1"/>
  <c r="X25" i="80" s="1"/>
  <c r="J84" i="80"/>
  <c r="K84" i="80" s="1"/>
  <c r="M84" i="80" s="1"/>
  <c r="N84" i="80" s="1"/>
  <c r="O84" i="80" s="1"/>
  <c r="J97" i="80"/>
  <c r="K97" i="80" s="1"/>
  <c r="M97" i="80" s="1"/>
  <c r="N97" i="80" s="1"/>
  <c r="O97" i="80" s="1"/>
  <c r="J19" i="80"/>
  <c r="K19" i="80" s="1"/>
  <c r="M19" i="80" s="1"/>
  <c r="N19" i="80" s="1"/>
  <c r="O19" i="80" s="1"/>
  <c r="S71" i="80"/>
  <c r="U71" i="80" s="1"/>
  <c r="Y71" i="80" s="1"/>
  <c r="R71" i="80"/>
  <c r="T71" i="80" s="1"/>
  <c r="X71" i="80" s="1"/>
  <c r="R28" i="80" l="1"/>
  <c r="T28" i="80" s="1"/>
  <c r="X28" i="80" s="1"/>
  <c r="S65" i="80"/>
  <c r="U65" i="80" s="1"/>
  <c r="Y65" i="80" s="1"/>
  <c r="S28" i="80"/>
  <c r="U28" i="80" s="1"/>
  <c r="Y28" i="80" s="1"/>
  <c r="R65" i="80"/>
  <c r="T65" i="80" s="1"/>
  <c r="X65" i="80" s="1"/>
  <c r="S59" i="80"/>
  <c r="U59" i="80" s="1"/>
  <c r="Y59" i="80" s="1"/>
  <c r="R35" i="80"/>
  <c r="T35" i="80" s="1"/>
  <c r="X35" i="80" s="1"/>
  <c r="S67" i="80"/>
  <c r="U67" i="80" s="1"/>
  <c r="Y67" i="80" s="1"/>
  <c r="N62" i="80"/>
  <c r="O62" i="80" s="1"/>
  <c r="N63" i="80"/>
  <c r="O63" i="80" s="1"/>
  <c r="S62" i="80"/>
  <c r="U62" i="80" s="1"/>
  <c r="Y62" i="80" s="1"/>
  <c r="R62" i="80"/>
  <c r="T62" i="80" s="1"/>
  <c r="X62" i="80" s="1"/>
  <c r="R63" i="80"/>
  <c r="T63" i="80" s="1"/>
  <c r="X63" i="80" s="1"/>
  <c r="S63" i="80"/>
  <c r="U63" i="80" s="1"/>
  <c r="Y63" i="80" s="1"/>
  <c r="S64" i="80"/>
  <c r="U64" i="80" s="1"/>
  <c r="Y64" i="80" s="1"/>
  <c r="R64" i="80"/>
  <c r="T64" i="80" s="1"/>
  <c r="X64" i="80" s="1"/>
  <c r="S58" i="80"/>
  <c r="U58" i="80" s="1"/>
  <c r="Y58" i="80" s="1"/>
  <c r="R58" i="80"/>
  <c r="T58" i="80" s="1"/>
  <c r="X58" i="80" s="1"/>
  <c r="N49" i="80"/>
  <c r="O49" i="80" s="1"/>
  <c r="S48" i="80"/>
  <c r="U48" i="80" s="1"/>
  <c r="Y48" i="80" s="1"/>
  <c r="R48" i="80"/>
  <c r="T48" i="80" s="1"/>
  <c r="X48" i="80" s="1"/>
  <c r="N50" i="80"/>
  <c r="O50" i="80" s="1"/>
  <c r="N46" i="80"/>
  <c r="O46" i="80" s="1"/>
  <c r="S49" i="80"/>
  <c r="U49" i="80" s="1"/>
  <c r="Y49" i="80" s="1"/>
  <c r="R49" i="80"/>
  <c r="T49" i="80" s="1"/>
  <c r="X49" i="80" s="1"/>
  <c r="R46" i="80"/>
  <c r="T46" i="80" s="1"/>
  <c r="X46" i="80" s="1"/>
  <c r="S46" i="80"/>
  <c r="U46" i="80" s="1"/>
  <c r="Y46" i="80" s="1"/>
  <c r="R52" i="80"/>
  <c r="T52" i="80" s="1"/>
  <c r="X52" i="80" s="1"/>
  <c r="N52" i="80"/>
  <c r="O52" i="80" s="1"/>
  <c r="S50" i="80"/>
  <c r="U50" i="80" s="1"/>
  <c r="Y50" i="80" s="1"/>
  <c r="R50" i="80"/>
  <c r="T50" i="80" s="1"/>
  <c r="X50" i="80" s="1"/>
  <c r="S52" i="80"/>
  <c r="U52" i="80" s="1"/>
  <c r="Y52" i="80" s="1"/>
  <c r="N48" i="80"/>
  <c r="O48" i="80" s="1"/>
  <c r="S45" i="80"/>
  <c r="U45" i="80" s="1"/>
  <c r="Y45" i="80" s="1"/>
  <c r="R45" i="80"/>
  <c r="T45" i="80" s="1"/>
  <c r="X45" i="80" s="1"/>
  <c r="N37" i="80"/>
  <c r="O37" i="80" s="1"/>
  <c r="S37" i="80"/>
  <c r="U37" i="80" s="1"/>
  <c r="Y37" i="80" s="1"/>
  <c r="R38" i="80"/>
  <c r="T38" i="80" s="1"/>
  <c r="X38" i="80" s="1"/>
  <c r="N36" i="80"/>
  <c r="O36" i="80" s="1"/>
  <c r="S38" i="80"/>
  <c r="U38" i="80" s="1"/>
  <c r="Y38" i="80" s="1"/>
  <c r="N20" i="80"/>
  <c r="O20" i="80" s="1"/>
  <c r="S41" i="80"/>
  <c r="U41" i="80" s="1"/>
  <c r="Y41" i="80" s="1"/>
  <c r="R41" i="80"/>
  <c r="T41" i="80" s="1"/>
  <c r="X41" i="80" s="1"/>
  <c r="N41" i="80"/>
  <c r="O41" i="80" s="1"/>
  <c r="R32" i="80"/>
  <c r="T32" i="80" s="1"/>
  <c r="X32" i="80" s="1"/>
  <c r="S32" i="80"/>
  <c r="U32" i="80" s="1"/>
  <c r="Y32" i="80" s="1"/>
  <c r="S34" i="80"/>
  <c r="U34" i="80" s="1"/>
  <c r="Y34" i="80" s="1"/>
  <c r="R34" i="80"/>
  <c r="T34" i="80" s="1"/>
  <c r="X34" i="80" s="1"/>
  <c r="S36" i="80"/>
  <c r="U36" i="80" s="1"/>
  <c r="Y36" i="80" s="1"/>
  <c r="R36" i="80"/>
  <c r="T36" i="80" s="1"/>
  <c r="X36" i="80" s="1"/>
  <c r="N34" i="80"/>
  <c r="O34" i="80" s="1"/>
  <c r="R84" i="80"/>
  <c r="T84" i="80" s="1"/>
  <c r="X84" i="80" s="1"/>
  <c r="R22" i="80"/>
  <c r="T22" i="80" s="1"/>
  <c r="X22" i="80" s="1"/>
  <c r="R26" i="80"/>
  <c r="T26" i="80" s="1"/>
  <c r="X26" i="80" s="1"/>
  <c r="N26" i="80"/>
  <c r="O26" i="80" s="1"/>
  <c r="S22" i="80"/>
  <c r="U22" i="80" s="1"/>
  <c r="Y22" i="80" s="1"/>
  <c r="S23" i="80"/>
  <c r="U23" i="80" s="1"/>
  <c r="Y23" i="80" s="1"/>
  <c r="R23" i="80"/>
  <c r="T23" i="80" s="1"/>
  <c r="X23" i="80" s="1"/>
  <c r="S20" i="80"/>
  <c r="U20" i="80" s="1"/>
  <c r="Y20" i="80" s="1"/>
  <c r="R20" i="80"/>
  <c r="T20" i="80" s="1"/>
  <c r="X20" i="80" s="1"/>
  <c r="N23" i="80"/>
  <c r="O23" i="80" s="1"/>
  <c r="S26" i="80"/>
  <c r="U26" i="80" s="1"/>
  <c r="Y26" i="80" s="1"/>
  <c r="R97" i="80"/>
  <c r="T97" i="80" s="1"/>
  <c r="X97" i="80" s="1"/>
  <c r="S97" i="80"/>
  <c r="U97" i="80" s="1"/>
  <c r="Y97" i="80" s="1"/>
  <c r="S84" i="80"/>
  <c r="U84" i="80" s="1"/>
  <c r="Y84" i="80" s="1"/>
  <c r="S19" i="80"/>
  <c r="U19" i="80" s="1"/>
  <c r="Y19" i="80" s="1"/>
  <c r="R19" i="80"/>
  <c r="T19" i="80" s="1"/>
  <c r="X19" i="80" s="1"/>
  <c r="W27" i="79" l="1"/>
  <c r="V27" i="79"/>
  <c r="H27" i="79"/>
  <c r="G27" i="79"/>
  <c r="I27" i="79" s="1"/>
  <c r="F27" i="79"/>
  <c r="E27" i="79"/>
  <c r="D27" i="79"/>
  <c r="C27" i="79"/>
  <c r="L27" i="79" s="1"/>
  <c r="B27" i="79"/>
  <c r="A27" i="79"/>
  <c r="W26" i="79"/>
  <c r="V26" i="79"/>
  <c r="H26" i="79"/>
  <c r="G26" i="79"/>
  <c r="I26" i="79" s="1"/>
  <c r="F26" i="79"/>
  <c r="E26" i="79"/>
  <c r="D26" i="79"/>
  <c r="C26" i="79"/>
  <c r="L26" i="79" s="1"/>
  <c r="B26" i="79"/>
  <c r="A26" i="79"/>
  <c r="W25" i="79"/>
  <c r="V25" i="79"/>
  <c r="H25" i="79"/>
  <c r="G25" i="79"/>
  <c r="I25" i="79" s="1"/>
  <c r="J25" i="79" s="1"/>
  <c r="F25" i="79"/>
  <c r="K25" i="79" s="1"/>
  <c r="M25" i="79" s="1"/>
  <c r="N25" i="79" s="1"/>
  <c r="O25" i="79" s="1"/>
  <c r="E25" i="79"/>
  <c r="D25" i="79"/>
  <c r="C25" i="79"/>
  <c r="L25" i="79" s="1"/>
  <c r="B25" i="79"/>
  <c r="A25" i="79"/>
  <c r="W24" i="79"/>
  <c r="V24" i="79"/>
  <c r="H24" i="79"/>
  <c r="I24" i="79" s="1"/>
  <c r="J24" i="79" s="1"/>
  <c r="K24" i="79" s="1"/>
  <c r="M24" i="79" s="1"/>
  <c r="G24" i="79"/>
  <c r="F24" i="79"/>
  <c r="E24" i="79"/>
  <c r="D24" i="79"/>
  <c r="C24" i="79"/>
  <c r="L24" i="79" s="1"/>
  <c r="B24" i="79"/>
  <c r="A24" i="79"/>
  <c r="A22" i="79"/>
  <c r="A15" i="79"/>
  <c r="A18" i="79"/>
  <c r="B18" i="79"/>
  <c r="C18" i="79"/>
  <c r="D18" i="79"/>
  <c r="E18" i="79"/>
  <c r="F18" i="79"/>
  <c r="G18" i="79"/>
  <c r="H18" i="79"/>
  <c r="A19" i="79"/>
  <c r="B19" i="79"/>
  <c r="C19" i="79"/>
  <c r="L19" i="79" s="1"/>
  <c r="D19" i="79"/>
  <c r="E19" i="79"/>
  <c r="F19" i="79"/>
  <c r="G19" i="79"/>
  <c r="H19" i="79"/>
  <c r="A20" i="79"/>
  <c r="B20" i="79"/>
  <c r="C20" i="79"/>
  <c r="L20" i="79" s="1"/>
  <c r="D20" i="79"/>
  <c r="E20" i="79"/>
  <c r="F20" i="79"/>
  <c r="G20" i="79"/>
  <c r="I20" i="79" s="1"/>
  <c r="H20" i="79"/>
  <c r="H17" i="79"/>
  <c r="G17" i="79"/>
  <c r="F17" i="79"/>
  <c r="B17" i="79"/>
  <c r="C17" i="79"/>
  <c r="L17" i="79" s="1"/>
  <c r="D17" i="79"/>
  <c r="E17" i="79"/>
  <c r="A17" i="79"/>
  <c r="W20" i="79"/>
  <c r="V20" i="79"/>
  <c r="W19" i="79"/>
  <c r="V19" i="79"/>
  <c r="I19" i="79"/>
  <c r="W18" i="79"/>
  <c r="V18" i="79"/>
  <c r="L18" i="79"/>
  <c r="W17" i="79"/>
  <c r="V17" i="79"/>
  <c r="W279" i="78"/>
  <c r="V279" i="78"/>
  <c r="L279" i="78"/>
  <c r="H279" i="78"/>
  <c r="G279" i="78"/>
  <c r="I279" i="78" s="1"/>
  <c r="J279" i="78" s="1"/>
  <c r="F279" i="78"/>
  <c r="K279" i="78" s="1"/>
  <c r="M279" i="78" s="1"/>
  <c r="E279" i="78"/>
  <c r="D279" i="78"/>
  <c r="C279" i="78"/>
  <c r="B279" i="78"/>
  <c r="A279" i="78"/>
  <c r="W278" i="78"/>
  <c r="V278" i="78"/>
  <c r="I278" i="78"/>
  <c r="J278" i="78" s="1"/>
  <c r="K278" i="78" s="1"/>
  <c r="H278" i="78"/>
  <c r="G278" i="78"/>
  <c r="F278" i="78"/>
  <c r="E278" i="78"/>
  <c r="D278" i="78"/>
  <c r="C278" i="78"/>
  <c r="B278" i="78"/>
  <c r="A278" i="78"/>
  <c r="W277" i="78"/>
  <c r="V277" i="78"/>
  <c r="L277" i="78"/>
  <c r="H277" i="78"/>
  <c r="I277" i="78" s="1"/>
  <c r="J277" i="78" s="1"/>
  <c r="K277" i="78" s="1"/>
  <c r="M277" i="78" s="1"/>
  <c r="N277" i="78" s="1"/>
  <c r="O277" i="78" s="1"/>
  <c r="G277" i="78"/>
  <c r="F277" i="78"/>
  <c r="E277" i="78"/>
  <c r="D277" i="78"/>
  <c r="C277" i="78"/>
  <c r="B277" i="78"/>
  <c r="A277" i="78"/>
  <c r="W276" i="78"/>
  <c r="V276" i="78"/>
  <c r="L276" i="78"/>
  <c r="H276" i="78"/>
  <c r="G276" i="78"/>
  <c r="I276" i="78" s="1"/>
  <c r="J276" i="78" s="1"/>
  <c r="K276" i="78" s="1"/>
  <c r="M276" i="78" s="1"/>
  <c r="N276" i="78" s="1"/>
  <c r="O276" i="78" s="1"/>
  <c r="F276" i="78"/>
  <c r="E276" i="78"/>
  <c r="D276" i="78"/>
  <c r="C276" i="78"/>
  <c r="B276" i="78"/>
  <c r="A276" i="78"/>
  <c r="W275" i="78"/>
  <c r="V275" i="78"/>
  <c r="L275" i="78"/>
  <c r="I275" i="78"/>
  <c r="J275" i="78" s="1"/>
  <c r="H275" i="78"/>
  <c r="G275" i="78"/>
  <c r="F275" i="78"/>
  <c r="E275" i="78"/>
  <c r="D275" i="78"/>
  <c r="C275" i="78"/>
  <c r="B275" i="78"/>
  <c r="A275" i="78"/>
  <c r="W274" i="78"/>
  <c r="V274" i="78"/>
  <c r="L274" i="78"/>
  <c r="R274" i="78" s="1"/>
  <c r="T274" i="78" s="1"/>
  <c r="X274" i="78" s="1"/>
  <c r="H274" i="78"/>
  <c r="G274" i="78"/>
  <c r="I274" i="78" s="1"/>
  <c r="J274" i="78" s="1"/>
  <c r="K274" i="78" s="1"/>
  <c r="M274" i="78" s="1"/>
  <c r="F274" i="78"/>
  <c r="E274" i="78"/>
  <c r="D274" i="78"/>
  <c r="C274" i="78"/>
  <c r="B274" i="78"/>
  <c r="A274" i="78"/>
  <c r="W273" i="78"/>
  <c r="V273" i="78"/>
  <c r="L273" i="78"/>
  <c r="H273" i="78"/>
  <c r="G273" i="78"/>
  <c r="I273" i="78" s="1"/>
  <c r="J273" i="78" s="1"/>
  <c r="F273" i="78"/>
  <c r="E273" i="78"/>
  <c r="D273" i="78"/>
  <c r="C273" i="78"/>
  <c r="B273" i="78"/>
  <c r="A273" i="78"/>
  <c r="W272" i="78"/>
  <c r="V272" i="78"/>
  <c r="I272" i="78"/>
  <c r="J272" i="78" s="1"/>
  <c r="H272" i="78"/>
  <c r="G272" i="78"/>
  <c r="F272" i="78"/>
  <c r="K272" i="78" s="1"/>
  <c r="E272" i="78"/>
  <c r="D272" i="78"/>
  <c r="C272" i="78"/>
  <c r="B272" i="78"/>
  <c r="A272" i="78"/>
  <c r="W271" i="78"/>
  <c r="V271" i="78"/>
  <c r="L271" i="78"/>
  <c r="H271" i="78"/>
  <c r="G271" i="78"/>
  <c r="I271" i="78" s="1"/>
  <c r="J271" i="78" s="1"/>
  <c r="F271" i="78"/>
  <c r="K271" i="78" s="1"/>
  <c r="E271" i="78"/>
  <c r="D271" i="78"/>
  <c r="C271" i="78"/>
  <c r="B271" i="78"/>
  <c r="A271" i="78"/>
  <c r="W270" i="78"/>
  <c r="V270" i="78"/>
  <c r="H270" i="78"/>
  <c r="G270" i="78"/>
  <c r="I270" i="78" s="1"/>
  <c r="J270" i="78" s="1"/>
  <c r="F270" i="78"/>
  <c r="E270" i="78"/>
  <c r="D270" i="78"/>
  <c r="C270" i="78"/>
  <c r="L270" i="78" s="1"/>
  <c r="B270" i="78"/>
  <c r="A270" i="78"/>
  <c r="W269" i="78"/>
  <c r="V269" i="78"/>
  <c r="I269" i="78"/>
  <c r="J269" i="78" s="1"/>
  <c r="H269" i="78"/>
  <c r="G269" i="78"/>
  <c r="F269" i="78"/>
  <c r="E269" i="78"/>
  <c r="D269" i="78"/>
  <c r="C269" i="78"/>
  <c r="B269" i="78"/>
  <c r="A269" i="78"/>
  <c r="W268" i="78"/>
  <c r="V268" i="78"/>
  <c r="H268" i="78"/>
  <c r="G268" i="78"/>
  <c r="I268" i="78" s="1"/>
  <c r="J268" i="78" s="1"/>
  <c r="K268" i="78" s="1"/>
  <c r="M268" i="78" s="1"/>
  <c r="N268" i="78" s="1"/>
  <c r="O268" i="78" s="1"/>
  <c r="F268" i="78"/>
  <c r="E268" i="78"/>
  <c r="D268" i="78"/>
  <c r="C268" i="78"/>
  <c r="L268" i="78" s="1"/>
  <c r="B268" i="78"/>
  <c r="A268" i="78"/>
  <c r="W267" i="78"/>
  <c r="V267" i="78"/>
  <c r="L267" i="78"/>
  <c r="S267" i="78" s="1"/>
  <c r="U267" i="78" s="1"/>
  <c r="Y267" i="78" s="1"/>
  <c r="H267" i="78"/>
  <c r="G267" i="78"/>
  <c r="I267" i="78" s="1"/>
  <c r="J267" i="78" s="1"/>
  <c r="F267" i="78"/>
  <c r="K267" i="78" s="1"/>
  <c r="M267" i="78" s="1"/>
  <c r="E267" i="78"/>
  <c r="D267" i="78"/>
  <c r="C267" i="78"/>
  <c r="B267" i="78"/>
  <c r="A267" i="78"/>
  <c r="W266" i="78"/>
  <c r="V266" i="78"/>
  <c r="L266" i="78"/>
  <c r="I266" i="78"/>
  <c r="J266" i="78" s="1"/>
  <c r="K266" i="78" s="1"/>
  <c r="H266" i="78"/>
  <c r="G266" i="78"/>
  <c r="F266" i="78"/>
  <c r="E266" i="78"/>
  <c r="D266" i="78"/>
  <c r="C266" i="78"/>
  <c r="B266" i="78"/>
  <c r="A266" i="78"/>
  <c r="W265" i="78"/>
  <c r="V265" i="78"/>
  <c r="L265" i="78"/>
  <c r="H265" i="78"/>
  <c r="G265" i="78"/>
  <c r="I265" i="78" s="1"/>
  <c r="J265" i="78" s="1"/>
  <c r="K265" i="78" s="1"/>
  <c r="M265" i="78" s="1"/>
  <c r="N265" i="78" s="1"/>
  <c r="O265" i="78" s="1"/>
  <c r="F265" i="78"/>
  <c r="E265" i="78"/>
  <c r="D265" i="78"/>
  <c r="C265" i="78"/>
  <c r="B265" i="78"/>
  <c r="A265" i="78"/>
  <c r="W264" i="78"/>
  <c r="V264" i="78"/>
  <c r="L264" i="78"/>
  <c r="H264" i="78"/>
  <c r="G264" i="78"/>
  <c r="I264" i="78" s="1"/>
  <c r="J264" i="78" s="1"/>
  <c r="K264" i="78" s="1"/>
  <c r="M264" i="78" s="1"/>
  <c r="N264" i="78" s="1"/>
  <c r="O264" i="78" s="1"/>
  <c r="F264" i="78"/>
  <c r="E264" i="78"/>
  <c r="D264" i="78"/>
  <c r="C264" i="78"/>
  <c r="B264" i="78"/>
  <c r="A264" i="78"/>
  <c r="A262" i="78"/>
  <c r="W260" i="78"/>
  <c r="V260" i="78"/>
  <c r="L260" i="78"/>
  <c r="H260" i="78"/>
  <c r="G260" i="78"/>
  <c r="I260" i="78" s="1"/>
  <c r="J260" i="78" s="1"/>
  <c r="K260" i="78" s="1"/>
  <c r="M260" i="78" s="1"/>
  <c r="N260" i="78" s="1"/>
  <c r="O260" i="78" s="1"/>
  <c r="F260" i="78"/>
  <c r="E260" i="78"/>
  <c r="D260" i="78"/>
  <c r="C260" i="78"/>
  <c r="B260" i="78"/>
  <c r="A260" i="78"/>
  <c r="W259" i="78"/>
  <c r="V259" i="78"/>
  <c r="L259" i="78"/>
  <c r="I259" i="78"/>
  <c r="J259" i="78" s="1"/>
  <c r="H259" i="78"/>
  <c r="G259" i="78"/>
  <c r="F259" i="78"/>
  <c r="E259" i="78"/>
  <c r="D259" i="78"/>
  <c r="C259" i="78"/>
  <c r="B259" i="78"/>
  <c r="A259" i="78"/>
  <c r="W258" i="78"/>
  <c r="V258" i="78"/>
  <c r="L258" i="78"/>
  <c r="R258" i="78" s="1"/>
  <c r="T258" i="78" s="1"/>
  <c r="X258" i="78" s="1"/>
  <c r="H258" i="78"/>
  <c r="G258" i="78"/>
  <c r="I258" i="78" s="1"/>
  <c r="J258" i="78" s="1"/>
  <c r="K258" i="78" s="1"/>
  <c r="M258" i="78" s="1"/>
  <c r="F258" i="78"/>
  <c r="E258" i="78"/>
  <c r="D258" i="78"/>
  <c r="C258" i="78"/>
  <c r="B258" i="78"/>
  <c r="A258" i="78"/>
  <c r="W257" i="78"/>
  <c r="V257" i="78"/>
  <c r="L257" i="78"/>
  <c r="H257" i="78"/>
  <c r="G257" i="78"/>
  <c r="I257" i="78" s="1"/>
  <c r="J257" i="78" s="1"/>
  <c r="F257" i="78"/>
  <c r="E257" i="78"/>
  <c r="D257" i="78"/>
  <c r="C257" i="78"/>
  <c r="B257" i="78"/>
  <c r="A257" i="78"/>
  <c r="W256" i="78"/>
  <c r="V256" i="78"/>
  <c r="I256" i="78"/>
  <c r="J256" i="78" s="1"/>
  <c r="H256" i="78"/>
  <c r="G256" i="78"/>
  <c r="F256" i="78"/>
  <c r="K256" i="78" s="1"/>
  <c r="E256" i="78"/>
  <c r="D256" i="78"/>
  <c r="C256" i="78"/>
  <c r="B256" i="78"/>
  <c r="A256" i="78"/>
  <c r="W255" i="78"/>
  <c r="V255" i="78"/>
  <c r="L255" i="78"/>
  <c r="H255" i="78"/>
  <c r="G255" i="78"/>
  <c r="I255" i="78" s="1"/>
  <c r="J255" i="78" s="1"/>
  <c r="K255" i="78" s="1"/>
  <c r="F255" i="78"/>
  <c r="E255" i="78"/>
  <c r="D255" i="78"/>
  <c r="C255" i="78"/>
  <c r="M255" i="78" s="1"/>
  <c r="B255" i="78"/>
  <c r="A255" i="78"/>
  <c r="W254" i="78"/>
  <c r="V254" i="78"/>
  <c r="H254" i="78"/>
  <c r="G254" i="78"/>
  <c r="I254" i="78" s="1"/>
  <c r="J254" i="78" s="1"/>
  <c r="F254" i="78"/>
  <c r="E254" i="78"/>
  <c r="D254" i="78"/>
  <c r="C254" i="78"/>
  <c r="L254" i="78" s="1"/>
  <c r="B254" i="78"/>
  <c r="A254" i="78"/>
  <c r="W253" i="78"/>
  <c r="V253" i="78"/>
  <c r="I253" i="78"/>
  <c r="J253" i="78" s="1"/>
  <c r="H253" i="78"/>
  <c r="G253" i="78"/>
  <c r="F253" i="78"/>
  <c r="E253" i="78"/>
  <c r="D253" i="78"/>
  <c r="C253" i="78"/>
  <c r="B253" i="78"/>
  <c r="A253" i="78"/>
  <c r="W252" i="78"/>
  <c r="V252" i="78"/>
  <c r="H252" i="78"/>
  <c r="G252" i="78"/>
  <c r="I252" i="78" s="1"/>
  <c r="J252" i="78" s="1"/>
  <c r="K252" i="78" s="1"/>
  <c r="M252" i="78" s="1"/>
  <c r="N252" i="78" s="1"/>
  <c r="O252" i="78" s="1"/>
  <c r="F252" i="78"/>
  <c r="E252" i="78"/>
  <c r="D252" i="78"/>
  <c r="C252" i="78"/>
  <c r="L252" i="78" s="1"/>
  <c r="B252" i="78"/>
  <c r="A252" i="78"/>
  <c r="W251" i="78"/>
  <c r="V251" i="78"/>
  <c r="L251" i="78"/>
  <c r="S251" i="78" s="1"/>
  <c r="U251" i="78" s="1"/>
  <c r="Y251" i="78" s="1"/>
  <c r="H251" i="78"/>
  <c r="G251" i="78"/>
  <c r="I251" i="78" s="1"/>
  <c r="J251" i="78" s="1"/>
  <c r="F251" i="78"/>
  <c r="K251" i="78" s="1"/>
  <c r="M251" i="78" s="1"/>
  <c r="E251" i="78"/>
  <c r="D251" i="78"/>
  <c r="C251" i="78"/>
  <c r="B251" i="78"/>
  <c r="A251" i="78"/>
  <c r="W250" i="78"/>
  <c r="V250" i="78"/>
  <c r="L250" i="78"/>
  <c r="I250" i="78"/>
  <c r="J250" i="78" s="1"/>
  <c r="K250" i="78" s="1"/>
  <c r="H250" i="78"/>
  <c r="G250" i="78"/>
  <c r="F250" i="78"/>
  <c r="E250" i="78"/>
  <c r="D250" i="78"/>
  <c r="C250" i="78"/>
  <c r="B250" i="78"/>
  <c r="A250" i="78"/>
  <c r="W249" i="78"/>
  <c r="V249" i="78"/>
  <c r="L249" i="78"/>
  <c r="H249" i="78"/>
  <c r="G249" i="78"/>
  <c r="I249" i="78" s="1"/>
  <c r="J249" i="78" s="1"/>
  <c r="K249" i="78" s="1"/>
  <c r="M249" i="78" s="1"/>
  <c r="F249" i="78"/>
  <c r="E249" i="78"/>
  <c r="D249" i="78"/>
  <c r="C249" i="78"/>
  <c r="B249" i="78"/>
  <c r="A249" i="78"/>
  <c r="W248" i="78"/>
  <c r="V248" i="78"/>
  <c r="L248" i="78"/>
  <c r="H248" i="78"/>
  <c r="G248" i="78"/>
  <c r="I248" i="78" s="1"/>
  <c r="J248" i="78" s="1"/>
  <c r="K248" i="78" s="1"/>
  <c r="M248" i="78" s="1"/>
  <c r="N248" i="78" s="1"/>
  <c r="O248" i="78" s="1"/>
  <c r="F248" i="78"/>
  <c r="E248" i="78"/>
  <c r="D248" i="78"/>
  <c r="C248" i="78"/>
  <c r="B248" i="78"/>
  <c r="A248" i="78"/>
  <c r="W247" i="78"/>
  <c r="V247" i="78"/>
  <c r="L247" i="78"/>
  <c r="I247" i="78"/>
  <c r="J247" i="78" s="1"/>
  <c r="H247" i="78"/>
  <c r="G247" i="78"/>
  <c r="F247" i="78"/>
  <c r="E247" i="78"/>
  <c r="D247" i="78"/>
  <c r="C247" i="78"/>
  <c r="B247" i="78"/>
  <c r="A247" i="78"/>
  <c r="W246" i="78"/>
  <c r="V246" i="78"/>
  <c r="L246" i="78"/>
  <c r="R246" i="78" s="1"/>
  <c r="T246" i="78" s="1"/>
  <c r="X246" i="78" s="1"/>
  <c r="H246" i="78"/>
  <c r="G246" i="78"/>
  <c r="I246" i="78" s="1"/>
  <c r="J246" i="78" s="1"/>
  <c r="K246" i="78" s="1"/>
  <c r="M246" i="78" s="1"/>
  <c r="F246" i="78"/>
  <c r="E246" i="78"/>
  <c r="D246" i="78"/>
  <c r="C246" i="78"/>
  <c r="B246" i="78"/>
  <c r="A246" i="78"/>
  <c r="W245" i="78"/>
  <c r="V245" i="78"/>
  <c r="L245" i="78"/>
  <c r="H245" i="78"/>
  <c r="G245" i="78"/>
  <c r="I245" i="78" s="1"/>
  <c r="J245" i="78" s="1"/>
  <c r="F245" i="78"/>
  <c r="E245" i="78"/>
  <c r="D245" i="78"/>
  <c r="C245" i="78"/>
  <c r="B245" i="78"/>
  <c r="A245" i="78"/>
  <c r="A243" i="78"/>
  <c r="W241" i="78"/>
  <c r="V241" i="78"/>
  <c r="L241" i="78"/>
  <c r="H241" i="78"/>
  <c r="G241" i="78"/>
  <c r="I241" i="78" s="1"/>
  <c r="J241" i="78" s="1"/>
  <c r="K241" i="78" s="1"/>
  <c r="M241" i="78" s="1"/>
  <c r="N241" i="78" s="1"/>
  <c r="O241" i="78" s="1"/>
  <c r="F241" i="78"/>
  <c r="E241" i="78"/>
  <c r="D241" i="78"/>
  <c r="C241" i="78"/>
  <c r="B241" i="78"/>
  <c r="A241" i="78"/>
  <c r="W240" i="78"/>
  <c r="V240" i="78"/>
  <c r="L240" i="78"/>
  <c r="S240" i="78" s="1"/>
  <c r="U240" i="78" s="1"/>
  <c r="Y240" i="78" s="1"/>
  <c r="H240" i="78"/>
  <c r="G240" i="78"/>
  <c r="I240" i="78" s="1"/>
  <c r="J240" i="78" s="1"/>
  <c r="K240" i="78" s="1"/>
  <c r="F240" i="78"/>
  <c r="E240" i="78"/>
  <c r="D240" i="78"/>
  <c r="C240" i="78"/>
  <c r="M240" i="78" s="1"/>
  <c r="N240" i="78" s="1"/>
  <c r="O240" i="78" s="1"/>
  <c r="B240" i="78"/>
  <c r="A240" i="78"/>
  <c r="W239" i="78"/>
  <c r="V239" i="78"/>
  <c r="L239" i="78"/>
  <c r="I239" i="78"/>
  <c r="J239" i="78" s="1"/>
  <c r="K239" i="78" s="1"/>
  <c r="M239" i="78" s="1"/>
  <c r="N239" i="78" s="1"/>
  <c r="O239" i="78" s="1"/>
  <c r="H239" i="78"/>
  <c r="G239" i="78"/>
  <c r="F239" i="78"/>
  <c r="E239" i="78"/>
  <c r="D239" i="78"/>
  <c r="C239" i="78"/>
  <c r="B239" i="78"/>
  <c r="A239" i="78"/>
  <c r="W238" i="78"/>
  <c r="V238" i="78"/>
  <c r="L238" i="78"/>
  <c r="I238" i="78"/>
  <c r="J238" i="78" s="1"/>
  <c r="K238" i="78" s="1"/>
  <c r="M238" i="78" s="1"/>
  <c r="N238" i="78" s="1"/>
  <c r="O238" i="78" s="1"/>
  <c r="H238" i="78"/>
  <c r="G238" i="78"/>
  <c r="F238" i="78"/>
  <c r="E238" i="78"/>
  <c r="D238" i="78"/>
  <c r="C238" i="78"/>
  <c r="B238" i="78"/>
  <c r="A238" i="78"/>
  <c r="W237" i="78"/>
  <c r="V237" i="78"/>
  <c r="L237" i="78"/>
  <c r="H237" i="78"/>
  <c r="I237" i="78" s="1"/>
  <c r="J237" i="78" s="1"/>
  <c r="K237" i="78" s="1"/>
  <c r="M237" i="78" s="1"/>
  <c r="N237" i="78" s="1"/>
  <c r="O237" i="78" s="1"/>
  <c r="G237" i="78"/>
  <c r="F237" i="78"/>
  <c r="E237" i="78"/>
  <c r="D237" i="78"/>
  <c r="C237" i="78"/>
  <c r="B237" i="78"/>
  <c r="A237" i="78"/>
  <c r="W236" i="78"/>
  <c r="V236" i="78"/>
  <c r="L236" i="78"/>
  <c r="H236" i="78"/>
  <c r="G236" i="78"/>
  <c r="I236" i="78" s="1"/>
  <c r="J236" i="78" s="1"/>
  <c r="K236" i="78" s="1"/>
  <c r="M236" i="78" s="1"/>
  <c r="N236" i="78" s="1"/>
  <c r="O236" i="78" s="1"/>
  <c r="F236" i="78"/>
  <c r="E236" i="78"/>
  <c r="D236" i="78"/>
  <c r="C236" i="78"/>
  <c r="B236" i="78"/>
  <c r="A236" i="78"/>
  <c r="W235" i="78"/>
  <c r="V235" i="78"/>
  <c r="L235" i="78"/>
  <c r="H235" i="78"/>
  <c r="G235" i="78"/>
  <c r="I235" i="78" s="1"/>
  <c r="J235" i="78" s="1"/>
  <c r="F235" i="78"/>
  <c r="K235" i="78" s="1"/>
  <c r="M235" i="78" s="1"/>
  <c r="E235" i="78"/>
  <c r="D235" i="78"/>
  <c r="C235" i="78"/>
  <c r="B235" i="78"/>
  <c r="A235" i="78"/>
  <c r="W234" i="78"/>
  <c r="V234" i="78"/>
  <c r="L234" i="78"/>
  <c r="I234" i="78"/>
  <c r="J234" i="78" s="1"/>
  <c r="H234" i="78"/>
  <c r="G234" i="78"/>
  <c r="F234" i="78"/>
  <c r="K234" i="78" s="1"/>
  <c r="M234" i="78" s="1"/>
  <c r="E234" i="78"/>
  <c r="D234" i="78"/>
  <c r="C234" i="78"/>
  <c r="B234" i="78"/>
  <c r="A234" i="78"/>
  <c r="W233" i="78"/>
  <c r="V233" i="78"/>
  <c r="H233" i="78"/>
  <c r="G233" i="78"/>
  <c r="I233" i="78" s="1"/>
  <c r="J233" i="78" s="1"/>
  <c r="F233" i="78"/>
  <c r="E233" i="78"/>
  <c r="D233" i="78"/>
  <c r="C233" i="78"/>
  <c r="B233" i="78"/>
  <c r="A233" i="78"/>
  <c r="W232" i="78"/>
  <c r="V232" i="78"/>
  <c r="H232" i="78"/>
  <c r="G232" i="78"/>
  <c r="I232" i="78" s="1"/>
  <c r="J232" i="78" s="1"/>
  <c r="F232" i="78"/>
  <c r="E232" i="78"/>
  <c r="D232" i="78"/>
  <c r="C232" i="78"/>
  <c r="B232" i="78"/>
  <c r="A232" i="78"/>
  <c r="W231" i="78"/>
  <c r="V231" i="78"/>
  <c r="H231" i="78"/>
  <c r="G231" i="78"/>
  <c r="I231" i="78" s="1"/>
  <c r="J231" i="78" s="1"/>
  <c r="F231" i="78"/>
  <c r="E231" i="78"/>
  <c r="D231" i="78"/>
  <c r="C231" i="78"/>
  <c r="B231" i="78"/>
  <c r="A231" i="78"/>
  <c r="W230" i="78"/>
  <c r="V230" i="78"/>
  <c r="L230" i="78"/>
  <c r="H230" i="78"/>
  <c r="G230" i="78"/>
  <c r="I230" i="78" s="1"/>
  <c r="J230" i="78" s="1"/>
  <c r="F230" i="78"/>
  <c r="E230" i="78"/>
  <c r="D230" i="78"/>
  <c r="C230" i="78"/>
  <c r="B230" i="78"/>
  <c r="A230" i="78"/>
  <c r="W229" i="78"/>
  <c r="V229" i="78"/>
  <c r="L229" i="78"/>
  <c r="H229" i="78"/>
  <c r="G229" i="78"/>
  <c r="I229" i="78" s="1"/>
  <c r="J229" i="78" s="1"/>
  <c r="K229" i="78" s="1"/>
  <c r="M229" i="78" s="1"/>
  <c r="N229" i="78" s="1"/>
  <c r="O229" i="78" s="1"/>
  <c r="F229" i="78"/>
  <c r="E229" i="78"/>
  <c r="D229" i="78"/>
  <c r="C229" i="78"/>
  <c r="B229" i="78"/>
  <c r="A229" i="78"/>
  <c r="W228" i="78"/>
  <c r="V228" i="78"/>
  <c r="L228" i="78"/>
  <c r="H228" i="78"/>
  <c r="G228" i="78"/>
  <c r="I228" i="78" s="1"/>
  <c r="J228" i="78" s="1"/>
  <c r="K228" i="78" s="1"/>
  <c r="F228" i="78"/>
  <c r="E228" i="78"/>
  <c r="D228" i="78"/>
  <c r="C228" i="78"/>
  <c r="B228" i="78"/>
  <c r="A228" i="78"/>
  <c r="W227" i="78"/>
  <c r="V227" i="78"/>
  <c r="L227" i="78"/>
  <c r="J227" i="78"/>
  <c r="K227" i="78" s="1"/>
  <c r="M227" i="78" s="1"/>
  <c r="N227" i="78" s="1"/>
  <c r="O227" i="78" s="1"/>
  <c r="I227" i="78"/>
  <c r="H227" i="78"/>
  <c r="G227" i="78"/>
  <c r="F227" i="78"/>
  <c r="E227" i="78"/>
  <c r="D227" i="78"/>
  <c r="C227" i="78"/>
  <c r="B227" i="78"/>
  <c r="A227" i="78"/>
  <c r="W226" i="78"/>
  <c r="V226" i="78"/>
  <c r="L226" i="78"/>
  <c r="S226" i="78" s="1"/>
  <c r="U226" i="78" s="1"/>
  <c r="Y226" i="78" s="1"/>
  <c r="I226" i="78"/>
  <c r="J226" i="78" s="1"/>
  <c r="K226" i="78" s="1"/>
  <c r="M226" i="78" s="1"/>
  <c r="N226" i="78" s="1"/>
  <c r="O226" i="78" s="1"/>
  <c r="H226" i="78"/>
  <c r="G226" i="78"/>
  <c r="F226" i="78"/>
  <c r="E226" i="78"/>
  <c r="D226" i="78"/>
  <c r="C226" i="78"/>
  <c r="B226" i="78"/>
  <c r="A226" i="78"/>
  <c r="A224" i="78"/>
  <c r="W222" i="78"/>
  <c r="V222" i="78"/>
  <c r="L222" i="78"/>
  <c r="I222" i="78"/>
  <c r="J222" i="78" s="1"/>
  <c r="K222" i="78" s="1"/>
  <c r="M222" i="78" s="1"/>
  <c r="N222" i="78" s="1"/>
  <c r="O222" i="78" s="1"/>
  <c r="H222" i="78"/>
  <c r="G222" i="78"/>
  <c r="F222" i="78"/>
  <c r="E222" i="78"/>
  <c r="D222" i="78"/>
  <c r="C222" i="78"/>
  <c r="B222" i="78"/>
  <c r="A222" i="78"/>
  <c r="W221" i="78"/>
  <c r="V221" i="78"/>
  <c r="L221" i="78"/>
  <c r="H221" i="78"/>
  <c r="I221" i="78" s="1"/>
  <c r="J221" i="78" s="1"/>
  <c r="K221" i="78" s="1"/>
  <c r="M221" i="78" s="1"/>
  <c r="N221" i="78" s="1"/>
  <c r="O221" i="78" s="1"/>
  <c r="G221" i="78"/>
  <c r="F221" i="78"/>
  <c r="E221" i="78"/>
  <c r="D221" i="78"/>
  <c r="C221" i="78"/>
  <c r="B221" i="78"/>
  <c r="A221" i="78"/>
  <c r="W220" i="78"/>
  <c r="V220" i="78"/>
  <c r="L220" i="78"/>
  <c r="S220" i="78" s="1"/>
  <c r="U220" i="78" s="1"/>
  <c r="Y220" i="78" s="1"/>
  <c r="H220" i="78"/>
  <c r="G220" i="78"/>
  <c r="I220" i="78" s="1"/>
  <c r="J220" i="78" s="1"/>
  <c r="K220" i="78" s="1"/>
  <c r="M220" i="78" s="1"/>
  <c r="N220" i="78" s="1"/>
  <c r="O220" i="78" s="1"/>
  <c r="F220" i="78"/>
  <c r="E220" i="78"/>
  <c r="D220" i="78"/>
  <c r="C220" i="78"/>
  <c r="B220" i="78"/>
  <c r="A220" i="78"/>
  <c r="W219" i="78"/>
  <c r="V219" i="78"/>
  <c r="L219" i="78"/>
  <c r="H219" i="78"/>
  <c r="G219" i="78"/>
  <c r="I219" i="78" s="1"/>
  <c r="J219" i="78" s="1"/>
  <c r="F219" i="78"/>
  <c r="K219" i="78" s="1"/>
  <c r="M219" i="78" s="1"/>
  <c r="E219" i="78"/>
  <c r="D219" i="78"/>
  <c r="C219" i="78"/>
  <c r="B219" i="78"/>
  <c r="A219" i="78"/>
  <c r="W218" i="78"/>
  <c r="V218" i="78"/>
  <c r="L218" i="78"/>
  <c r="I218" i="78"/>
  <c r="J218" i="78" s="1"/>
  <c r="H218" i="78"/>
  <c r="G218" i="78"/>
  <c r="F218" i="78"/>
  <c r="E218" i="78"/>
  <c r="D218" i="78"/>
  <c r="C218" i="78"/>
  <c r="B218" i="78"/>
  <c r="A218" i="78"/>
  <c r="W217" i="78"/>
  <c r="V217" i="78"/>
  <c r="H217" i="78"/>
  <c r="I217" i="78" s="1"/>
  <c r="J217" i="78" s="1"/>
  <c r="G217" i="78"/>
  <c r="F217" i="78"/>
  <c r="K217" i="78" s="1"/>
  <c r="E217" i="78"/>
  <c r="D217" i="78"/>
  <c r="C217" i="78"/>
  <c r="B217" i="78"/>
  <c r="A217" i="78"/>
  <c r="W216" i="78"/>
  <c r="V216" i="78"/>
  <c r="H216" i="78"/>
  <c r="G216" i="78"/>
  <c r="I216" i="78" s="1"/>
  <c r="J216" i="78" s="1"/>
  <c r="F216" i="78"/>
  <c r="E216" i="78"/>
  <c r="D216" i="78"/>
  <c r="C216" i="78"/>
  <c r="B216" i="78"/>
  <c r="A216" i="78"/>
  <c r="W215" i="78"/>
  <c r="V215" i="78"/>
  <c r="H215" i="78"/>
  <c r="G215" i="78"/>
  <c r="I215" i="78" s="1"/>
  <c r="J215" i="78" s="1"/>
  <c r="F215" i="78"/>
  <c r="E215" i="78"/>
  <c r="D215" i="78"/>
  <c r="C215" i="78"/>
  <c r="B215" i="78"/>
  <c r="A215" i="78"/>
  <c r="W214" i="78"/>
  <c r="V214" i="78"/>
  <c r="L214" i="78"/>
  <c r="H214" i="78"/>
  <c r="G214" i="78"/>
  <c r="I214" i="78" s="1"/>
  <c r="J214" i="78" s="1"/>
  <c r="F214" i="78"/>
  <c r="E214" i="78"/>
  <c r="D214" i="78"/>
  <c r="C214" i="78"/>
  <c r="B214" i="78"/>
  <c r="A214" i="78"/>
  <c r="W213" i="78"/>
  <c r="V213" i="78"/>
  <c r="L213" i="78"/>
  <c r="H213" i="78"/>
  <c r="G213" i="78"/>
  <c r="I213" i="78" s="1"/>
  <c r="J213" i="78" s="1"/>
  <c r="K213" i="78" s="1"/>
  <c r="M213" i="78" s="1"/>
  <c r="F213" i="78"/>
  <c r="E213" i="78"/>
  <c r="D213" i="78"/>
  <c r="C213" i="78"/>
  <c r="B213" i="78"/>
  <c r="A213" i="78"/>
  <c r="W212" i="78"/>
  <c r="V212" i="78"/>
  <c r="L212" i="78"/>
  <c r="H212" i="78"/>
  <c r="G212" i="78"/>
  <c r="I212" i="78" s="1"/>
  <c r="J212" i="78" s="1"/>
  <c r="K212" i="78" s="1"/>
  <c r="F212" i="78"/>
  <c r="E212" i="78"/>
  <c r="D212" i="78"/>
  <c r="C212" i="78"/>
  <c r="B212" i="78"/>
  <c r="A212" i="78"/>
  <c r="W211" i="78"/>
  <c r="V211" i="78"/>
  <c r="J211" i="78"/>
  <c r="K211" i="78" s="1"/>
  <c r="I211" i="78"/>
  <c r="H211" i="78"/>
  <c r="G211" i="78"/>
  <c r="F211" i="78"/>
  <c r="E211" i="78"/>
  <c r="D211" i="78"/>
  <c r="C211" i="78"/>
  <c r="B211" i="78"/>
  <c r="A211" i="78"/>
  <c r="W210" i="78"/>
  <c r="V210" i="78"/>
  <c r="L210" i="78"/>
  <c r="I210" i="78"/>
  <c r="J210" i="78" s="1"/>
  <c r="K210" i="78" s="1"/>
  <c r="M210" i="78" s="1"/>
  <c r="N210" i="78" s="1"/>
  <c r="O210" i="78" s="1"/>
  <c r="H210" i="78"/>
  <c r="G210" i="78"/>
  <c r="F210" i="78"/>
  <c r="E210" i="78"/>
  <c r="D210" i="78"/>
  <c r="C210" i="78"/>
  <c r="B210" i="78"/>
  <c r="A210" i="78"/>
  <c r="W209" i="78"/>
  <c r="V209" i="78"/>
  <c r="L209" i="78"/>
  <c r="H209" i="78"/>
  <c r="I209" i="78" s="1"/>
  <c r="J209" i="78" s="1"/>
  <c r="K209" i="78" s="1"/>
  <c r="M209" i="78" s="1"/>
  <c r="N209" i="78" s="1"/>
  <c r="O209" i="78" s="1"/>
  <c r="G209" i="78"/>
  <c r="F209" i="78"/>
  <c r="E209" i="78"/>
  <c r="D209" i="78"/>
  <c r="C209" i="78"/>
  <c r="B209" i="78"/>
  <c r="A209" i="78"/>
  <c r="W208" i="78"/>
  <c r="V208" i="78"/>
  <c r="L208" i="78"/>
  <c r="H208" i="78"/>
  <c r="G208" i="78"/>
  <c r="I208" i="78" s="1"/>
  <c r="J208" i="78" s="1"/>
  <c r="K208" i="78" s="1"/>
  <c r="M208" i="78" s="1"/>
  <c r="N208" i="78" s="1"/>
  <c r="O208" i="78" s="1"/>
  <c r="F208" i="78"/>
  <c r="E208" i="78"/>
  <c r="D208" i="78"/>
  <c r="C208" i="78"/>
  <c r="B208" i="78"/>
  <c r="A208" i="78"/>
  <c r="W207" i="78"/>
  <c r="V207" i="78"/>
  <c r="L207" i="78"/>
  <c r="H207" i="78"/>
  <c r="G207" i="78"/>
  <c r="I207" i="78" s="1"/>
  <c r="J207" i="78" s="1"/>
  <c r="F207" i="78"/>
  <c r="K207" i="78" s="1"/>
  <c r="M207" i="78" s="1"/>
  <c r="E207" i="78"/>
  <c r="D207" i="78"/>
  <c r="C207" i="78"/>
  <c r="B207" i="78"/>
  <c r="A207" i="78"/>
  <c r="A205" i="78"/>
  <c r="W203" i="78"/>
  <c r="V203" i="78"/>
  <c r="L203" i="78"/>
  <c r="H203" i="78"/>
  <c r="G203" i="78"/>
  <c r="I203" i="78" s="1"/>
  <c r="J203" i="78" s="1"/>
  <c r="F203" i="78"/>
  <c r="K203" i="78" s="1"/>
  <c r="M203" i="78" s="1"/>
  <c r="N203" i="78" s="1"/>
  <c r="O203" i="78" s="1"/>
  <c r="E203" i="78"/>
  <c r="D203" i="78"/>
  <c r="C203" i="78"/>
  <c r="B203" i="78"/>
  <c r="A203" i="78"/>
  <c r="W202" i="78"/>
  <c r="V202" i="78"/>
  <c r="L202" i="78"/>
  <c r="H202" i="78"/>
  <c r="G202" i="78"/>
  <c r="I202" i="78" s="1"/>
  <c r="J202" i="78" s="1"/>
  <c r="K202" i="78" s="1"/>
  <c r="M202" i="78" s="1"/>
  <c r="N202" i="78" s="1"/>
  <c r="O202" i="78" s="1"/>
  <c r="F202" i="78"/>
  <c r="E202" i="78"/>
  <c r="D202" i="78"/>
  <c r="C202" i="78"/>
  <c r="B202" i="78"/>
  <c r="A202" i="78"/>
  <c r="W201" i="78"/>
  <c r="V201" i="78"/>
  <c r="L201" i="78"/>
  <c r="I201" i="78"/>
  <c r="J201" i="78" s="1"/>
  <c r="K201" i="78" s="1"/>
  <c r="M201" i="78" s="1"/>
  <c r="N201" i="78" s="1"/>
  <c r="O201" i="78" s="1"/>
  <c r="H201" i="78"/>
  <c r="G201" i="78"/>
  <c r="F201" i="78"/>
  <c r="E201" i="78"/>
  <c r="D201" i="78"/>
  <c r="C201" i="78"/>
  <c r="B201" i="78"/>
  <c r="A201" i="78"/>
  <c r="W200" i="78"/>
  <c r="V200" i="78"/>
  <c r="L200" i="78"/>
  <c r="I200" i="78"/>
  <c r="J200" i="78" s="1"/>
  <c r="K200" i="78" s="1"/>
  <c r="M200" i="78" s="1"/>
  <c r="N200" i="78" s="1"/>
  <c r="O200" i="78" s="1"/>
  <c r="H200" i="78"/>
  <c r="G200" i="78"/>
  <c r="F200" i="78"/>
  <c r="E200" i="78"/>
  <c r="D200" i="78"/>
  <c r="C200" i="78"/>
  <c r="B200" i="78"/>
  <c r="A200" i="78"/>
  <c r="W199" i="78"/>
  <c r="V199" i="78"/>
  <c r="L199" i="78"/>
  <c r="H199" i="78"/>
  <c r="I199" i="78" s="1"/>
  <c r="J199" i="78" s="1"/>
  <c r="K199" i="78" s="1"/>
  <c r="M199" i="78" s="1"/>
  <c r="N199" i="78" s="1"/>
  <c r="O199" i="78" s="1"/>
  <c r="G199" i="78"/>
  <c r="F199" i="78"/>
  <c r="E199" i="78"/>
  <c r="D199" i="78"/>
  <c r="C199" i="78"/>
  <c r="B199" i="78"/>
  <c r="A199" i="78"/>
  <c r="W198" i="78"/>
  <c r="V198" i="78"/>
  <c r="L198" i="78"/>
  <c r="H198" i="78"/>
  <c r="G198" i="78"/>
  <c r="I198" i="78" s="1"/>
  <c r="J198" i="78" s="1"/>
  <c r="K198" i="78" s="1"/>
  <c r="M198" i="78" s="1"/>
  <c r="N198" i="78" s="1"/>
  <c r="O198" i="78" s="1"/>
  <c r="F198" i="78"/>
  <c r="E198" i="78"/>
  <c r="D198" i="78"/>
  <c r="C198" i="78"/>
  <c r="B198" i="78"/>
  <c r="A198" i="78"/>
  <c r="W197" i="78"/>
  <c r="V197" i="78"/>
  <c r="L197" i="78"/>
  <c r="H197" i="78"/>
  <c r="G197" i="78"/>
  <c r="I197" i="78" s="1"/>
  <c r="J197" i="78" s="1"/>
  <c r="F197" i="78"/>
  <c r="K197" i="78" s="1"/>
  <c r="M197" i="78" s="1"/>
  <c r="N197" i="78" s="1"/>
  <c r="O197" i="78" s="1"/>
  <c r="E197" i="78"/>
  <c r="D197" i="78"/>
  <c r="C197" i="78"/>
  <c r="B197" i="78"/>
  <c r="A197" i="78"/>
  <c r="W196" i="78"/>
  <c r="V196" i="78"/>
  <c r="L196" i="78"/>
  <c r="H196" i="78"/>
  <c r="G196" i="78"/>
  <c r="I196" i="78" s="1"/>
  <c r="J196" i="78" s="1"/>
  <c r="F196" i="78"/>
  <c r="K196" i="78" s="1"/>
  <c r="M196" i="78" s="1"/>
  <c r="E196" i="78"/>
  <c r="D196" i="78"/>
  <c r="C196" i="78"/>
  <c r="B196" i="78"/>
  <c r="A196" i="78"/>
  <c r="W195" i="78"/>
  <c r="V195" i="78"/>
  <c r="L195" i="78"/>
  <c r="H195" i="78"/>
  <c r="G195" i="78"/>
  <c r="I195" i="78" s="1"/>
  <c r="J195" i="78" s="1"/>
  <c r="F195" i="78"/>
  <c r="K195" i="78" s="1"/>
  <c r="E195" i="78"/>
  <c r="D195" i="78"/>
  <c r="C195" i="78"/>
  <c r="M195" i="78" s="1"/>
  <c r="B195" i="78"/>
  <c r="A195" i="78"/>
  <c r="W194" i="78"/>
  <c r="V194" i="78"/>
  <c r="H194" i="78"/>
  <c r="G194" i="78"/>
  <c r="I194" i="78" s="1"/>
  <c r="J194" i="78" s="1"/>
  <c r="F194" i="78"/>
  <c r="K194" i="78" s="1"/>
  <c r="E194" i="78"/>
  <c r="D194" i="78"/>
  <c r="C194" i="78"/>
  <c r="B194" i="78"/>
  <c r="A194" i="78"/>
  <c r="W193" i="78"/>
  <c r="V193" i="78"/>
  <c r="H193" i="78"/>
  <c r="G193" i="78"/>
  <c r="I193" i="78" s="1"/>
  <c r="J193" i="78" s="1"/>
  <c r="F193" i="78"/>
  <c r="E193" i="78"/>
  <c r="D193" i="78"/>
  <c r="C193" i="78"/>
  <c r="B193" i="78"/>
  <c r="A193" i="78"/>
  <c r="W192" i="78"/>
  <c r="V192" i="78"/>
  <c r="H192" i="78"/>
  <c r="G192" i="78"/>
  <c r="I192" i="78" s="1"/>
  <c r="J192" i="78" s="1"/>
  <c r="F192" i="78"/>
  <c r="E192" i="78"/>
  <c r="D192" i="78"/>
  <c r="C192" i="78"/>
  <c r="L192" i="78" s="1"/>
  <c r="B192" i="78"/>
  <c r="A192" i="78"/>
  <c r="W191" i="78"/>
  <c r="V191" i="78"/>
  <c r="L191" i="78"/>
  <c r="H191" i="78"/>
  <c r="G191" i="78"/>
  <c r="I191" i="78" s="1"/>
  <c r="J191" i="78" s="1"/>
  <c r="F191" i="78"/>
  <c r="K191" i="78" s="1"/>
  <c r="M191" i="78" s="1"/>
  <c r="N191" i="78" s="1"/>
  <c r="O191" i="78" s="1"/>
  <c r="E191" i="78"/>
  <c r="D191" i="78"/>
  <c r="C191" i="78"/>
  <c r="B191" i="78"/>
  <c r="A191" i="78"/>
  <c r="W190" i="78"/>
  <c r="V190" i="78"/>
  <c r="L190" i="78"/>
  <c r="H190" i="78"/>
  <c r="G190" i="78"/>
  <c r="I190" i="78" s="1"/>
  <c r="J190" i="78" s="1"/>
  <c r="K190" i="78" s="1"/>
  <c r="M190" i="78" s="1"/>
  <c r="N190" i="78" s="1"/>
  <c r="O190" i="78" s="1"/>
  <c r="F190" i="78"/>
  <c r="E190" i="78"/>
  <c r="D190" i="78"/>
  <c r="C190" i="78"/>
  <c r="B190" i="78"/>
  <c r="A190" i="78"/>
  <c r="W189" i="78"/>
  <c r="V189" i="78"/>
  <c r="L189" i="78"/>
  <c r="I189" i="78"/>
  <c r="J189" i="78" s="1"/>
  <c r="K189" i="78" s="1"/>
  <c r="M189" i="78" s="1"/>
  <c r="N189" i="78" s="1"/>
  <c r="O189" i="78" s="1"/>
  <c r="H189" i="78"/>
  <c r="G189" i="78"/>
  <c r="F189" i="78"/>
  <c r="E189" i="78"/>
  <c r="D189" i="78"/>
  <c r="C189" i="78"/>
  <c r="B189" i="78"/>
  <c r="A189" i="78"/>
  <c r="W188" i="78"/>
  <c r="V188" i="78"/>
  <c r="L188" i="78"/>
  <c r="I188" i="78"/>
  <c r="J188" i="78" s="1"/>
  <c r="K188" i="78" s="1"/>
  <c r="M188" i="78" s="1"/>
  <c r="N188" i="78" s="1"/>
  <c r="O188" i="78" s="1"/>
  <c r="H188" i="78"/>
  <c r="G188" i="78"/>
  <c r="F188" i="78"/>
  <c r="E188" i="78"/>
  <c r="D188" i="78"/>
  <c r="C188" i="78"/>
  <c r="B188" i="78"/>
  <c r="A188" i="78"/>
  <c r="A186" i="78"/>
  <c r="W184" i="78"/>
  <c r="V184" i="78"/>
  <c r="L184" i="78"/>
  <c r="I184" i="78"/>
  <c r="J184" i="78" s="1"/>
  <c r="K184" i="78" s="1"/>
  <c r="M184" i="78" s="1"/>
  <c r="N184" i="78" s="1"/>
  <c r="O184" i="78" s="1"/>
  <c r="H184" i="78"/>
  <c r="G184" i="78"/>
  <c r="F184" i="78"/>
  <c r="E184" i="78"/>
  <c r="D184" i="78"/>
  <c r="C184" i="78"/>
  <c r="B184" i="78"/>
  <c r="A184" i="78"/>
  <c r="W183" i="78"/>
  <c r="V183" i="78"/>
  <c r="L183" i="78"/>
  <c r="H183" i="78"/>
  <c r="I183" i="78" s="1"/>
  <c r="J183" i="78" s="1"/>
  <c r="K183" i="78" s="1"/>
  <c r="M183" i="78" s="1"/>
  <c r="N183" i="78" s="1"/>
  <c r="O183" i="78" s="1"/>
  <c r="G183" i="78"/>
  <c r="F183" i="78"/>
  <c r="E183" i="78"/>
  <c r="D183" i="78"/>
  <c r="C183" i="78"/>
  <c r="B183" i="78"/>
  <c r="A183" i="78"/>
  <c r="W182" i="78"/>
  <c r="V182" i="78"/>
  <c r="L182" i="78"/>
  <c r="H182" i="78"/>
  <c r="G182" i="78"/>
  <c r="I182" i="78" s="1"/>
  <c r="J182" i="78" s="1"/>
  <c r="K182" i="78" s="1"/>
  <c r="M182" i="78" s="1"/>
  <c r="N182" i="78" s="1"/>
  <c r="O182" i="78" s="1"/>
  <c r="F182" i="78"/>
  <c r="E182" i="78"/>
  <c r="D182" i="78"/>
  <c r="C182" i="78"/>
  <c r="B182" i="78"/>
  <c r="A182" i="78"/>
  <c r="W181" i="78"/>
  <c r="V181" i="78"/>
  <c r="L181" i="78"/>
  <c r="H181" i="78"/>
  <c r="G181" i="78"/>
  <c r="I181" i="78" s="1"/>
  <c r="J181" i="78" s="1"/>
  <c r="F181" i="78"/>
  <c r="E181" i="78"/>
  <c r="D181" i="78"/>
  <c r="C181" i="78"/>
  <c r="B181" i="78"/>
  <c r="A181" i="78"/>
  <c r="W180" i="78"/>
  <c r="V180" i="78"/>
  <c r="L180" i="78"/>
  <c r="H180" i="78"/>
  <c r="G180" i="78"/>
  <c r="I180" i="78" s="1"/>
  <c r="J180" i="78" s="1"/>
  <c r="F180" i="78"/>
  <c r="K180" i="78" s="1"/>
  <c r="M180" i="78" s="1"/>
  <c r="E180" i="78"/>
  <c r="D180" i="78"/>
  <c r="C180" i="78"/>
  <c r="B180" i="78"/>
  <c r="A180" i="78"/>
  <c r="W179" i="78"/>
  <c r="V179" i="78"/>
  <c r="L179" i="78"/>
  <c r="H179" i="78"/>
  <c r="G179" i="78"/>
  <c r="I179" i="78" s="1"/>
  <c r="J179" i="78" s="1"/>
  <c r="F179" i="78"/>
  <c r="K179" i="78" s="1"/>
  <c r="M179" i="78" s="1"/>
  <c r="E179" i="78"/>
  <c r="D179" i="78"/>
  <c r="C179" i="78"/>
  <c r="B179" i="78"/>
  <c r="A179" i="78"/>
  <c r="W178" i="78"/>
  <c r="V178" i="78"/>
  <c r="H178" i="78"/>
  <c r="G178" i="78"/>
  <c r="I178" i="78" s="1"/>
  <c r="J178" i="78" s="1"/>
  <c r="F178" i="78"/>
  <c r="E178" i="78"/>
  <c r="D178" i="78"/>
  <c r="C178" i="78"/>
  <c r="B178" i="78"/>
  <c r="A178" i="78"/>
  <c r="W177" i="78"/>
  <c r="V177" i="78"/>
  <c r="H177" i="78"/>
  <c r="G177" i="78"/>
  <c r="I177" i="78" s="1"/>
  <c r="J177" i="78" s="1"/>
  <c r="F177" i="78"/>
  <c r="E177" i="78"/>
  <c r="D177" i="78"/>
  <c r="C177" i="78"/>
  <c r="B177" i="78"/>
  <c r="A177" i="78"/>
  <c r="W176" i="78"/>
  <c r="V176" i="78"/>
  <c r="H176" i="78"/>
  <c r="G176" i="78"/>
  <c r="I176" i="78" s="1"/>
  <c r="J176" i="78" s="1"/>
  <c r="F176" i="78"/>
  <c r="E176" i="78"/>
  <c r="D176" i="78"/>
  <c r="C176" i="78"/>
  <c r="L176" i="78" s="1"/>
  <c r="B176" i="78"/>
  <c r="A176" i="78"/>
  <c r="W175" i="78"/>
  <c r="V175" i="78"/>
  <c r="L175" i="78"/>
  <c r="H175" i="78"/>
  <c r="G175" i="78"/>
  <c r="I175" i="78" s="1"/>
  <c r="J175" i="78" s="1"/>
  <c r="F175" i="78"/>
  <c r="E175" i="78"/>
  <c r="D175" i="78"/>
  <c r="C175" i="78"/>
  <c r="B175" i="78"/>
  <c r="A175" i="78"/>
  <c r="W174" i="78"/>
  <c r="V174" i="78"/>
  <c r="L174" i="78"/>
  <c r="S174" i="78" s="1"/>
  <c r="U174" i="78" s="1"/>
  <c r="Y174" i="78" s="1"/>
  <c r="H174" i="78"/>
  <c r="G174" i="78"/>
  <c r="I174" i="78" s="1"/>
  <c r="J174" i="78" s="1"/>
  <c r="K174" i="78" s="1"/>
  <c r="M174" i="78" s="1"/>
  <c r="N174" i="78" s="1"/>
  <c r="O174" i="78" s="1"/>
  <c r="F174" i="78"/>
  <c r="E174" i="78"/>
  <c r="D174" i="78"/>
  <c r="C174" i="78"/>
  <c r="B174" i="78"/>
  <c r="A174" i="78"/>
  <c r="W173" i="78"/>
  <c r="V173" i="78"/>
  <c r="L173" i="78"/>
  <c r="H173" i="78"/>
  <c r="G173" i="78"/>
  <c r="I173" i="78" s="1"/>
  <c r="J173" i="78" s="1"/>
  <c r="K173" i="78" s="1"/>
  <c r="M173" i="78" s="1"/>
  <c r="N173" i="78" s="1"/>
  <c r="O173" i="78" s="1"/>
  <c r="F173" i="78"/>
  <c r="E173" i="78"/>
  <c r="D173" i="78"/>
  <c r="C173" i="78"/>
  <c r="B173" i="78"/>
  <c r="A173" i="78"/>
  <c r="W172" i="78"/>
  <c r="V172" i="78"/>
  <c r="L172" i="78"/>
  <c r="I172" i="78"/>
  <c r="J172" i="78" s="1"/>
  <c r="K172" i="78" s="1"/>
  <c r="M172" i="78" s="1"/>
  <c r="N172" i="78" s="1"/>
  <c r="O172" i="78" s="1"/>
  <c r="H172" i="78"/>
  <c r="G172" i="78"/>
  <c r="F172" i="78"/>
  <c r="E172" i="78"/>
  <c r="D172" i="78"/>
  <c r="C172" i="78"/>
  <c r="B172" i="78"/>
  <c r="A172" i="78"/>
  <c r="W171" i="78"/>
  <c r="V171" i="78"/>
  <c r="L171" i="78"/>
  <c r="H171" i="78"/>
  <c r="I171" i="78" s="1"/>
  <c r="J171" i="78" s="1"/>
  <c r="K171" i="78" s="1"/>
  <c r="M171" i="78" s="1"/>
  <c r="N171" i="78" s="1"/>
  <c r="O171" i="78" s="1"/>
  <c r="G171" i="78"/>
  <c r="F171" i="78"/>
  <c r="E171" i="78"/>
  <c r="D171" i="78"/>
  <c r="C171" i="78"/>
  <c r="B171" i="78"/>
  <c r="A171" i="78"/>
  <c r="W170" i="78"/>
  <c r="V170" i="78"/>
  <c r="L170" i="78"/>
  <c r="H170" i="78"/>
  <c r="G170" i="78"/>
  <c r="I170" i="78" s="1"/>
  <c r="J170" i="78" s="1"/>
  <c r="K170" i="78" s="1"/>
  <c r="M170" i="78" s="1"/>
  <c r="N170" i="78" s="1"/>
  <c r="O170" i="78" s="1"/>
  <c r="F170" i="78"/>
  <c r="E170" i="78"/>
  <c r="D170" i="78"/>
  <c r="C170" i="78"/>
  <c r="B170" i="78"/>
  <c r="A170" i="78"/>
  <c r="W169" i="78"/>
  <c r="V169" i="78"/>
  <c r="L169" i="78"/>
  <c r="H169" i="78"/>
  <c r="G169" i="78"/>
  <c r="I169" i="78" s="1"/>
  <c r="J169" i="78" s="1"/>
  <c r="F169" i="78"/>
  <c r="K169" i="78" s="1"/>
  <c r="M169" i="78" s="1"/>
  <c r="N169" i="78" s="1"/>
  <c r="O169" i="78" s="1"/>
  <c r="E169" i="78"/>
  <c r="D169" i="78"/>
  <c r="C169" i="78"/>
  <c r="B169" i="78"/>
  <c r="A169" i="78"/>
  <c r="A167" i="78"/>
  <c r="W165" i="78"/>
  <c r="V165" i="78"/>
  <c r="H165" i="78"/>
  <c r="G165" i="78"/>
  <c r="I165" i="78" s="1"/>
  <c r="J165" i="78" s="1"/>
  <c r="F165" i="78"/>
  <c r="E165" i="78"/>
  <c r="D165" i="78"/>
  <c r="C165" i="78"/>
  <c r="L165" i="78" s="1"/>
  <c r="B165" i="78"/>
  <c r="A165" i="78"/>
  <c r="W164" i="78"/>
  <c r="V164" i="78"/>
  <c r="L164" i="78"/>
  <c r="I164" i="78"/>
  <c r="J164" i="78" s="1"/>
  <c r="K164" i="78" s="1"/>
  <c r="M164" i="78" s="1"/>
  <c r="N164" i="78" s="1"/>
  <c r="O164" i="78" s="1"/>
  <c r="H164" i="78"/>
  <c r="G164" i="78"/>
  <c r="F164" i="78"/>
  <c r="E164" i="78"/>
  <c r="D164" i="78"/>
  <c r="C164" i="78"/>
  <c r="B164" i="78"/>
  <c r="A164" i="78"/>
  <c r="W163" i="78"/>
  <c r="V163" i="78"/>
  <c r="L163" i="78"/>
  <c r="H163" i="78"/>
  <c r="I163" i="78" s="1"/>
  <c r="J163" i="78" s="1"/>
  <c r="K163" i="78" s="1"/>
  <c r="M163" i="78" s="1"/>
  <c r="N163" i="78" s="1"/>
  <c r="O163" i="78" s="1"/>
  <c r="G163" i="78"/>
  <c r="F163" i="78"/>
  <c r="E163" i="78"/>
  <c r="D163" i="78"/>
  <c r="C163" i="78"/>
  <c r="B163" i="78"/>
  <c r="A163" i="78"/>
  <c r="W162" i="78"/>
  <c r="V162" i="78"/>
  <c r="L162" i="78"/>
  <c r="S162" i="78" s="1"/>
  <c r="U162" i="78" s="1"/>
  <c r="Y162" i="78" s="1"/>
  <c r="H162" i="78"/>
  <c r="G162" i="78"/>
  <c r="I162" i="78" s="1"/>
  <c r="J162" i="78" s="1"/>
  <c r="K162" i="78" s="1"/>
  <c r="M162" i="78" s="1"/>
  <c r="F162" i="78"/>
  <c r="E162" i="78"/>
  <c r="D162" i="78"/>
  <c r="C162" i="78"/>
  <c r="B162" i="78"/>
  <c r="A162" i="78"/>
  <c r="W161" i="78"/>
  <c r="V161" i="78"/>
  <c r="L161" i="78"/>
  <c r="I161" i="78"/>
  <c r="J161" i="78" s="1"/>
  <c r="H161" i="78"/>
  <c r="G161" i="78"/>
  <c r="F161" i="78"/>
  <c r="E161" i="78"/>
  <c r="D161" i="78"/>
  <c r="C161" i="78"/>
  <c r="B161" i="78"/>
  <c r="A161" i="78"/>
  <c r="W160" i="78"/>
  <c r="V160" i="78"/>
  <c r="L160" i="78"/>
  <c r="H160" i="78"/>
  <c r="I160" i="78" s="1"/>
  <c r="J160" i="78" s="1"/>
  <c r="K160" i="78" s="1"/>
  <c r="M160" i="78" s="1"/>
  <c r="G160" i="78"/>
  <c r="F160" i="78"/>
  <c r="E160" i="78"/>
  <c r="D160" i="78"/>
  <c r="C160" i="78"/>
  <c r="B160" i="78"/>
  <c r="A160" i="78"/>
  <c r="W159" i="78"/>
  <c r="V159" i="78"/>
  <c r="L159" i="78"/>
  <c r="H159" i="78"/>
  <c r="G159" i="78"/>
  <c r="I159" i="78" s="1"/>
  <c r="J159" i="78" s="1"/>
  <c r="F159" i="78"/>
  <c r="E159" i="78"/>
  <c r="D159" i="78"/>
  <c r="C159" i="78"/>
  <c r="B159" i="78"/>
  <c r="A159" i="78"/>
  <c r="W158" i="78"/>
  <c r="V158" i="78"/>
  <c r="H158" i="78"/>
  <c r="G158" i="78"/>
  <c r="I158" i="78" s="1"/>
  <c r="J158" i="78" s="1"/>
  <c r="F158" i="78"/>
  <c r="E158" i="78"/>
  <c r="D158" i="78"/>
  <c r="C158" i="78"/>
  <c r="B158" i="78"/>
  <c r="A158" i="78"/>
  <c r="W157" i="78"/>
  <c r="V157" i="78"/>
  <c r="L157" i="78"/>
  <c r="H157" i="78"/>
  <c r="G157" i="78"/>
  <c r="I157" i="78" s="1"/>
  <c r="J157" i="78" s="1"/>
  <c r="F157" i="78"/>
  <c r="E157" i="78"/>
  <c r="D157" i="78"/>
  <c r="C157" i="78"/>
  <c r="B157" i="78"/>
  <c r="A157" i="78"/>
  <c r="W156" i="78"/>
  <c r="V156" i="78"/>
  <c r="H156" i="78"/>
  <c r="G156" i="78"/>
  <c r="I156" i="78" s="1"/>
  <c r="J156" i="78" s="1"/>
  <c r="F156" i="78"/>
  <c r="K156" i="78" s="1"/>
  <c r="M156" i="78" s="1"/>
  <c r="E156" i="78"/>
  <c r="D156" i="78"/>
  <c r="C156" i="78"/>
  <c r="L156" i="78" s="1"/>
  <c r="B156" i="78"/>
  <c r="A156" i="78"/>
  <c r="W155" i="78"/>
  <c r="V155" i="78"/>
  <c r="I155" i="78"/>
  <c r="J155" i="78" s="1"/>
  <c r="H155" i="78"/>
  <c r="G155" i="78"/>
  <c r="F155" i="78"/>
  <c r="K155" i="78" s="1"/>
  <c r="E155" i="78"/>
  <c r="D155" i="78"/>
  <c r="C155" i="78"/>
  <c r="M155" i="78" s="1"/>
  <c r="B155" i="78"/>
  <c r="A155" i="78"/>
  <c r="W154" i="78"/>
  <c r="V154" i="78"/>
  <c r="H154" i="78"/>
  <c r="G154" i="78"/>
  <c r="I154" i="78" s="1"/>
  <c r="J154" i="78" s="1"/>
  <c r="K154" i="78" s="1"/>
  <c r="F154" i="78"/>
  <c r="E154" i="78"/>
  <c r="D154" i="78"/>
  <c r="C154" i="78"/>
  <c r="L154" i="78" s="1"/>
  <c r="B154" i="78"/>
  <c r="A154" i="78"/>
  <c r="W153" i="78"/>
  <c r="V153" i="78"/>
  <c r="H153" i="78"/>
  <c r="G153" i="78"/>
  <c r="I153" i="78" s="1"/>
  <c r="J153" i="78" s="1"/>
  <c r="F153" i="78"/>
  <c r="E153" i="78"/>
  <c r="D153" i="78"/>
  <c r="C153" i="78"/>
  <c r="L153" i="78" s="1"/>
  <c r="B153" i="78"/>
  <c r="A153" i="78"/>
  <c r="W152" i="78"/>
  <c r="V152" i="78"/>
  <c r="L152" i="78"/>
  <c r="I152" i="78"/>
  <c r="J152" i="78" s="1"/>
  <c r="H152" i="78"/>
  <c r="G152" i="78"/>
  <c r="F152" i="78"/>
  <c r="E152" i="78"/>
  <c r="D152" i="78"/>
  <c r="C152" i="78"/>
  <c r="B152" i="78"/>
  <c r="A152" i="78"/>
  <c r="W151" i="78"/>
  <c r="V151" i="78"/>
  <c r="L151" i="78"/>
  <c r="H151" i="78"/>
  <c r="I151" i="78" s="1"/>
  <c r="J151" i="78" s="1"/>
  <c r="K151" i="78" s="1"/>
  <c r="M151" i="78" s="1"/>
  <c r="N151" i="78" s="1"/>
  <c r="O151" i="78" s="1"/>
  <c r="G151" i="78"/>
  <c r="F151" i="78"/>
  <c r="E151" i="78"/>
  <c r="D151" i="78"/>
  <c r="C151" i="78"/>
  <c r="B151" i="78"/>
  <c r="A151" i="78"/>
  <c r="W150" i="78"/>
  <c r="V150" i="78"/>
  <c r="L150" i="78"/>
  <c r="H150" i="78"/>
  <c r="G150" i="78"/>
  <c r="I150" i="78" s="1"/>
  <c r="J150" i="78" s="1"/>
  <c r="K150" i="78" s="1"/>
  <c r="M150" i="78" s="1"/>
  <c r="F150" i="78"/>
  <c r="E150" i="78"/>
  <c r="D150" i="78"/>
  <c r="C150" i="78"/>
  <c r="B150" i="78"/>
  <c r="A150" i="78"/>
  <c r="A148" i="78"/>
  <c r="W146" i="78"/>
  <c r="V146" i="78"/>
  <c r="L146" i="78"/>
  <c r="H146" i="78"/>
  <c r="G146" i="78"/>
  <c r="I146" i="78" s="1"/>
  <c r="J146" i="78" s="1"/>
  <c r="K146" i="78" s="1"/>
  <c r="M146" i="78" s="1"/>
  <c r="F146" i="78"/>
  <c r="E146" i="78"/>
  <c r="D146" i="78"/>
  <c r="C146" i="78"/>
  <c r="B146" i="78"/>
  <c r="A146" i="78"/>
  <c r="W145" i="78"/>
  <c r="V145" i="78"/>
  <c r="L145" i="78"/>
  <c r="I145" i="78"/>
  <c r="J145" i="78" s="1"/>
  <c r="K145" i="78" s="1"/>
  <c r="H145" i="78"/>
  <c r="G145" i="78"/>
  <c r="F145" i="78"/>
  <c r="E145" i="78"/>
  <c r="D145" i="78"/>
  <c r="C145" i="78"/>
  <c r="B145" i="78"/>
  <c r="A145" i="78"/>
  <c r="W144" i="78"/>
  <c r="V144" i="78"/>
  <c r="L144" i="78"/>
  <c r="R144" i="78" s="1"/>
  <c r="T144" i="78" s="1"/>
  <c r="X144" i="78" s="1"/>
  <c r="H144" i="78"/>
  <c r="I144" i="78" s="1"/>
  <c r="J144" i="78" s="1"/>
  <c r="K144" i="78" s="1"/>
  <c r="M144" i="78" s="1"/>
  <c r="G144" i="78"/>
  <c r="F144" i="78"/>
  <c r="E144" i="78"/>
  <c r="D144" i="78"/>
  <c r="C144" i="78"/>
  <c r="B144" i="78"/>
  <c r="A144" i="78"/>
  <c r="W143" i="78"/>
  <c r="V143" i="78"/>
  <c r="L143" i="78"/>
  <c r="H143" i="78"/>
  <c r="G143" i="78"/>
  <c r="I143" i="78" s="1"/>
  <c r="J143" i="78" s="1"/>
  <c r="K143" i="78" s="1"/>
  <c r="M143" i="78" s="1"/>
  <c r="F143" i="78"/>
  <c r="E143" i="78"/>
  <c r="D143" i="78"/>
  <c r="C143" i="78"/>
  <c r="B143" i="78"/>
  <c r="A143" i="78"/>
  <c r="W142" i="78"/>
  <c r="V142" i="78"/>
  <c r="H142" i="78"/>
  <c r="G142" i="78"/>
  <c r="I142" i="78" s="1"/>
  <c r="J142" i="78" s="1"/>
  <c r="F142" i="78"/>
  <c r="K142" i="78" s="1"/>
  <c r="E142" i="78"/>
  <c r="D142" i="78"/>
  <c r="C142" i="78"/>
  <c r="M142" i="78" s="1"/>
  <c r="B142" i="78"/>
  <c r="A142" i="78"/>
  <c r="W141" i="78"/>
  <c r="V141" i="78"/>
  <c r="H141" i="78"/>
  <c r="G141" i="78"/>
  <c r="I141" i="78" s="1"/>
  <c r="J141" i="78" s="1"/>
  <c r="F141" i="78"/>
  <c r="E141" i="78"/>
  <c r="D141" i="78"/>
  <c r="C141" i="78"/>
  <c r="B141" i="78"/>
  <c r="A141" i="78"/>
  <c r="W140" i="78"/>
  <c r="V140" i="78"/>
  <c r="H140" i="78"/>
  <c r="G140" i="78"/>
  <c r="I140" i="78" s="1"/>
  <c r="J140" i="78" s="1"/>
  <c r="F140" i="78"/>
  <c r="E140" i="78"/>
  <c r="D140" i="78"/>
  <c r="C140" i="78"/>
  <c r="L140" i="78" s="1"/>
  <c r="B140" i="78"/>
  <c r="A140" i="78"/>
  <c r="W139" i="78"/>
  <c r="V139" i="78"/>
  <c r="I139" i="78"/>
  <c r="J139" i="78" s="1"/>
  <c r="H139" i="78"/>
  <c r="G139" i="78"/>
  <c r="F139" i="78"/>
  <c r="K139" i="78" s="1"/>
  <c r="E139" i="78"/>
  <c r="D139" i="78"/>
  <c r="C139" i="78"/>
  <c r="B139" i="78"/>
  <c r="A139" i="78"/>
  <c r="W138" i="78"/>
  <c r="V138" i="78"/>
  <c r="H138" i="78"/>
  <c r="G138" i="78"/>
  <c r="I138" i="78" s="1"/>
  <c r="J138" i="78" s="1"/>
  <c r="K138" i="78" s="1"/>
  <c r="F138" i="78"/>
  <c r="E138" i="78"/>
  <c r="D138" i="78"/>
  <c r="C138" i="78"/>
  <c r="L138" i="78" s="1"/>
  <c r="B138" i="78"/>
  <c r="A138" i="78"/>
  <c r="W137" i="78"/>
  <c r="V137" i="78"/>
  <c r="H137" i="78"/>
  <c r="G137" i="78"/>
  <c r="I137" i="78" s="1"/>
  <c r="J137" i="78" s="1"/>
  <c r="F137" i="78"/>
  <c r="K137" i="78" s="1"/>
  <c r="M137" i="78" s="1"/>
  <c r="N137" i="78" s="1"/>
  <c r="O137" i="78" s="1"/>
  <c r="E137" i="78"/>
  <c r="D137" i="78"/>
  <c r="C137" i="78"/>
  <c r="L137" i="78" s="1"/>
  <c r="B137" i="78"/>
  <c r="A137" i="78"/>
  <c r="W136" i="78"/>
  <c r="V136" i="78"/>
  <c r="L136" i="78"/>
  <c r="I136" i="78"/>
  <c r="J136" i="78" s="1"/>
  <c r="H136" i="78"/>
  <c r="G136" i="78"/>
  <c r="F136" i="78"/>
  <c r="K136" i="78" s="1"/>
  <c r="M136" i="78" s="1"/>
  <c r="N136" i="78" s="1"/>
  <c r="O136" i="78" s="1"/>
  <c r="E136" i="78"/>
  <c r="D136" i="78"/>
  <c r="C136" i="78"/>
  <c r="B136" i="78"/>
  <c r="A136" i="78"/>
  <c r="W135" i="78"/>
  <c r="V135" i="78"/>
  <c r="L135" i="78"/>
  <c r="H135" i="78"/>
  <c r="G135" i="78"/>
  <c r="I135" i="78" s="1"/>
  <c r="J135" i="78" s="1"/>
  <c r="K135" i="78" s="1"/>
  <c r="M135" i="78" s="1"/>
  <c r="N135" i="78" s="1"/>
  <c r="O135" i="78" s="1"/>
  <c r="F135" i="78"/>
  <c r="E135" i="78"/>
  <c r="D135" i="78"/>
  <c r="C135" i="78"/>
  <c r="B135" i="78"/>
  <c r="A135" i="78"/>
  <c r="W134" i="78"/>
  <c r="V134" i="78"/>
  <c r="L134" i="78"/>
  <c r="H134" i="78"/>
  <c r="G134" i="78"/>
  <c r="I134" i="78" s="1"/>
  <c r="J134" i="78" s="1"/>
  <c r="K134" i="78" s="1"/>
  <c r="M134" i="78" s="1"/>
  <c r="N134" i="78" s="1"/>
  <c r="O134" i="78" s="1"/>
  <c r="F134" i="78"/>
  <c r="E134" i="78"/>
  <c r="D134" i="78"/>
  <c r="C134" i="78"/>
  <c r="B134" i="78"/>
  <c r="A134" i="78"/>
  <c r="W133" i="78"/>
  <c r="V133" i="78"/>
  <c r="L133" i="78"/>
  <c r="I133" i="78"/>
  <c r="J133" i="78" s="1"/>
  <c r="K133" i="78" s="1"/>
  <c r="H133" i="78"/>
  <c r="G133" i="78"/>
  <c r="F133" i="78"/>
  <c r="E133" i="78"/>
  <c r="D133" i="78"/>
  <c r="C133" i="78"/>
  <c r="B133" i="78"/>
  <c r="A133" i="78"/>
  <c r="W132" i="78"/>
  <c r="V132" i="78"/>
  <c r="L132" i="78"/>
  <c r="H132" i="78"/>
  <c r="I132" i="78" s="1"/>
  <c r="J132" i="78" s="1"/>
  <c r="K132" i="78" s="1"/>
  <c r="M132" i="78" s="1"/>
  <c r="G132" i="78"/>
  <c r="F132" i="78"/>
  <c r="E132" i="78"/>
  <c r="D132" i="78"/>
  <c r="C132" i="78"/>
  <c r="B132" i="78"/>
  <c r="A132" i="78"/>
  <c r="W131" i="78"/>
  <c r="V131" i="78"/>
  <c r="L131" i="78"/>
  <c r="H131" i="78"/>
  <c r="G131" i="78"/>
  <c r="I131" i="78" s="1"/>
  <c r="J131" i="78" s="1"/>
  <c r="K131" i="78" s="1"/>
  <c r="M131" i="78" s="1"/>
  <c r="F131" i="78"/>
  <c r="E131" i="78"/>
  <c r="D131" i="78"/>
  <c r="C131" i="78"/>
  <c r="B131" i="78"/>
  <c r="A131" i="78"/>
  <c r="A129" i="78"/>
  <c r="W127" i="78"/>
  <c r="V127" i="78"/>
  <c r="L127" i="78"/>
  <c r="H127" i="78"/>
  <c r="G127" i="78"/>
  <c r="I127" i="78" s="1"/>
  <c r="J127" i="78" s="1"/>
  <c r="K127" i="78" s="1"/>
  <c r="M127" i="78" s="1"/>
  <c r="N127" i="78" s="1"/>
  <c r="O127" i="78" s="1"/>
  <c r="F127" i="78"/>
  <c r="E127" i="78"/>
  <c r="D127" i="78"/>
  <c r="C127" i="78"/>
  <c r="B127" i="78"/>
  <c r="A127" i="78"/>
  <c r="W126" i="78"/>
  <c r="V126" i="78"/>
  <c r="L126" i="78"/>
  <c r="H126" i="78"/>
  <c r="G126" i="78"/>
  <c r="I126" i="78" s="1"/>
  <c r="J126" i="78" s="1"/>
  <c r="K126" i="78" s="1"/>
  <c r="M126" i="78" s="1"/>
  <c r="N126" i="78" s="1"/>
  <c r="O126" i="78" s="1"/>
  <c r="F126" i="78"/>
  <c r="E126" i="78"/>
  <c r="D126" i="78"/>
  <c r="C126" i="78"/>
  <c r="B126" i="78"/>
  <c r="A126" i="78"/>
  <c r="W125" i="78"/>
  <c r="V125" i="78"/>
  <c r="L125" i="78"/>
  <c r="I125" i="78"/>
  <c r="J125" i="78" s="1"/>
  <c r="K125" i="78" s="1"/>
  <c r="M125" i="78" s="1"/>
  <c r="N125" i="78" s="1"/>
  <c r="O125" i="78" s="1"/>
  <c r="H125" i="78"/>
  <c r="G125" i="78"/>
  <c r="F125" i="78"/>
  <c r="E125" i="78"/>
  <c r="D125" i="78"/>
  <c r="C125" i="78"/>
  <c r="B125" i="78"/>
  <c r="A125" i="78"/>
  <c r="W124" i="78"/>
  <c r="V124" i="78"/>
  <c r="L124" i="78"/>
  <c r="I124" i="78"/>
  <c r="J124" i="78" s="1"/>
  <c r="K124" i="78" s="1"/>
  <c r="M124" i="78" s="1"/>
  <c r="N124" i="78" s="1"/>
  <c r="O124" i="78" s="1"/>
  <c r="H124" i="78"/>
  <c r="G124" i="78"/>
  <c r="F124" i="78"/>
  <c r="E124" i="78"/>
  <c r="D124" i="78"/>
  <c r="C124" i="78"/>
  <c r="B124" i="78"/>
  <c r="A124" i="78"/>
  <c r="W123" i="78"/>
  <c r="V123" i="78"/>
  <c r="L123" i="78"/>
  <c r="I123" i="78"/>
  <c r="J123" i="78" s="1"/>
  <c r="K123" i="78" s="1"/>
  <c r="M123" i="78" s="1"/>
  <c r="N123" i="78" s="1"/>
  <c r="O123" i="78" s="1"/>
  <c r="H123" i="78"/>
  <c r="G123" i="78"/>
  <c r="F123" i="78"/>
  <c r="E123" i="78"/>
  <c r="D123" i="78"/>
  <c r="C123" i="78"/>
  <c r="B123" i="78"/>
  <c r="A123" i="78"/>
  <c r="W122" i="78"/>
  <c r="V122" i="78"/>
  <c r="L122" i="78"/>
  <c r="H122" i="78"/>
  <c r="G122" i="78"/>
  <c r="I122" i="78" s="1"/>
  <c r="J122" i="78" s="1"/>
  <c r="K122" i="78" s="1"/>
  <c r="M122" i="78" s="1"/>
  <c r="N122" i="78" s="1"/>
  <c r="O122" i="78" s="1"/>
  <c r="F122" i="78"/>
  <c r="E122" i="78"/>
  <c r="D122" i="78"/>
  <c r="C122" i="78"/>
  <c r="B122" i="78"/>
  <c r="A122" i="78"/>
  <c r="W121" i="78"/>
  <c r="V121" i="78"/>
  <c r="L121" i="78"/>
  <c r="H121" i="78"/>
  <c r="G121" i="78"/>
  <c r="I121" i="78" s="1"/>
  <c r="J121" i="78" s="1"/>
  <c r="F121" i="78"/>
  <c r="K121" i="78" s="1"/>
  <c r="M121" i="78" s="1"/>
  <c r="N121" i="78" s="1"/>
  <c r="O121" i="78" s="1"/>
  <c r="E121" i="78"/>
  <c r="D121" i="78"/>
  <c r="C121" i="78"/>
  <c r="B121" i="78"/>
  <c r="A121" i="78"/>
  <c r="W120" i="78"/>
  <c r="V120" i="78"/>
  <c r="L120" i="78"/>
  <c r="H120" i="78"/>
  <c r="G120" i="78"/>
  <c r="I120" i="78" s="1"/>
  <c r="J120" i="78" s="1"/>
  <c r="F120" i="78"/>
  <c r="E120" i="78"/>
  <c r="D120" i="78"/>
  <c r="C120" i="78"/>
  <c r="B120" i="78"/>
  <c r="A120" i="78"/>
  <c r="W119" i="78"/>
  <c r="V119" i="78"/>
  <c r="L119" i="78"/>
  <c r="H119" i="78"/>
  <c r="G119" i="78"/>
  <c r="I119" i="78" s="1"/>
  <c r="J119" i="78" s="1"/>
  <c r="F119" i="78"/>
  <c r="K119" i="78" s="1"/>
  <c r="E119" i="78"/>
  <c r="D119" i="78"/>
  <c r="C119" i="78"/>
  <c r="B119" i="78"/>
  <c r="A119" i="78"/>
  <c r="W118" i="78"/>
  <c r="V118" i="78"/>
  <c r="H118" i="78"/>
  <c r="G118" i="78"/>
  <c r="I118" i="78" s="1"/>
  <c r="J118" i="78" s="1"/>
  <c r="F118" i="78"/>
  <c r="E118" i="78"/>
  <c r="D118" i="78"/>
  <c r="C118" i="78"/>
  <c r="B118" i="78"/>
  <c r="A118" i="78"/>
  <c r="W117" i="78"/>
  <c r="V117" i="78"/>
  <c r="I117" i="78"/>
  <c r="J117" i="78" s="1"/>
  <c r="H117" i="78"/>
  <c r="G117" i="78"/>
  <c r="F117" i="78"/>
  <c r="E117" i="78"/>
  <c r="D117" i="78"/>
  <c r="C117" i="78"/>
  <c r="B117" i="78"/>
  <c r="A117" i="78"/>
  <c r="W116" i="78"/>
  <c r="V116" i="78"/>
  <c r="H116" i="78"/>
  <c r="G116" i="78"/>
  <c r="I116" i="78" s="1"/>
  <c r="J116" i="78" s="1"/>
  <c r="F116" i="78"/>
  <c r="E116" i="78"/>
  <c r="D116" i="78"/>
  <c r="C116" i="78"/>
  <c r="L116" i="78" s="1"/>
  <c r="B116" i="78"/>
  <c r="A116" i="78"/>
  <c r="W115" i="78"/>
  <c r="V115" i="78"/>
  <c r="L115" i="78"/>
  <c r="H115" i="78"/>
  <c r="G115" i="78"/>
  <c r="I115" i="78" s="1"/>
  <c r="J115" i="78" s="1"/>
  <c r="F115" i="78"/>
  <c r="E115" i="78"/>
  <c r="D115" i="78"/>
  <c r="C115" i="78"/>
  <c r="B115" i="78"/>
  <c r="A115" i="78"/>
  <c r="W114" i="78"/>
  <c r="V114" i="78"/>
  <c r="L114" i="78"/>
  <c r="H114" i="78"/>
  <c r="G114" i="78"/>
  <c r="I114" i="78" s="1"/>
  <c r="J114" i="78" s="1"/>
  <c r="K114" i="78" s="1"/>
  <c r="M114" i="78" s="1"/>
  <c r="N114" i="78" s="1"/>
  <c r="O114" i="78" s="1"/>
  <c r="F114" i="78"/>
  <c r="E114" i="78"/>
  <c r="D114" i="78"/>
  <c r="C114" i="78"/>
  <c r="B114" i="78"/>
  <c r="A114" i="78"/>
  <c r="W113" i="78"/>
  <c r="V113" i="78"/>
  <c r="L113" i="78"/>
  <c r="J113" i="78"/>
  <c r="K113" i="78" s="1"/>
  <c r="M113" i="78" s="1"/>
  <c r="N113" i="78" s="1"/>
  <c r="O113" i="78" s="1"/>
  <c r="I113" i="78"/>
  <c r="H113" i="78"/>
  <c r="G113" i="78"/>
  <c r="F113" i="78"/>
  <c r="E113" i="78"/>
  <c r="D113" i="78"/>
  <c r="C113" i="78"/>
  <c r="B113" i="78"/>
  <c r="A113" i="78"/>
  <c r="W112" i="78"/>
  <c r="V112" i="78"/>
  <c r="L112" i="78"/>
  <c r="J112" i="78"/>
  <c r="K112" i="78" s="1"/>
  <c r="M112" i="78" s="1"/>
  <c r="N112" i="78" s="1"/>
  <c r="O112" i="78" s="1"/>
  <c r="I112" i="78"/>
  <c r="H112" i="78"/>
  <c r="G112" i="78"/>
  <c r="F112" i="78"/>
  <c r="E112" i="78"/>
  <c r="D112" i="78"/>
  <c r="C112" i="78"/>
  <c r="B112" i="78"/>
  <c r="A112" i="78"/>
  <c r="A110" i="78"/>
  <c r="W108" i="78"/>
  <c r="V108" i="78"/>
  <c r="L108" i="78"/>
  <c r="J108" i="78"/>
  <c r="K108" i="78" s="1"/>
  <c r="M108" i="78" s="1"/>
  <c r="N108" i="78" s="1"/>
  <c r="O108" i="78" s="1"/>
  <c r="I108" i="78"/>
  <c r="H108" i="78"/>
  <c r="G108" i="78"/>
  <c r="F108" i="78"/>
  <c r="E108" i="78"/>
  <c r="D108" i="78"/>
  <c r="C108" i="78"/>
  <c r="B108" i="78"/>
  <c r="A108" i="78"/>
  <c r="W107" i="78"/>
  <c r="V107" i="78"/>
  <c r="L107" i="78"/>
  <c r="I107" i="78"/>
  <c r="J107" i="78" s="1"/>
  <c r="K107" i="78" s="1"/>
  <c r="H107" i="78"/>
  <c r="G107" i="78"/>
  <c r="F107" i="78"/>
  <c r="E107" i="78"/>
  <c r="D107" i="78"/>
  <c r="C107" i="78"/>
  <c r="B107" i="78"/>
  <c r="A107" i="78"/>
  <c r="W106" i="78"/>
  <c r="V106" i="78"/>
  <c r="L106" i="78"/>
  <c r="H106" i="78"/>
  <c r="G106" i="78"/>
  <c r="I106" i="78" s="1"/>
  <c r="J106" i="78" s="1"/>
  <c r="K106" i="78" s="1"/>
  <c r="F106" i="78"/>
  <c r="E106" i="78"/>
  <c r="D106" i="78"/>
  <c r="C106" i="78"/>
  <c r="M106" i="78" s="1"/>
  <c r="N106" i="78" s="1"/>
  <c r="O106" i="78" s="1"/>
  <c r="B106" i="78"/>
  <c r="A106" i="78"/>
  <c r="W105" i="78"/>
  <c r="V105" i="78"/>
  <c r="H105" i="78"/>
  <c r="G105" i="78"/>
  <c r="I105" i="78" s="1"/>
  <c r="J105" i="78" s="1"/>
  <c r="F105" i="78"/>
  <c r="E105" i="78"/>
  <c r="D105" i="78"/>
  <c r="C105" i="78"/>
  <c r="L105" i="78" s="1"/>
  <c r="B105" i="78"/>
  <c r="A105" i="78"/>
  <c r="W104" i="78"/>
  <c r="V104" i="78"/>
  <c r="L104" i="78"/>
  <c r="H104" i="78"/>
  <c r="G104" i="78"/>
  <c r="I104" i="78" s="1"/>
  <c r="J104" i="78" s="1"/>
  <c r="F104" i="78"/>
  <c r="E104" i="78"/>
  <c r="D104" i="78"/>
  <c r="C104" i="78"/>
  <c r="B104" i="78"/>
  <c r="A104" i="78"/>
  <c r="W103" i="78"/>
  <c r="V103" i="78"/>
  <c r="H103" i="78"/>
  <c r="G103" i="78"/>
  <c r="I103" i="78" s="1"/>
  <c r="J103" i="78" s="1"/>
  <c r="F103" i="78"/>
  <c r="K103" i="78" s="1"/>
  <c r="E103" i="78"/>
  <c r="D103" i="78"/>
  <c r="C103" i="78"/>
  <c r="B103" i="78"/>
  <c r="A103" i="78"/>
  <c r="W102" i="78"/>
  <c r="V102" i="78"/>
  <c r="H102" i="78"/>
  <c r="G102" i="78"/>
  <c r="I102" i="78" s="1"/>
  <c r="J102" i="78" s="1"/>
  <c r="F102" i="78"/>
  <c r="K102" i="78" s="1"/>
  <c r="E102" i="78"/>
  <c r="D102" i="78"/>
  <c r="C102" i="78"/>
  <c r="B102" i="78"/>
  <c r="A102" i="78"/>
  <c r="W101" i="78"/>
  <c r="V101" i="78"/>
  <c r="I101" i="78"/>
  <c r="J101" i="78" s="1"/>
  <c r="H101" i="78"/>
  <c r="G101" i="78"/>
  <c r="F101" i="78"/>
  <c r="E101" i="78"/>
  <c r="D101" i="78"/>
  <c r="C101" i="78"/>
  <c r="B101" i="78"/>
  <c r="A101" i="78"/>
  <c r="W100" i="78"/>
  <c r="V100" i="78"/>
  <c r="H100" i="78"/>
  <c r="G100" i="78"/>
  <c r="I100" i="78" s="1"/>
  <c r="J100" i="78" s="1"/>
  <c r="K100" i="78" s="1"/>
  <c r="M100" i="78" s="1"/>
  <c r="N100" i="78" s="1"/>
  <c r="O100" i="78" s="1"/>
  <c r="F100" i="78"/>
  <c r="E100" i="78"/>
  <c r="D100" i="78"/>
  <c r="C100" i="78"/>
  <c r="L100" i="78" s="1"/>
  <c r="B100" i="78"/>
  <c r="A100" i="78"/>
  <c r="W99" i="78"/>
  <c r="V99" i="78"/>
  <c r="L99" i="78"/>
  <c r="H99" i="78"/>
  <c r="G99" i="78"/>
  <c r="I99" i="78" s="1"/>
  <c r="J99" i="78" s="1"/>
  <c r="F99" i="78"/>
  <c r="E99" i="78"/>
  <c r="D99" i="78"/>
  <c r="C99" i="78"/>
  <c r="B99" i="78"/>
  <c r="A99" i="78"/>
  <c r="W98" i="78"/>
  <c r="V98" i="78"/>
  <c r="L98" i="78"/>
  <c r="I98" i="78"/>
  <c r="J98" i="78" s="1"/>
  <c r="K98" i="78" s="1"/>
  <c r="M98" i="78" s="1"/>
  <c r="H98" i="78"/>
  <c r="G98" i="78"/>
  <c r="F98" i="78"/>
  <c r="E98" i="78"/>
  <c r="D98" i="78"/>
  <c r="C98" i="78"/>
  <c r="B98" i="78"/>
  <c r="A98" i="78"/>
  <c r="W97" i="78"/>
  <c r="V97" i="78"/>
  <c r="L97" i="78"/>
  <c r="S97" i="78" s="1"/>
  <c r="U97" i="78" s="1"/>
  <c r="Y97" i="78" s="1"/>
  <c r="H97" i="78"/>
  <c r="G97" i="78"/>
  <c r="I97" i="78" s="1"/>
  <c r="J97" i="78" s="1"/>
  <c r="K97" i="78" s="1"/>
  <c r="M97" i="78" s="1"/>
  <c r="N97" i="78" s="1"/>
  <c r="O97" i="78" s="1"/>
  <c r="F97" i="78"/>
  <c r="E97" i="78"/>
  <c r="D97" i="78"/>
  <c r="C97" i="78"/>
  <c r="B97" i="78"/>
  <c r="A97" i="78"/>
  <c r="W96" i="78"/>
  <c r="V96" i="78"/>
  <c r="L96" i="78"/>
  <c r="J96" i="78"/>
  <c r="K96" i="78" s="1"/>
  <c r="M96" i="78" s="1"/>
  <c r="N96" i="78" s="1"/>
  <c r="O96" i="78" s="1"/>
  <c r="I96" i="78"/>
  <c r="H96" i="78"/>
  <c r="G96" i="78"/>
  <c r="F96" i="78"/>
  <c r="E96" i="78"/>
  <c r="D96" i="78"/>
  <c r="C96" i="78"/>
  <c r="B96" i="78"/>
  <c r="A96" i="78"/>
  <c r="W95" i="78"/>
  <c r="V95" i="78"/>
  <c r="I95" i="78"/>
  <c r="J95" i="78" s="1"/>
  <c r="K95" i="78" s="1"/>
  <c r="H95" i="78"/>
  <c r="G95" i="78"/>
  <c r="F95" i="78"/>
  <c r="E95" i="78"/>
  <c r="D95" i="78"/>
  <c r="C95" i="78"/>
  <c r="B95" i="78"/>
  <c r="A95" i="78"/>
  <c r="W94" i="78"/>
  <c r="V94" i="78"/>
  <c r="H94" i="78"/>
  <c r="G94" i="78"/>
  <c r="I94" i="78" s="1"/>
  <c r="J94" i="78" s="1"/>
  <c r="K94" i="78" s="1"/>
  <c r="F94" i="78"/>
  <c r="E94" i="78"/>
  <c r="D94" i="78"/>
  <c r="C94" i="78"/>
  <c r="B94" i="78"/>
  <c r="A94" i="78"/>
  <c r="W93" i="78"/>
  <c r="V93" i="78"/>
  <c r="H93" i="78"/>
  <c r="G93" i="78"/>
  <c r="I93" i="78" s="1"/>
  <c r="J93" i="78" s="1"/>
  <c r="F93" i="78"/>
  <c r="E93" i="78"/>
  <c r="D93" i="78"/>
  <c r="C93" i="78"/>
  <c r="L93" i="78" s="1"/>
  <c r="B93" i="78"/>
  <c r="A93" i="78"/>
  <c r="A91" i="78"/>
  <c r="W89" i="78"/>
  <c r="V89" i="78"/>
  <c r="I89" i="78"/>
  <c r="J89" i="78" s="1"/>
  <c r="H89" i="78"/>
  <c r="G89" i="78"/>
  <c r="F89" i="78"/>
  <c r="E89" i="78"/>
  <c r="D89" i="78"/>
  <c r="C89" i="78"/>
  <c r="L89" i="78" s="1"/>
  <c r="B89" i="78"/>
  <c r="A89" i="78"/>
  <c r="W88" i="78"/>
  <c r="V88" i="78"/>
  <c r="L88" i="78"/>
  <c r="H88" i="78"/>
  <c r="G88" i="78"/>
  <c r="I88" i="78" s="1"/>
  <c r="J88" i="78" s="1"/>
  <c r="K88" i="78" s="1"/>
  <c r="M88" i="78" s="1"/>
  <c r="N88" i="78" s="1"/>
  <c r="O88" i="78" s="1"/>
  <c r="F88" i="78"/>
  <c r="E88" i="78"/>
  <c r="D88" i="78"/>
  <c r="C88" i="78"/>
  <c r="B88" i="78"/>
  <c r="A88" i="78"/>
  <c r="W87" i="78"/>
  <c r="V87" i="78"/>
  <c r="L87" i="78"/>
  <c r="H87" i="78"/>
  <c r="G87" i="78"/>
  <c r="I87" i="78" s="1"/>
  <c r="J87" i="78" s="1"/>
  <c r="K87" i="78" s="1"/>
  <c r="M87" i="78" s="1"/>
  <c r="F87" i="78"/>
  <c r="E87" i="78"/>
  <c r="D87" i="78"/>
  <c r="C87" i="78"/>
  <c r="B87" i="78"/>
  <c r="A87" i="78"/>
  <c r="W86" i="78"/>
  <c r="V86" i="78"/>
  <c r="L86" i="78"/>
  <c r="I86" i="78"/>
  <c r="J86" i="78" s="1"/>
  <c r="H86" i="78"/>
  <c r="G86" i="78"/>
  <c r="F86" i="78"/>
  <c r="E86" i="78"/>
  <c r="D86" i="78"/>
  <c r="C86" i="78"/>
  <c r="B86" i="78"/>
  <c r="A86" i="78"/>
  <c r="W85" i="78"/>
  <c r="V85" i="78"/>
  <c r="L85" i="78"/>
  <c r="I85" i="78"/>
  <c r="J85" i="78" s="1"/>
  <c r="K85" i="78" s="1"/>
  <c r="M85" i="78" s="1"/>
  <c r="H85" i="78"/>
  <c r="G85" i="78"/>
  <c r="F85" i="78"/>
  <c r="E85" i="78"/>
  <c r="D85" i="78"/>
  <c r="C85" i="78"/>
  <c r="B85" i="78"/>
  <c r="A85" i="78"/>
  <c r="W84" i="78"/>
  <c r="V84" i="78"/>
  <c r="H84" i="78"/>
  <c r="G84" i="78"/>
  <c r="I84" i="78" s="1"/>
  <c r="J84" i="78" s="1"/>
  <c r="K84" i="78" s="1"/>
  <c r="M84" i="78" s="1"/>
  <c r="F84" i="78"/>
  <c r="E84" i="78"/>
  <c r="D84" i="78"/>
  <c r="C84" i="78"/>
  <c r="L84" i="78" s="1"/>
  <c r="B84" i="78"/>
  <c r="A84" i="78"/>
  <c r="W83" i="78"/>
  <c r="V83" i="78"/>
  <c r="L83" i="78"/>
  <c r="H83" i="78"/>
  <c r="G83" i="78"/>
  <c r="I83" i="78" s="1"/>
  <c r="J83" i="78" s="1"/>
  <c r="F83" i="78"/>
  <c r="K83" i="78" s="1"/>
  <c r="E83" i="78"/>
  <c r="D83" i="78"/>
  <c r="C83" i="78"/>
  <c r="B83" i="78"/>
  <c r="A83" i="78"/>
  <c r="W82" i="78"/>
  <c r="V82" i="78"/>
  <c r="L82" i="78"/>
  <c r="H82" i="78"/>
  <c r="G82" i="78"/>
  <c r="I82" i="78" s="1"/>
  <c r="J82" i="78" s="1"/>
  <c r="F82" i="78"/>
  <c r="E82" i="78"/>
  <c r="D82" i="78"/>
  <c r="C82" i="78"/>
  <c r="B82" i="78"/>
  <c r="A82" i="78"/>
  <c r="W81" i="78"/>
  <c r="V81" i="78"/>
  <c r="L81" i="78"/>
  <c r="H81" i="78"/>
  <c r="G81" i="78"/>
  <c r="I81" i="78" s="1"/>
  <c r="J81" i="78" s="1"/>
  <c r="F81" i="78"/>
  <c r="E81" i="78"/>
  <c r="D81" i="78"/>
  <c r="C81" i="78"/>
  <c r="B81" i="78"/>
  <c r="A81" i="78"/>
  <c r="W80" i="78"/>
  <c r="V80" i="78"/>
  <c r="L80" i="78"/>
  <c r="I80" i="78"/>
  <c r="J80" i="78" s="1"/>
  <c r="H80" i="78"/>
  <c r="G80" i="78"/>
  <c r="F80" i="78"/>
  <c r="E80" i="78"/>
  <c r="D80" i="78"/>
  <c r="C80" i="78"/>
  <c r="B80" i="78"/>
  <c r="A80" i="78"/>
  <c r="W79" i="78"/>
  <c r="V79" i="78"/>
  <c r="H79" i="78"/>
  <c r="G79" i="78"/>
  <c r="I79" i="78" s="1"/>
  <c r="J79" i="78" s="1"/>
  <c r="K79" i="78" s="1"/>
  <c r="F79" i="78"/>
  <c r="E79" i="78"/>
  <c r="D79" i="78"/>
  <c r="C79" i="78"/>
  <c r="B79" i="78"/>
  <c r="A79" i="78"/>
  <c r="W78" i="78"/>
  <c r="V78" i="78"/>
  <c r="H78" i="78"/>
  <c r="G78" i="78"/>
  <c r="I78" i="78" s="1"/>
  <c r="J78" i="78" s="1"/>
  <c r="F78" i="78"/>
  <c r="E78" i="78"/>
  <c r="D78" i="78"/>
  <c r="C78" i="78"/>
  <c r="L78" i="78" s="1"/>
  <c r="B78" i="78"/>
  <c r="A78" i="78"/>
  <c r="W77" i="78"/>
  <c r="V77" i="78"/>
  <c r="I77" i="78"/>
  <c r="J77" i="78" s="1"/>
  <c r="H77" i="78"/>
  <c r="G77" i="78"/>
  <c r="F77" i="78"/>
  <c r="E77" i="78"/>
  <c r="D77" i="78"/>
  <c r="C77" i="78"/>
  <c r="L77" i="78" s="1"/>
  <c r="B77" i="78"/>
  <c r="A77" i="78"/>
  <c r="W76" i="78"/>
  <c r="V76" i="78"/>
  <c r="L76" i="78"/>
  <c r="H76" i="78"/>
  <c r="G76" i="78"/>
  <c r="I76" i="78" s="1"/>
  <c r="J76" i="78" s="1"/>
  <c r="K76" i="78" s="1"/>
  <c r="M76" i="78" s="1"/>
  <c r="N76" i="78" s="1"/>
  <c r="O76" i="78" s="1"/>
  <c r="F76" i="78"/>
  <c r="E76" i="78"/>
  <c r="D76" i="78"/>
  <c r="C76" i="78"/>
  <c r="B76" i="78"/>
  <c r="A76" i="78"/>
  <c r="W75" i="78"/>
  <c r="V75" i="78"/>
  <c r="L75" i="78"/>
  <c r="H75" i="78"/>
  <c r="G75" i="78"/>
  <c r="I75" i="78" s="1"/>
  <c r="J75" i="78" s="1"/>
  <c r="K75" i="78" s="1"/>
  <c r="M75" i="78" s="1"/>
  <c r="F75" i="78"/>
  <c r="E75" i="78"/>
  <c r="D75" i="78"/>
  <c r="C75" i="78"/>
  <c r="B75" i="78"/>
  <c r="A75" i="78"/>
  <c r="W74" i="78"/>
  <c r="V74" i="78"/>
  <c r="L74" i="78"/>
  <c r="I74" i="78"/>
  <c r="J74" i="78" s="1"/>
  <c r="H74" i="78"/>
  <c r="G74" i="78"/>
  <c r="F74" i="78"/>
  <c r="E74" i="78"/>
  <c r="D74" i="78"/>
  <c r="C74" i="78"/>
  <c r="B74" i="78"/>
  <c r="A74" i="78"/>
  <c r="A72" i="78"/>
  <c r="W70" i="78"/>
  <c r="V70" i="78"/>
  <c r="L70" i="78"/>
  <c r="J70" i="78"/>
  <c r="I70" i="78"/>
  <c r="H70" i="78"/>
  <c r="G70" i="78"/>
  <c r="F70" i="78"/>
  <c r="E70" i="78"/>
  <c r="D70" i="78"/>
  <c r="C70" i="78"/>
  <c r="B70" i="78"/>
  <c r="A70" i="78"/>
  <c r="W69" i="78"/>
  <c r="V69" i="78"/>
  <c r="L69" i="78"/>
  <c r="I69" i="78"/>
  <c r="J69" i="78" s="1"/>
  <c r="K69" i="78" s="1"/>
  <c r="M69" i="78" s="1"/>
  <c r="H69" i="78"/>
  <c r="G69" i="78"/>
  <c r="F69" i="78"/>
  <c r="E69" i="78"/>
  <c r="D69" i="78"/>
  <c r="C69" i="78"/>
  <c r="B69" i="78"/>
  <c r="A69" i="78"/>
  <c r="W68" i="78"/>
  <c r="V68" i="78"/>
  <c r="H68" i="78"/>
  <c r="G68" i="78"/>
  <c r="I68" i="78" s="1"/>
  <c r="J68" i="78" s="1"/>
  <c r="K68" i="78" s="1"/>
  <c r="M68" i="78" s="1"/>
  <c r="N68" i="78" s="1"/>
  <c r="O68" i="78" s="1"/>
  <c r="F68" i="78"/>
  <c r="E68" i="78"/>
  <c r="D68" i="78"/>
  <c r="C68" i="78"/>
  <c r="L68" i="78" s="1"/>
  <c r="B68" i="78"/>
  <c r="A68" i="78"/>
  <c r="W67" i="78"/>
  <c r="V67" i="78"/>
  <c r="H67" i="78"/>
  <c r="G67" i="78"/>
  <c r="I67" i="78" s="1"/>
  <c r="J67" i="78" s="1"/>
  <c r="F67" i="78"/>
  <c r="E67" i="78"/>
  <c r="D67" i="78"/>
  <c r="C67" i="78"/>
  <c r="B67" i="78"/>
  <c r="A67" i="78"/>
  <c r="W66" i="78"/>
  <c r="V66" i="78"/>
  <c r="L66" i="78"/>
  <c r="H66" i="78"/>
  <c r="G66" i="78"/>
  <c r="I66" i="78" s="1"/>
  <c r="J66" i="78" s="1"/>
  <c r="F66" i="78"/>
  <c r="K66" i="78" s="1"/>
  <c r="M66" i="78" s="1"/>
  <c r="E66" i="78"/>
  <c r="D66" i="78"/>
  <c r="C66" i="78"/>
  <c r="B66" i="78"/>
  <c r="A66" i="78"/>
  <c r="W65" i="78"/>
  <c r="V65" i="78"/>
  <c r="L65" i="78"/>
  <c r="H65" i="78"/>
  <c r="G65" i="78"/>
  <c r="I65" i="78" s="1"/>
  <c r="J65" i="78" s="1"/>
  <c r="F65" i="78"/>
  <c r="K65" i="78" s="1"/>
  <c r="M65" i="78" s="1"/>
  <c r="E65" i="78"/>
  <c r="D65" i="78"/>
  <c r="C65" i="78"/>
  <c r="B65" i="78"/>
  <c r="A65" i="78"/>
  <c r="W64" i="78"/>
  <c r="V64" i="78"/>
  <c r="L64" i="78"/>
  <c r="I64" i="78"/>
  <c r="J64" i="78" s="1"/>
  <c r="H64" i="78"/>
  <c r="G64" i="78"/>
  <c r="F64" i="78"/>
  <c r="K64" i="78" s="1"/>
  <c r="E64" i="78"/>
  <c r="D64" i="78"/>
  <c r="C64" i="78"/>
  <c r="M64" i="78" s="1"/>
  <c r="B64" i="78"/>
  <c r="A64" i="78"/>
  <c r="W63" i="78"/>
  <c r="V63" i="78"/>
  <c r="H63" i="78"/>
  <c r="G63" i="78"/>
  <c r="I63" i="78" s="1"/>
  <c r="J63" i="78" s="1"/>
  <c r="K63" i="78" s="1"/>
  <c r="F63" i="78"/>
  <c r="E63" i="78"/>
  <c r="D63" i="78"/>
  <c r="C63" i="78"/>
  <c r="M63" i="78" s="1"/>
  <c r="B63" i="78"/>
  <c r="A63" i="78"/>
  <c r="W62" i="78"/>
  <c r="V62" i="78"/>
  <c r="H62" i="78"/>
  <c r="G62" i="78"/>
  <c r="I62" i="78" s="1"/>
  <c r="J62" i="78" s="1"/>
  <c r="F62" i="78"/>
  <c r="E62" i="78"/>
  <c r="D62" i="78"/>
  <c r="C62" i="78"/>
  <c r="L62" i="78" s="1"/>
  <c r="B62" i="78"/>
  <c r="A62" i="78"/>
  <c r="W61" i="78"/>
  <c r="V61" i="78"/>
  <c r="I61" i="78"/>
  <c r="J61" i="78" s="1"/>
  <c r="H61" i="78"/>
  <c r="G61" i="78"/>
  <c r="F61" i="78"/>
  <c r="E61" i="78"/>
  <c r="D61" i="78"/>
  <c r="C61" i="78"/>
  <c r="L61" i="78" s="1"/>
  <c r="B61" i="78"/>
  <c r="A61" i="78"/>
  <c r="W60" i="78"/>
  <c r="V60" i="78"/>
  <c r="L60" i="78"/>
  <c r="S60" i="78" s="1"/>
  <c r="U60" i="78" s="1"/>
  <c r="Y60" i="78" s="1"/>
  <c r="H60" i="78"/>
  <c r="G60" i="78"/>
  <c r="I60" i="78" s="1"/>
  <c r="J60" i="78" s="1"/>
  <c r="K60" i="78" s="1"/>
  <c r="M60" i="78" s="1"/>
  <c r="F60" i="78"/>
  <c r="E60" i="78"/>
  <c r="D60" i="78"/>
  <c r="C60" i="78"/>
  <c r="B60" i="78"/>
  <c r="A60" i="78"/>
  <c r="W59" i="78"/>
  <c r="V59" i="78"/>
  <c r="L59" i="78"/>
  <c r="S59" i="78" s="1"/>
  <c r="U59" i="78" s="1"/>
  <c r="Y59" i="78" s="1"/>
  <c r="H59" i="78"/>
  <c r="G59" i="78"/>
  <c r="I59" i="78" s="1"/>
  <c r="J59" i="78" s="1"/>
  <c r="K59" i="78" s="1"/>
  <c r="M59" i="78" s="1"/>
  <c r="F59" i="78"/>
  <c r="E59" i="78"/>
  <c r="D59" i="78"/>
  <c r="C59" i="78"/>
  <c r="B59" i="78"/>
  <c r="A59" i="78"/>
  <c r="W58" i="78"/>
  <c r="V58" i="78"/>
  <c r="J58" i="78"/>
  <c r="I58" i="78"/>
  <c r="H58" i="78"/>
  <c r="G58" i="78"/>
  <c r="F58" i="78"/>
  <c r="E58" i="78"/>
  <c r="D58" i="78"/>
  <c r="C58" i="78"/>
  <c r="B58" i="78"/>
  <c r="A58" i="78"/>
  <c r="W57" i="78"/>
  <c r="V57" i="78"/>
  <c r="I57" i="78"/>
  <c r="J57" i="78" s="1"/>
  <c r="K57" i="78" s="1"/>
  <c r="H57" i="78"/>
  <c r="G57" i="78"/>
  <c r="F57" i="78"/>
  <c r="E57" i="78"/>
  <c r="D57" i="78"/>
  <c r="C57" i="78"/>
  <c r="B57" i="78"/>
  <c r="A57" i="78"/>
  <c r="W56" i="78"/>
  <c r="V56" i="78"/>
  <c r="H56" i="78"/>
  <c r="G56" i="78"/>
  <c r="I56" i="78" s="1"/>
  <c r="J56" i="78" s="1"/>
  <c r="K56" i="78" s="1"/>
  <c r="M56" i="78" s="1"/>
  <c r="N56" i="78" s="1"/>
  <c r="O56" i="78" s="1"/>
  <c r="F56" i="78"/>
  <c r="E56" i="78"/>
  <c r="D56" i="78"/>
  <c r="C56" i="78"/>
  <c r="L56" i="78" s="1"/>
  <c r="B56" i="78"/>
  <c r="A56" i="78"/>
  <c r="W55" i="78"/>
  <c r="V55" i="78"/>
  <c r="L55" i="78"/>
  <c r="H55" i="78"/>
  <c r="G55" i="78"/>
  <c r="I55" i="78" s="1"/>
  <c r="J55" i="78" s="1"/>
  <c r="F55" i="78"/>
  <c r="K55" i="78" s="1"/>
  <c r="E55" i="78"/>
  <c r="D55" i="78"/>
  <c r="C55" i="78"/>
  <c r="B55" i="78"/>
  <c r="A55" i="78"/>
  <c r="A53" i="78"/>
  <c r="W51" i="78"/>
  <c r="V51" i="78"/>
  <c r="H51" i="78"/>
  <c r="G51" i="78"/>
  <c r="I51" i="78" s="1"/>
  <c r="J51" i="78" s="1"/>
  <c r="F51" i="78"/>
  <c r="E51" i="78"/>
  <c r="D51" i="78"/>
  <c r="C51" i="78"/>
  <c r="L51" i="78" s="1"/>
  <c r="B51" i="78"/>
  <c r="A51" i="78"/>
  <c r="W50" i="78"/>
  <c r="V50" i="78"/>
  <c r="L50" i="78"/>
  <c r="H50" i="78"/>
  <c r="G50" i="78"/>
  <c r="I50" i="78" s="1"/>
  <c r="J50" i="78" s="1"/>
  <c r="K50" i="78" s="1"/>
  <c r="M50" i="78" s="1"/>
  <c r="N50" i="78" s="1"/>
  <c r="O50" i="78" s="1"/>
  <c r="F50" i="78"/>
  <c r="E50" i="78"/>
  <c r="D50" i="78"/>
  <c r="C50" i="78"/>
  <c r="B50" i="78"/>
  <c r="A50" i="78"/>
  <c r="W49" i="78"/>
  <c r="V49" i="78"/>
  <c r="L49" i="78"/>
  <c r="I49" i="78"/>
  <c r="J49" i="78" s="1"/>
  <c r="K49" i="78" s="1"/>
  <c r="M49" i="78" s="1"/>
  <c r="H49" i="78"/>
  <c r="G49" i="78"/>
  <c r="F49" i="78"/>
  <c r="E49" i="78"/>
  <c r="D49" i="78"/>
  <c r="C49" i="78"/>
  <c r="B49" i="78"/>
  <c r="A49" i="78"/>
  <c r="W48" i="78"/>
  <c r="V48" i="78"/>
  <c r="L48" i="78"/>
  <c r="I48" i="78"/>
  <c r="J48" i="78" s="1"/>
  <c r="K48" i="78" s="1"/>
  <c r="H48" i="78"/>
  <c r="G48" i="78"/>
  <c r="F48" i="78"/>
  <c r="E48" i="78"/>
  <c r="D48" i="78"/>
  <c r="C48" i="78"/>
  <c r="B48" i="78"/>
  <c r="A48" i="78"/>
  <c r="W47" i="78"/>
  <c r="V47" i="78"/>
  <c r="L47" i="78"/>
  <c r="I47" i="78"/>
  <c r="J47" i="78" s="1"/>
  <c r="K47" i="78" s="1"/>
  <c r="M47" i="78" s="1"/>
  <c r="N47" i="78" s="1"/>
  <c r="O47" i="78" s="1"/>
  <c r="H47" i="78"/>
  <c r="G47" i="78"/>
  <c r="F47" i="78"/>
  <c r="E47" i="78"/>
  <c r="D47" i="78"/>
  <c r="C47" i="78"/>
  <c r="B47" i="78"/>
  <c r="A47" i="78"/>
  <c r="W46" i="78"/>
  <c r="V46" i="78"/>
  <c r="L46" i="78"/>
  <c r="H46" i="78"/>
  <c r="G46" i="78"/>
  <c r="I46" i="78" s="1"/>
  <c r="J46" i="78" s="1"/>
  <c r="K46" i="78" s="1"/>
  <c r="M46" i="78" s="1"/>
  <c r="N46" i="78" s="1"/>
  <c r="O46" i="78" s="1"/>
  <c r="F46" i="78"/>
  <c r="E46" i="78"/>
  <c r="D46" i="78"/>
  <c r="C46" i="78"/>
  <c r="B46" i="78"/>
  <c r="A46" i="78"/>
  <c r="W45" i="78"/>
  <c r="V45" i="78"/>
  <c r="L45" i="78"/>
  <c r="H45" i="78"/>
  <c r="G45" i="78"/>
  <c r="I45" i="78" s="1"/>
  <c r="J45" i="78" s="1"/>
  <c r="F45" i="78"/>
  <c r="E45" i="78"/>
  <c r="D45" i="78"/>
  <c r="C45" i="78"/>
  <c r="B45" i="78"/>
  <c r="A45" i="78"/>
  <c r="W44" i="78"/>
  <c r="V44" i="78"/>
  <c r="L44" i="78"/>
  <c r="H44" i="78"/>
  <c r="G44" i="78"/>
  <c r="I44" i="78" s="1"/>
  <c r="J44" i="78" s="1"/>
  <c r="F44" i="78"/>
  <c r="K44" i="78" s="1"/>
  <c r="M44" i="78" s="1"/>
  <c r="E44" i="78"/>
  <c r="D44" i="78"/>
  <c r="C44" i="78"/>
  <c r="B44" i="78"/>
  <c r="A44" i="78"/>
  <c r="W43" i="78"/>
  <c r="V43" i="78"/>
  <c r="L43" i="78"/>
  <c r="H43" i="78"/>
  <c r="G43" i="78"/>
  <c r="I43" i="78" s="1"/>
  <c r="J43" i="78" s="1"/>
  <c r="F43" i="78"/>
  <c r="E43" i="78"/>
  <c r="D43" i="78"/>
  <c r="C43" i="78"/>
  <c r="B43" i="78"/>
  <c r="A43" i="78"/>
  <c r="W42" i="78"/>
  <c r="V42" i="78"/>
  <c r="I42" i="78"/>
  <c r="J42" i="78" s="1"/>
  <c r="H42" i="78"/>
  <c r="G42" i="78"/>
  <c r="F42" i="78"/>
  <c r="K42" i="78" s="1"/>
  <c r="E42" i="78"/>
  <c r="D42" i="78"/>
  <c r="C42" i="78"/>
  <c r="B42" i="78"/>
  <c r="A42" i="78"/>
  <c r="W41" i="78"/>
  <c r="V41" i="78"/>
  <c r="H41" i="78"/>
  <c r="G41" i="78"/>
  <c r="I41" i="78" s="1"/>
  <c r="J41" i="78" s="1"/>
  <c r="F41" i="78"/>
  <c r="E41" i="78"/>
  <c r="D41" i="78"/>
  <c r="C41" i="78"/>
  <c r="B41" i="78"/>
  <c r="A41" i="78"/>
  <c r="W40" i="78"/>
  <c r="V40" i="78"/>
  <c r="H40" i="78"/>
  <c r="G40" i="78"/>
  <c r="I40" i="78" s="1"/>
  <c r="J40" i="78" s="1"/>
  <c r="F40" i="78"/>
  <c r="K40" i="78" s="1"/>
  <c r="M40" i="78" s="1"/>
  <c r="E40" i="78"/>
  <c r="D40" i="78"/>
  <c r="C40" i="78"/>
  <c r="L40" i="78" s="1"/>
  <c r="B40" i="78"/>
  <c r="A40" i="78"/>
  <c r="W39" i="78"/>
  <c r="V39" i="78"/>
  <c r="H39" i="78"/>
  <c r="G39" i="78"/>
  <c r="I39" i="78" s="1"/>
  <c r="J39" i="78" s="1"/>
  <c r="F39" i="78"/>
  <c r="K39" i="78" s="1"/>
  <c r="M39" i="78" s="1"/>
  <c r="E39" i="78"/>
  <c r="D39" i="78"/>
  <c r="C39" i="78"/>
  <c r="L39" i="78" s="1"/>
  <c r="B39" i="78"/>
  <c r="A39" i="78"/>
  <c r="W38" i="78"/>
  <c r="V38" i="78"/>
  <c r="L38" i="78"/>
  <c r="H38" i="78"/>
  <c r="G38" i="78"/>
  <c r="I38" i="78" s="1"/>
  <c r="J38" i="78" s="1"/>
  <c r="K38" i="78" s="1"/>
  <c r="M38" i="78" s="1"/>
  <c r="N38" i="78" s="1"/>
  <c r="O38" i="78" s="1"/>
  <c r="F38" i="78"/>
  <c r="E38" i="78"/>
  <c r="D38" i="78"/>
  <c r="C38" i="78"/>
  <c r="B38" i="78"/>
  <c r="A38" i="78"/>
  <c r="W37" i="78"/>
  <c r="V37" i="78"/>
  <c r="L37" i="78"/>
  <c r="H37" i="78"/>
  <c r="G37" i="78"/>
  <c r="I37" i="78" s="1"/>
  <c r="J37" i="78" s="1"/>
  <c r="K37" i="78" s="1"/>
  <c r="M37" i="78" s="1"/>
  <c r="F37" i="78"/>
  <c r="E37" i="78"/>
  <c r="D37" i="78"/>
  <c r="C37" i="78"/>
  <c r="B37" i="78"/>
  <c r="A37" i="78"/>
  <c r="W36" i="78"/>
  <c r="V36" i="78"/>
  <c r="L36" i="78"/>
  <c r="I36" i="78"/>
  <c r="J36" i="78" s="1"/>
  <c r="K36" i="78" s="1"/>
  <c r="H36" i="78"/>
  <c r="G36" i="78"/>
  <c r="F36" i="78"/>
  <c r="E36" i="78"/>
  <c r="D36" i="78"/>
  <c r="C36" i="78"/>
  <c r="B36" i="78"/>
  <c r="A36" i="78"/>
  <c r="A34" i="78"/>
  <c r="A15" i="78"/>
  <c r="A18" i="78"/>
  <c r="B18" i="78"/>
  <c r="C18" i="78"/>
  <c r="D18" i="78"/>
  <c r="E18" i="78"/>
  <c r="F18" i="78"/>
  <c r="G18" i="78"/>
  <c r="H18" i="78"/>
  <c r="A19" i="78"/>
  <c r="B19" i="78"/>
  <c r="C19" i="78"/>
  <c r="L19" i="78" s="1"/>
  <c r="D19" i="78"/>
  <c r="E19" i="78"/>
  <c r="F19" i="78"/>
  <c r="G19" i="78"/>
  <c r="H19" i="78"/>
  <c r="A20" i="78"/>
  <c r="B20" i="78"/>
  <c r="C20" i="78"/>
  <c r="L20" i="78" s="1"/>
  <c r="D20" i="78"/>
  <c r="E20" i="78"/>
  <c r="F20" i="78"/>
  <c r="G20" i="78"/>
  <c r="I20" i="78" s="1"/>
  <c r="J20" i="78" s="1"/>
  <c r="K20" i="78" s="1"/>
  <c r="M20" i="78" s="1"/>
  <c r="N20" i="78" s="1"/>
  <c r="O20" i="78" s="1"/>
  <c r="H20" i="78"/>
  <c r="A21" i="78"/>
  <c r="B21" i="78"/>
  <c r="C21" i="78"/>
  <c r="L21" i="78" s="1"/>
  <c r="D21" i="78"/>
  <c r="E21" i="78"/>
  <c r="F21" i="78"/>
  <c r="G21" i="78"/>
  <c r="H21" i="78"/>
  <c r="A22" i="78"/>
  <c r="B22" i="78"/>
  <c r="C22" i="78"/>
  <c r="L22" i="78" s="1"/>
  <c r="D22" i="78"/>
  <c r="E22" i="78"/>
  <c r="F22" i="78"/>
  <c r="G22" i="78"/>
  <c r="H22" i="78"/>
  <c r="A23" i="78"/>
  <c r="B23" i="78"/>
  <c r="C23" i="78"/>
  <c r="L23" i="78" s="1"/>
  <c r="D23" i="78"/>
  <c r="E23" i="78"/>
  <c r="F23" i="78"/>
  <c r="G23" i="78"/>
  <c r="I23" i="78" s="1"/>
  <c r="J23" i="78" s="1"/>
  <c r="K23" i="78" s="1"/>
  <c r="M23" i="78" s="1"/>
  <c r="N23" i="78" s="1"/>
  <c r="O23" i="78" s="1"/>
  <c r="H23" i="78"/>
  <c r="A24" i="78"/>
  <c r="B24" i="78"/>
  <c r="C24" i="78"/>
  <c r="D24" i="78"/>
  <c r="E24" i="78"/>
  <c r="F24" i="78"/>
  <c r="G24" i="78"/>
  <c r="H24" i="78"/>
  <c r="A25" i="78"/>
  <c r="B25" i="78"/>
  <c r="C25" i="78"/>
  <c r="L25" i="78" s="1"/>
  <c r="D25" i="78"/>
  <c r="E25" i="78"/>
  <c r="F25" i="78"/>
  <c r="G25" i="78"/>
  <c r="H25" i="78"/>
  <c r="A26" i="78"/>
  <c r="B26" i="78"/>
  <c r="C26" i="78"/>
  <c r="L26" i="78" s="1"/>
  <c r="D26" i="78"/>
  <c r="E26" i="78"/>
  <c r="F26" i="78"/>
  <c r="G26" i="78"/>
  <c r="I26" i="78" s="1"/>
  <c r="J26" i="78" s="1"/>
  <c r="K26" i="78" s="1"/>
  <c r="M26" i="78" s="1"/>
  <c r="H26" i="78"/>
  <c r="A27" i="78"/>
  <c r="B27" i="78"/>
  <c r="C27" i="78"/>
  <c r="D27" i="78"/>
  <c r="E27" i="78"/>
  <c r="F27" i="78"/>
  <c r="G27" i="78"/>
  <c r="H27" i="78"/>
  <c r="I27" i="78" s="1"/>
  <c r="J27" i="78" s="1"/>
  <c r="A28" i="78"/>
  <c r="B28" i="78"/>
  <c r="C28" i="78"/>
  <c r="L28" i="78" s="1"/>
  <c r="D28" i="78"/>
  <c r="E28" i="78"/>
  <c r="F28" i="78"/>
  <c r="G28" i="78"/>
  <c r="H28" i="78"/>
  <c r="A29" i="78"/>
  <c r="B29" i="78"/>
  <c r="C29" i="78"/>
  <c r="L29" i="78" s="1"/>
  <c r="D29" i="78"/>
  <c r="E29" i="78"/>
  <c r="F29" i="78"/>
  <c r="G29" i="78"/>
  <c r="I29" i="78" s="1"/>
  <c r="J29" i="78" s="1"/>
  <c r="K29" i="78" s="1"/>
  <c r="M29" i="78" s="1"/>
  <c r="H29" i="78"/>
  <c r="A30" i="78"/>
  <c r="B30" i="78"/>
  <c r="C30" i="78"/>
  <c r="L30" i="78" s="1"/>
  <c r="D30" i="78"/>
  <c r="E30" i="78"/>
  <c r="F30" i="78"/>
  <c r="G30" i="78"/>
  <c r="H30" i="78"/>
  <c r="A31" i="78"/>
  <c r="B31" i="78"/>
  <c r="C31" i="78"/>
  <c r="L31" i="78" s="1"/>
  <c r="D31" i="78"/>
  <c r="E31" i="78"/>
  <c r="F31" i="78"/>
  <c r="G31" i="78"/>
  <c r="H31" i="78"/>
  <c r="A32" i="78"/>
  <c r="B32" i="78"/>
  <c r="C32" i="78"/>
  <c r="D32" i="78"/>
  <c r="E32" i="78"/>
  <c r="F32" i="78"/>
  <c r="G32" i="78"/>
  <c r="I32" i="78" s="1"/>
  <c r="J32" i="78" s="1"/>
  <c r="K32" i="78" s="1"/>
  <c r="M32" i="78" s="1"/>
  <c r="N32" i="78" s="1"/>
  <c r="O32" i="78" s="1"/>
  <c r="H32" i="78"/>
  <c r="H17" i="78"/>
  <c r="G17" i="78"/>
  <c r="I17" i="78" s="1"/>
  <c r="F17" i="78"/>
  <c r="E17" i="78"/>
  <c r="D17" i="78"/>
  <c r="C17" i="78"/>
  <c r="L17" i="78" s="1"/>
  <c r="B17" i="78"/>
  <c r="A17" i="78"/>
  <c r="W32" i="78"/>
  <c r="V32" i="78"/>
  <c r="L32" i="78"/>
  <c r="W31" i="78"/>
  <c r="V31" i="78"/>
  <c r="W30" i="78"/>
  <c r="V30" i="78"/>
  <c r="W29" i="78"/>
  <c r="V29" i="78"/>
  <c r="W28" i="78"/>
  <c r="V28" i="78"/>
  <c r="I28" i="78"/>
  <c r="W27" i="78"/>
  <c r="V27" i="78"/>
  <c r="L27" i="78"/>
  <c r="W26" i="78"/>
  <c r="V26" i="78"/>
  <c r="W25" i="78"/>
  <c r="V25" i="78"/>
  <c r="W24" i="78"/>
  <c r="V24" i="78"/>
  <c r="L24" i="78"/>
  <c r="I24" i="78"/>
  <c r="J24" i="78" s="1"/>
  <c r="K24" i="78" s="1"/>
  <c r="M24" i="78" s="1"/>
  <c r="W23" i="78"/>
  <c r="V23" i="78"/>
  <c r="W22" i="78"/>
  <c r="V22" i="78"/>
  <c r="I22" i="78"/>
  <c r="W21" i="78"/>
  <c r="V21" i="78"/>
  <c r="W20" i="78"/>
  <c r="V20" i="78"/>
  <c r="W19" i="78"/>
  <c r="V19" i="78"/>
  <c r="I19" i="78"/>
  <c r="W18" i="78"/>
  <c r="V18" i="78"/>
  <c r="L18" i="78"/>
  <c r="W17" i="78"/>
  <c r="V17" i="78"/>
  <c r="I18" i="79" l="1"/>
  <c r="J18" i="79" s="1"/>
  <c r="K18" i="79" s="1"/>
  <c r="M18" i="79" s="1"/>
  <c r="J27" i="79"/>
  <c r="K27" i="79" s="1"/>
  <c r="M27" i="79" s="1"/>
  <c r="N27" i="79" s="1"/>
  <c r="O27" i="79" s="1"/>
  <c r="J26" i="79"/>
  <c r="K26" i="79" s="1"/>
  <c r="M26" i="79" s="1"/>
  <c r="N26" i="79" s="1"/>
  <c r="O26" i="79" s="1"/>
  <c r="J20" i="79"/>
  <c r="K20" i="79" s="1"/>
  <c r="M20" i="79" s="1"/>
  <c r="S25" i="79"/>
  <c r="U25" i="79" s="1"/>
  <c r="Y25" i="79" s="1"/>
  <c r="S24" i="79"/>
  <c r="U24" i="79" s="1"/>
  <c r="Y24" i="79" s="1"/>
  <c r="N24" i="79"/>
  <c r="O24" i="79" s="1"/>
  <c r="R24" i="79"/>
  <c r="T24" i="79" s="1"/>
  <c r="X24" i="79" s="1"/>
  <c r="S27" i="79"/>
  <c r="U27" i="79" s="1"/>
  <c r="Y27" i="79" s="1"/>
  <c r="S26" i="79"/>
  <c r="U26" i="79" s="1"/>
  <c r="Y26" i="79" s="1"/>
  <c r="R27" i="79"/>
  <c r="T27" i="79" s="1"/>
  <c r="X27" i="79" s="1"/>
  <c r="R26" i="79"/>
  <c r="T26" i="79" s="1"/>
  <c r="X26" i="79" s="1"/>
  <c r="R25" i="79"/>
  <c r="T25" i="79" s="1"/>
  <c r="X25" i="79" s="1"/>
  <c r="J19" i="79"/>
  <c r="K19" i="79" s="1"/>
  <c r="M19" i="79" s="1"/>
  <c r="N19" i="79" s="1"/>
  <c r="O19" i="79" s="1"/>
  <c r="I17" i="79"/>
  <c r="J17" i="79" s="1"/>
  <c r="K17" i="79" s="1"/>
  <c r="M17" i="79" s="1"/>
  <c r="N17" i="79" s="1"/>
  <c r="O17" i="79" s="1"/>
  <c r="N20" i="79"/>
  <c r="O20" i="79" s="1"/>
  <c r="S20" i="79"/>
  <c r="U20" i="79" s="1"/>
  <c r="Y20" i="79" s="1"/>
  <c r="R20" i="79"/>
  <c r="T20" i="79" s="1"/>
  <c r="X20" i="79" s="1"/>
  <c r="S19" i="79"/>
  <c r="U19" i="79" s="1"/>
  <c r="Y19" i="79" s="1"/>
  <c r="S17" i="79"/>
  <c r="U17" i="79" s="1"/>
  <c r="Y17" i="79" s="1"/>
  <c r="R17" i="79"/>
  <c r="T17" i="79" s="1"/>
  <c r="X17" i="79" s="1"/>
  <c r="S18" i="79"/>
  <c r="U18" i="79" s="1"/>
  <c r="Y18" i="79" s="1"/>
  <c r="R18" i="79"/>
  <c r="T18" i="79" s="1"/>
  <c r="X18" i="79" s="1"/>
  <c r="N18" i="79"/>
  <c r="O18" i="79" s="1"/>
  <c r="R19" i="79"/>
  <c r="T19" i="79" s="1"/>
  <c r="X19" i="79" s="1"/>
  <c r="K86" i="78"/>
  <c r="S143" i="78"/>
  <c r="U143" i="78" s="1"/>
  <c r="Y143" i="78" s="1"/>
  <c r="S208" i="78"/>
  <c r="U208" i="78" s="1"/>
  <c r="Y208" i="78" s="1"/>
  <c r="S241" i="78"/>
  <c r="U241" i="78" s="1"/>
  <c r="Y241" i="78" s="1"/>
  <c r="M253" i="78"/>
  <c r="S183" i="78"/>
  <c r="U183" i="78" s="1"/>
  <c r="Y183" i="78" s="1"/>
  <c r="S184" i="78"/>
  <c r="U184" i="78" s="1"/>
  <c r="Y184" i="78" s="1"/>
  <c r="S191" i="78"/>
  <c r="U191" i="78" s="1"/>
  <c r="Y191" i="78" s="1"/>
  <c r="S203" i="78"/>
  <c r="U203" i="78" s="1"/>
  <c r="Y203" i="78" s="1"/>
  <c r="M95" i="78"/>
  <c r="S122" i="78"/>
  <c r="U122" i="78" s="1"/>
  <c r="Y122" i="78" s="1"/>
  <c r="S123" i="78"/>
  <c r="U123" i="78" s="1"/>
  <c r="Y123" i="78" s="1"/>
  <c r="S190" i="78"/>
  <c r="U190" i="78" s="1"/>
  <c r="Y190" i="78" s="1"/>
  <c r="M194" i="78"/>
  <c r="K253" i="78"/>
  <c r="K269" i="78"/>
  <c r="S46" i="78"/>
  <c r="U46" i="78" s="1"/>
  <c r="Y46" i="78" s="1"/>
  <c r="R66" i="78"/>
  <c r="T66" i="78" s="1"/>
  <c r="X66" i="78" s="1"/>
  <c r="K80" i="78"/>
  <c r="K81" i="78"/>
  <c r="M81" i="78" s="1"/>
  <c r="S121" i="78"/>
  <c r="U121" i="78" s="1"/>
  <c r="Y121" i="78" s="1"/>
  <c r="S127" i="78"/>
  <c r="U127" i="78" s="1"/>
  <c r="Y127" i="78" s="1"/>
  <c r="M94" i="78"/>
  <c r="K99" i="78"/>
  <c r="M99" i="78" s="1"/>
  <c r="N99" i="78" s="1"/>
  <c r="O99" i="78" s="1"/>
  <c r="K118" i="78"/>
  <c r="M212" i="78"/>
  <c r="N212" i="78" s="1"/>
  <c r="O212" i="78" s="1"/>
  <c r="M269" i="78"/>
  <c r="N269" i="78" s="1"/>
  <c r="O269" i="78" s="1"/>
  <c r="S50" i="78"/>
  <c r="U50" i="78" s="1"/>
  <c r="Y50" i="78" s="1"/>
  <c r="M58" i="78"/>
  <c r="K117" i="78"/>
  <c r="M117" i="78" s="1"/>
  <c r="N162" i="78"/>
  <c r="O162" i="78" s="1"/>
  <c r="M228" i="78"/>
  <c r="N228" i="78" s="1"/>
  <c r="O228" i="78" s="1"/>
  <c r="S76" i="78"/>
  <c r="U76" i="78" s="1"/>
  <c r="Y76" i="78" s="1"/>
  <c r="S37" i="78"/>
  <c r="U37" i="78" s="1"/>
  <c r="Y37" i="78" s="1"/>
  <c r="K70" i="78"/>
  <c r="K78" i="78"/>
  <c r="M78" i="78" s="1"/>
  <c r="N78" i="78" s="1"/>
  <c r="O78" i="78" s="1"/>
  <c r="M86" i="78"/>
  <c r="N86" i="78" s="1"/>
  <c r="O86" i="78" s="1"/>
  <c r="N98" i="78"/>
  <c r="O98" i="78" s="1"/>
  <c r="S99" i="78"/>
  <c r="U99" i="78" s="1"/>
  <c r="Y99" i="78" s="1"/>
  <c r="K105" i="78"/>
  <c r="M105" i="78" s="1"/>
  <c r="N105" i="78" s="1"/>
  <c r="O105" i="78" s="1"/>
  <c r="K116" i="78"/>
  <c r="M116" i="78" s="1"/>
  <c r="N116" i="78" s="1"/>
  <c r="O116" i="78" s="1"/>
  <c r="N213" i="78"/>
  <c r="O213" i="78" s="1"/>
  <c r="K230" i="78"/>
  <c r="M230" i="78" s="1"/>
  <c r="N230" i="78" s="1"/>
  <c r="O230" i="78" s="1"/>
  <c r="K247" i="78"/>
  <c r="M256" i="78"/>
  <c r="K259" i="78"/>
  <c r="M272" i="78"/>
  <c r="K275" i="78"/>
  <c r="M275" i="78" s="1"/>
  <c r="N275" i="78" s="1"/>
  <c r="O275" i="78" s="1"/>
  <c r="S279" i="78"/>
  <c r="U279" i="78" s="1"/>
  <c r="Y279" i="78" s="1"/>
  <c r="K58" i="78"/>
  <c r="N146" i="78"/>
  <c r="O146" i="78" s="1"/>
  <c r="N150" i="78"/>
  <c r="O150" i="78" s="1"/>
  <c r="S275" i="78"/>
  <c r="U275" i="78" s="1"/>
  <c r="Y275" i="78" s="1"/>
  <c r="N60" i="78"/>
  <c r="O60" i="78" s="1"/>
  <c r="K74" i="78"/>
  <c r="K93" i="78"/>
  <c r="M93" i="78" s="1"/>
  <c r="N93" i="78" s="1"/>
  <c r="O93" i="78" s="1"/>
  <c r="S96" i="78"/>
  <c r="U96" i="78" s="1"/>
  <c r="Y96" i="78" s="1"/>
  <c r="M102" i="78"/>
  <c r="S108" i="78"/>
  <c r="U108" i="78" s="1"/>
  <c r="Y108" i="78" s="1"/>
  <c r="K158" i="78"/>
  <c r="K175" i="78"/>
  <c r="M175" i="78" s="1"/>
  <c r="N175" i="78" s="1"/>
  <c r="O175" i="78" s="1"/>
  <c r="K192" i="78"/>
  <c r="M192" i="78" s="1"/>
  <c r="N192" i="78" s="1"/>
  <c r="O192" i="78" s="1"/>
  <c r="K245" i="78"/>
  <c r="M245" i="78" s="1"/>
  <c r="R245" i="78" s="1"/>
  <c r="T245" i="78" s="1"/>
  <c r="X245" i="78" s="1"/>
  <c r="K257" i="78"/>
  <c r="M257" i="78" s="1"/>
  <c r="N257" i="78" s="1"/>
  <c r="O257" i="78" s="1"/>
  <c r="K273" i="78"/>
  <c r="M273" i="78" s="1"/>
  <c r="N273" i="78" s="1"/>
  <c r="O273" i="78" s="1"/>
  <c r="M271" i="78"/>
  <c r="S248" i="78"/>
  <c r="U248" i="78" s="1"/>
  <c r="Y248" i="78" s="1"/>
  <c r="R254" i="78"/>
  <c r="T254" i="78" s="1"/>
  <c r="X254" i="78" s="1"/>
  <c r="S260" i="78"/>
  <c r="U260" i="78" s="1"/>
  <c r="Y260" i="78" s="1"/>
  <c r="S264" i="78"/>
  <c r="U264" i="78" s="1"/>
  <c r="Y264" i="78" s="1"/>
  <c r="R270" i="78"/>
  <c r="T270" i="78" s="1"/>
  <c r="X270" i="78" s="1"/>
  <c r="S276" i="78"/>
  <c r="U276" i="78" s="1"/>
  <c r="Y276" i="78" s="1"/>
  <c r="S252" i="78"/>
  <c r="U252" i="78" s="1"/>
  <c r="Y252" i="78" s="1"/>
  <c r="R252" i="78"/>
  <c r="T252" i="78" s="1"/>
  <c r="X252" i="78" s="1"/>
  <c r="K254" i="78"/>
  <c r="M254" i="78" s="1"/>
  <c r="N254" i="78" s="1"/>
  <c r="O254" i="78" s="1"/>
  <c r="S268" i="78"/>
  <c r="U268" i="78" s="1"/>
  <c r="Y268" i="78" s="1"/>
  <c r="R268" i="78"/>
  <c r="T268" i="78" s="1"/>
  <c r="X268" i="78" s="1"/>
  <c r="K270" i="78"/>
  <c r="M270" i="78" s="1"/>
  <c r="N270" i="78" s="1"/>
  <c r="O270" i="78" s="1"/>
  <c r="M250" i="78"/>
  <c r="N250" i="78" s="1"/>
  <c r="O250" i="78" s="1"/>
  <c r="M266" i="78"/>
  <c r="N266" i="78" s="1"/>
  <c r="O266" i="78" s="1"/>
  <c r="M278" i="78"/>
  <c r="M247" i="78"/>
  <c r="N247" i="78" s="1"/>
  <c r="O247" i="78" s="1"/>
  <c r="M259" i="78"/>
  <c r="N259" i="78" s="1"/>
  <c r="O259" i="78" s="1"/>
  <c r="R279" i="78"/>
  <c r="T279" i="78" s="1"/>
  <c r="X279" i="78" s="1"/>
  <c r="N279" i="78"/>
  <c r="O279" i="78" s="1"/>
  <c r="R251" i="78"/>
  <c r="T251" i="78" s="1"/>
  <c r="X251" i="78" s="1"/>
  <c r="N251" i="78"/>
  <c r="O251" i="78" s="1"/>
  <c r="R267" i="78"/>
  <c r="T267" i="78" s="1"/>
  <c r="X267" i="78" s="1"/>
  <c r="N267" i="78"/>
  <c r="O267" i="78" s="1"/>
  <c r="S259" i="78"/>
  <c r="U259" i="78" s="1"/>
  <c r="Y259" i="78" s="1"/>
  <c r="S249" i="78"/>
  <c r="U249" i="78" s="1"/>
  <c r="Y249" i="78" s="1"/>
  <c r="N249" i="78"/>
  <c r="O249" i="78" s="1"/>
  <c r="S255" i="78"/>
  <c r="U255" i="78" s="1"/>
  <c r="Y255" i="78" s="1"/>
  <c r="R255" i="78"/>
  <c r="T255" i="78" s="1"/>
  <c r="X255" i="78" s="1"/>
  <c r="N255" i="78"/>
  <c r="O255" i="78" s="1"/>
  <c r="N246" i="78"/>
  <c r="O246" i="78" s="1"/>
  <c r="S246" i="78"/>
  <c r="U246" i="78" s="1"/>
  <c r="Y246" i="78" s="1"/>
  <c r="R249" i="78"/>
  <c r="T249" i="78" s="1"/>
  <c r="X249" i="78" s="1"/>
  <c r="N258" i="78"/>
  <c r="O258" i="78" s="1"/>
  <c r="S258" i="78"/>
  <c r="U258" i="78" s="1"/>
  <c r="Y258" i="78" s="1"/>
  <c r="S265" i="78"/>
  <c r="U265" i="78" s="1"/>
  <c r="Y265" i="78" s="1"/>
  <c r="N274" i="78"/>
  <c r="O274" i="78" s="1"/>
  <c r="S274" i="78"/>
  <c r="U274" i="78" s="1"/>
  <c r="Y274" i="78" s="1"/>
  <c r="S277" i="78"/>
  <c r="U277" i="78" s="1"/>
  <c r="Y277" i="78" s="1"/>
  <c r="L269" i="78"/>
  <c r="L278" i="78"/>
  <c r="R266" i="78"/>
  <c r="T266" i="78" s="1"/>
  <c r="X266" i="78" s="1"/>
  <c r="R265" i="78"/>
  <c r="T265" i="78" s="1"/>
  <c r="X265" i="78" s="1"/>
  <c r="R277" i="78"/>
  <c r="T277" i="78" s="1"/>
  <c r="X277" i="78" s="1"/>
  <c r="R248" i="78"/>
  <c r="T248" i="78" s="1"/>
  <c r="X248" i="78" s="1"/>
  <c r="L256" i="78"/>
  <c r="R260" i="78"/>
  <c r="T260" i="78" s="1"/>
  <c r="X260" i="78" s="1"/>
  <c r="R264" i="78"/>
  <c r="T264" i="78" s="1"/>
  <c r="X264" i="78" s="1"/>
  <c r="L272" i="78"/>
  <c r="R276" i="78"/>
  <c r="T276" i="78" s="1"/>
  <c r="X276" i="78" s="1"/>
  <c r="R275" i="78"/>
  <c r="T275" i="78" s="1"/>
  <c r="X275" i="78" s="1"/>
  <c r="L253" i="78"/>
  <c r="M211" i="78"/>
  <c r="K215" i="78"/>
  <c r="M215" i="78" s="1"/>
  <c r="K232" i="78"/>
  <c r="M232" i="78" s="1"/>
  <c r="N232" i="78" s="1"/>
  <c r="O232" i="78" s="1"/>
  <c r="R235" i="78"/>
  <c r="T235" i="78" s="1"/>
  <c r="X235" i="78" s="1"/>
  <c r="K214" i="78"/>
  <c r="M214" i="78" s="1"/>
  <c r="N214" i="78" s="1"/>
  <c r="O214" i="78" s="1"/>
  <c r="K231" i="78"/>
  <c r="M231" i="78"/>
  <c r="M218" i="78"/>
  <c r="S213" i="78"/>
  <c r="U213" i="78" s="1"/>
  <c r="Y213" i="78" s="1"/>
  <c r="M217" i="78"/>
  <c r="S207" i="78"/>
  <c r="U207" i="78" s="1"/>
  <c r="Y207" i="78" s="1"/>
  <c r="N207" i="78"/>
  <c r="O207" i="78" s="1"/>
  <c r="K218" i="78"/>
  <c r="S219" i="78"/>
  <c r="U219" i="78" s="1"/>
  <c r="Y219" i="78" s="1"/>
  <c r="N219" i="78"/>
  <c r="O219" i="78" s="1"/>
  <c r="S230" i="78"/>
  <c r="U230" i="78" s="1"/>
  <c r="Y230" i="78" s="1"/>
  <c r="S209" i="78"/>
  <c r="U209" i="78" s="1"/>
  <c r="Y209" i="78" s="1"/>
  <c r="S210" i="78"/>
  <c r="U210" i="78" s="1"/>
  <c r="Y210" i="78" s="1"/>
  <c r="S221" i="78"/>
  <c r="U221" i="78" s="1"/>
  <c r="Y221" i="78" s="1"/>
  <c r="S222" i="78"/>
  <c r="U222" i="78" s="1"/>
  <c r="Y222" i="78" s="1"/>
  <c r="S229" i="78"/>
  <c r="U229" i="78" s="1"/>
  <c r="Y229" i="78" s="1"/>
  <c r="R234" i="78"/>
  <c r="T234" i="78" s="1"/>
  <c r="X234" i="78" s="1"/>
  <c r="N234" i="78"/>
  <c r="O234" i="78" s="1"/>
  <c r="S234" i="78"/>
  <c r="U234" i="78" s="1"/>
  <c r="Y234" i="78" s="1"/>
  <c r="S235" i="78"/>
  <c r="U235" i="78" s="1"/>
  <c r="Y235" i="78" s="1"/>
  <c r="N235" i="78"/>
  <c r="O235" i="78" s="1"/>
  <c r="R219" i="78"/>
  <c r="T219" i="78" s="1"/>
  <c r="X219" i="78" s="1"/>
  <c r="S227" i="78"/>
  <c r="U227" i="78" s="1"/>
  <c r="Y227" i="78" s="1"/>
  <c r="S237" i="78"/>
  <c r="U237" i="78" s="1"/>
  <c r="Y237" i="78" s="1"/>
  <c r="S238" i="78"/>
  <c r="U238" i="78" s="1"/>
  <c r="Y238" i="78" s="1"/>
  <c r="R207" i="78"/>
  <c r="T207" i="78" s="1"/>
  <c r="X207" i="78" s="1"/>
  <c r="K216" i="78"/>
  <c r="M216" i="78" s="1"/>
  <c r="K233" i="78"/>
  <c r="M233" i="78" s="1"/>
  <c r="S236" i="78"/>
  <c r="U236" i="78" s="1"/>
  <c r="Y236" i="78" s="1"/>
  <c r="S239" i="78"/>
  <c r="U239" i="78" s="1"/>
  <c r="Y239" i="78" s="1"/>
  <c r="L211" i="78"/>
  <c r="R230" i="78"/>
  <c r="T230" i="78" s="1"/>
  <c r="X230" i="78" s="1"/>
  <c r="R213" i="78"/>
  <c r="T213" i="78" s="1"/>
  <c r="X213" i="78" s="1"/>
  <c r="R229" i="78"/>
  <c r="T229" i="78" s="1"/>
  <c r="X229" i="78" s="1"/>
  <c r="R241" i="78"/>
  <c r="T241" i="78" s="1"/>
  <c r="X241" i="78" s="1"/>
  <c r="R212" i="78"/>
  <c r="T212" i="78" s="1"/>
  <c r="X212" i="78" s="1"/>
  <c r="R228" i="78"/>
  <c r="T228" i="78" s="1"/>
  <c r="X228" i="78" s="1"/>
  <c r="R240" i="78"/>
  <c r="T240" i="78" s="1"/>
  <c r="X240" i="78" s="1"/>
  <c r="R227" i="78"/>
  <c r="T227" i="78" s="1"/>
  <c r="X227" i="78" s="1"/>
  <c r="R239" i="78"/>
  <c r="T239" i="78" s="1"/>
  <c r="X239" i="78" s="1"/>
  <c r="R210" i="78"/>
  <c r="T210" i="78" s="1"/>
  <c r="X210" i="78" s="1"/>
  <c r="R222" i="78"/>
  <c r="T222" i="78" s="1"/>
  <c r="X222" i="78" s="1"/>
  <c r="R226" i="78"/>
  <c r="T226" i="78" s="1"/>
  <c r="X226" i="78" s="1"/>
  <c r="R238" i="78"/>
  <c r="T238" i="78" s="1"/>
  <c r="X238" i="78" s="1"/>
  <c r="R209" i="78"/>
  <c r="T209" i="78" s="1"/>
  <c r="X209" i="78" s="1"/>
  <c r="L217" i="78"/>
  <c r="R221" i="78"/>
  <c r="T221" i="78" s="1"/>
  <c r="X221" i="78" s="1"/>
  <c r="L233" i="78"/>
  <c r="R237" i="78"/>
  <c r="T237" i="78" s="1"/>
  <c r="X237" i="78" s="1"/>
  <c r="R208" i="78"/>
  <c r="T208" i="78" s="1"/>
  <c r="X208" i="78" s="1"/>
  <c r="L216" i="78"/>
  <c r="R220" i="78"/>
  <c r="T220" i="78" s="1"/>
  <c r="X220" i="78" s="1"/>
  <c r="L232" i="78"/>
  <c r="R236" i="78"/>
  <c r="T236" i="78" s="1"/>
  <c r="X236" i="78" s="1"/>
  <c r="L215" i="78"/>
  <c r="L231" i="78"/>
  <c r="S173" i="78"/>
  <c r="U173" i="78" s="1"/>
  <c r="Y173" i="78" s="1"/>
  <c r="S182" i="78"/>
  <c r="U182" i="78" s="1"/>
  <c r="Y182" i="78" s="1"/>
  <c r="S188" i="78"/>
  <c r="U188" i="78" s="1"/>
  <c r="Y188" i="78" s="1"/>
  <c r="S171" i="78"/>
  <c r="U171" i="78" s="1"/>
  <c r="Y171" i="78" s="1"/>
  <c r="S172" i="78"/>
  <c r="U172" i="78" s="1"/>
  <c r="Y172" i="78" s="1"/>
  <c r="S189" i="78"/>
  <c r="U189" i="78" s="1"/>
  <c r="Y189" i="78" s="1"/>
  <c r="S198" i="78"/>
  <c r="U198" i="78" s="1"/>
  <c r="Y198" i="78" s="1"/>
  <c r="S201" i="78"/>
  <c r="U201" i="78" s="1"/>
  <c r="Y201" i="78" s="1"/>
  <c r="S170" i="78"/>
  <c r="U170" i="78" s="1"/>
  <c r="Y170" i="78" s="1"/>
  <c r="K178" i="78"/>
  <c r="M178" i="78" s="1"/>
  <c r="N178" i="78" s="1"/>
  <c r="O178" i="78" s="1"/>
  <c r="R180" i="78"/>
  <c r="T180" i="78" s="1"/>
  <c r="X180" i="78" s="1"/>
  <c r="S197" i="78"/>
  <c r="U197" i="78" s="1"/>
  <c r="Y197" i="78" s="1"/>
  <c r="S169" i="78"/>
  <c r="U169" i="78" s="1"/>
  <c r="Y169" i="78" s="1"/>
  <c r="R196" i="78"/>
  <c r="T196" i="78" s="1"/>
  <c r="X196" i="78" s="1"/>
  <c r="K177" i="78"/>
  <c r="M177" i="78" s="1"/>
  <c r="N177" i="78" s="1"/>
  <c r="O177" i="78" s="1"/>
  <c r="S192" i="78"/>
  <c r="U192" i="78" s="1"/>
  <c r="Y192" i="78" s="1"/>
  <c r="R192" i="78"/>
  <c r="T192" i="78" s="1"/>
  <c r="X192" i="78" s="1"/>
  <c r="K193" i="78"/>
  <c r="M193" i="78" s="1"/>
  <c r="K176" i="78"/>
  <c r="M176" i="78" s="1"/>
  <c r="N176" i="78" s="1"/>
  <c r="O176" i="78" s="1"/>
  <c r="K181" i="78"/>
  <c r="M181" i="78" s="1"/>
  <c r="N181" i="78" s="1"/>
  <c r="O181" i="78" s="1"/>
  <c r="N195" i="78"/>
  <c r="O195" i="78" s="1"/>
  <c r="S195" i="78"/>
  <c r="U195" i="78" s="1"/>
  <c r="Y195" i="78" s="1"/>
  <c r="R195" i="78"/>
  <c r="T195" i="78" s="1"/>
  <c r="X195" i="78" s="1"/>
  <c r="N180" i="78"/>
  <c r="O180" i="78" s="1"/>
  <c r="S180" i="78"/>
  <c r="U180" i="78" s="1"/>
  <c r="Y180" i="78" s="1"/>
  <c r="N179" i="78"/>
  <c r="O179" i="78" s="1"/>
  <c r="S179" i="78"/>
  <c r="U179" i="78" s="1"/>
  <c r="Y179" i="78" s="1"/>
  <c r="R179" i="78"/>
  <c r="T179" i="78" s="1"/>
  <c r="X179" i="78" s="1"/>
  <c r="S199" i="78"/>
  <c r="U199" i="78" s="1"/>
  <c r="Y199" i="78" s="1"/>
  <c r="S200" i="78"/>
  <c r="U200" i="78" s="1"/>
  <c r="Y200" i="78" s="1"/>
  <c r="S202" i="78"/>
  <c r="U202" i="78" s="1"/>
  <c r="Y202" i="78" s="1"/>
  <c r="S196" i="78"/>
  <c r="U196" i="78" s="1"/>
  <c r="Y196" i="78" s="1"/>
  <c r="N196" i="78"/>
  <c r="O196" i="78" s="1"/>
  <c r="R175" i="78"/>
  <c r="T175" i="78" s="1"/>
  <c r="X175" i="78" s="1"/>
  <c r="R191" i="78"/>
  <c r="T191" i="78" s="1"/>
  <c r="X191" i="78" s="1"/>
  <c r="R203" i="78"/>
  <c r="T203" i="78" s="1"/>
  <c r="X203" i="78" s="1"/>
  <c r="R174" i="78"/>
  <c r="T174" i="78" s="1"/>
  <c r="X174" i="78" s="1"/>
  <c r="R190" i="78"/>
  <c r="T190" i="78" s="1"/>
  <c r="X190" i="78" s="1"/>
  <c r="R202" i="78"/>
  <c r="T202" i="78" s="1"/>
  <c r="X202" i="78" s="1"/>
  <c r="R173" i="78"/>
  <c r="T173" i="78" s="1"/>
  <c r="X173" i="78" s="1"/>
  <c r="R189" i="78"/>
  <c r="T189" i="78" s="1"/>
  <c r="X189" i="78" s="1"/>
  <c r="R201" i="78"/>
  <c r="T201" i="78" s="1"/>
  <c r="X201" i="78" s="1"/>
  <c r="R172" i="78"/>
  <c r="T172" i="78" s="1"/>
  <c r="X172" i="78" s="1"/>
  <c r="R184" i="78"/>
  <c r="T184" i="78" s="1"/>
  <c r="X184" i="78" s="1"/>
  <c r="R188" i="78"/>
  <c r="T188" i="78" s="1"/>
  <c r="X188" i="78" s="1"/>
  <c r="R200" i="78"/>
  <c r="T200" i="78" s="1"/>
  <c r="X200" i="78" s="1"/>
  <c r="R171" i="78"/>
  <c r="T171" i="78" s="1"/>
  <c r="X171" i="78" s="1"/>
  <c r="R183" i="78"/>
  <c r="T183" i="78" s="1"/>
  <c r="X183" i="78" s="1"/>
  <c r="R199" i="78"/>
  <c r="T199" i="78" s="1"/>
  <c r="X199" i="78" s="1"/>
  <c r="R170" i="78"/>
  <c r="T170" i="78" s="1"/>
  <c r="X170" i="78" s="1"/>
  <c r="L178" i="78"/>
  <c r="R182" i="78"/>
  <c r="T182" i="78" s="1"/>
  <c r="X182" i="78" s="1"/>
  <c r="L194" i="78"/>
  <c r="N194" i="78" s="1"/>
  <c r="O194" i="78" s="1"/>
  <c r="R198" i="78"/>
  <c r="T198" i="78" s="1"/>
  <c r="X198" i="78" s="1"/>
  <c r="R169" i="78"/>
  <c r="T169" i="78" s="1"/>
  <c r="X169" i="78" s="1"/>
  <c r="L177" i="78"/>
  <c r="R181" i="78"/>
  <c r="T181" i="78" s="1"/>
  <c r="X181" i="78" s="1"/>
  <c r="L193" i="78"/>
  <c r="R197" i="78"/>
  <c r="T197" i="78" s="1"/>
  <c r="X197" i="78" s="1"/>
  <c r="S151" i="78"/>
  <c r="U151" i="78" s="1"/>
  <c r="Y151" i="78" s="1"/>
  <c r="R156" i="78"/>
  <c r="T156" i="78" s="1"/>
  <c r="X156" i="78" s="1"/>
  <c r="S156" i="78"/>
  <c r="U156" i="78" s="1"/>
  <c r="Y156" i="78" s="1"/>
  <c r="R160" i="78"/>
  <c r="T160" i="78" s="1"/>
  <c r="X160" i="78" s="1"/>
  <c r="N143" i="78"/>
  <c r="O143" i="78" s="1"/>
  <c r="R143" i="78"/>
  <c r="T143" i="78" s="1"/>
  <c r="X143" i="78" s="1"/>
  <c r="S144" i="78"/>
  <c r="U144" i="78" s="1"/>
  <c r="Y144" i="78" s="1"/>
  <c r="N144" i="78"/>
  <c r="O144" i="78" s="1"/>
  <c r="S146" i="78"/>
  <c r="U146" i="78" s="1"/>
  <c r="Y146" i="78" s="1"/>
  <c r="S150" i="78"/>
  <c r="U150" i="78" s="1"/>
  <c r="Y150" i="78" s="1"/>
  <c r="K157" i="78"/>
  <c r="M157" i="78" s="1"/>
  <c r="S160" i="78"/>
  <c r="U160" i="78" s="1"/>
  <c r="Y160" i="78" s="1"/>
  <c r="N160" i="78"/>
  <c r="O160" i="78" s="1"/>
  <c r="S135" i="78"/>
  <c r="U135" i="78" s="1"/>
  <c r="Y135" i="78" s="1"/>
  <c r="S136" i="78"/>
  <c r="U136" i="78" s="1"/>
  <c r="Y136" i="78" s="1"/>
  <c r="N156" i="78"/>
  <c r="O156" i="78" s="1"/>
  <c r="R131" i="78"/>
  <c r="T131" i="78" s="1"/>
  <c r="X131" i="78" s="1"/>
  <c r="N131" i="78"/>
  <c r="O131" i="78" s="1"/>
  <c r="S132" i="78"/>
  <c r="U132" i="78" s="1"/>
  <c r="Y132" i="78" s="1"/>
  <c r="N132" i="78"/>
  <c r="O132" i="78" s="1"/>
  <c r="S134" i="78"/>
  <c r="U134" i="78" s="1"/>
  <c r="Y134" i="78" s="1"/>
  <c r="M139" i="78"/>
  <c r="K141" i="78"/>
  <c r="M141" i="78" s="1"/>
  <c r="R132" i="78"/>
  <c r="T132" i="78" s="1"/>
  <c r="X132" i="78" s="1"/>
  <c r="S133" i="78"/>
  <c r="U133" i="78" s="1"/>
  <c r="Y133" i="78" s="1"/>
  <c r="S131" i="78"/>
  <c r="U131" i="78" s="1"/>
  <c r="Y131" i="78" s="1"/>
  <c r="K140" i="78"/>
  <c r="M140" i="78" s="1"/>
  <c r="N140" i="78" s="1"/>
  <c r="O140" i="78" s="1"/>
  <c r="K165" i="78"/>
  <c r="M165" i="78" s="1"/>
  <c r="N165" i="78" s="1"/>
  <c r="O165" i="78" s="1"/>
  <c r="M145" i="78"/>
  <c r="N145" i="78" s="1"/>
  <c r="O145" i="78" s="1"/>
  <c r="R137" i="78"/>
  <c r="T137" i="78" s="1"/>
  <c r="X137" i="78" s="1"/>
  <c r="S137" i="78"/>
  <c r="U137" i="78" s="1"/>
  <c r="Y137" i="78" s="1"/>
  <c r="K152" i="78"/>
  <c r="M152" i="78" s="1"/>
  <c r="N152" i="78" s="1"/>
  <c r="O152" i="78" s="1"/>
  <c r="K153" i="78"/>
  <c r="M153" i="78" s="1"/>
  <c r="N153" i="78" s="1"/>
  <c r="O153" i="78" s="1"/>
  <c r="K161" i="78"/>
  <c r="M161" i="78" s="1"/>
  <c r="N161" i="78" s="1"/>
  <c r="O161" i="78" s="1"/>
  <c r="M158" i="78"/>
  <c r="M133" i="78"/>
  <c r="N133" i="78" s="1"/>
  <c r="O133" i="78" s="1"/>
  <c r="K159" i="78"/>
  <c r="M159" i="78" s="1"/>
  <c r="S163" i="78"/>
  <c r="U163" i="78" s="1"/>
  <c r="Y163" i="78" s="1"/>
  <c r="S164" i="78"/>
  <c r="U164" i="78" s="1"/>
  <c r="Y164" i="78" s="1"/>
  <c r="L139" i="78"/>
  <c r="L155" i="78"/>
  <c r="M138" i="78"/>
  <c r="N138" i="78" s="1"/>
  <c r="O138" i="78" s="1"/>
  <c r="M154" i="78"/>
  <c r="N154" i="78" s="1"/>
  <c r="O154" i="78" s="1"/>
  <c r="R136" i="78"/>
  <c r="T136" i="78" s="1"/>
  <c r="X136" i="78" s="1"/>
  <c r="R152" i="78"/>
  <c r="T152" i="78" s="1"/>
  <c r="X152" i="78" s="1"/>
  <c r="R164" i="78"/>
  <c r="T164" i="78" s="1"/>
  <c r="X164" i="78" s="1"/>
  <c r="R135" i="78"/>
  <c r="T135" i="78" s="1"/>
  <c r="X135" i="78" s="1"/>
  <c r="R151" i="78"/>
  <c r="T151" i="78" s="1"/>
  <c r="X151" i="78" s="1"/>
  <c r="R163" i="78"/>
  <c r="T163" i="78" s="1"/>
  <c r="X163" i="78" s="1"/>
  <c r="R134" i="78"/>
  <c r="T134" i="78" s="1"/>
  <c r="X134" i="78" s="1"/>
  <c r="L142" i="78"/>
  <c r="R146" i="78"/>
  <c r="T146" i="78" s="1"/>
  <c r="X146" i="78" s="1"/>
  <c r="R150" i="78"/>
  <c r="T150" i="78" s="1"/>
  <c r="X150" i="78" s="1"/>
  <c r="L158" i="78"/>
  <c r="R162" i="78"/>
  <c r="T162" i="78" s="1"/>
  <c r="X162" i="78" s="1"/>
  <c r="L141" i="78"/>
  <c r="S105" i="78"/>
  <c r="U105" i="78" s="1"/>
  <c r="Y105" i="78" s="1"/>
  <c r="S116" i="78"/>
  <c r="U116" i="78" s="1"/>
  <c r="Y116" i="78" s="1"/>
  <c r="R116" i="78"/>
  <c r="T116" i="78" s="1"/>
  <c r="X116" i="78" s="1"/>
  <c r="S126" i="78"/>
  <c r="U126" i="78" s="1"/>
  <c r="Y126" i="78" s="1"/>
  <c r="S125" i="78"/>
  <c r="U125" i="78" s="1"/>
  <c r="Y125" i="78" s="1"/>
  <c r="S93" i="78"/>
  <c r="U93" i="78" s="1"/>
  <c r="Y93" i="78" s="1"/>
  <c r="R93" i="78"/>
  <c r="T93" i="78" s="1"/>
  <c r="X93" i="78" s="1"/>
  <c r="M103" i="78"/>
  <c r="S98" i="78"/>
  <c r="U98" i="78" s="1"/>
  <c r="Y98" i="78" s="1"/>
  <c r="K104" i="78"/>
  <c r="M104" i="78" s="1"/>
  <c r="S106" i="78"/>
  <c r="U106" i="78" s="1"/>
  <c r="Y106" i="78" s="1"/>
  <c r="K115" i="78"/>
  <c r="M115" i="78" s="1"/>
  <c r="N115" i="78" s="1"/>
  <c r="O115" i="78" s="1"/>
  <c r="S112" i="78"/>
  <c r="U112" i="78" s="1"/>
  <c r="Y112" i="78" s="1"/>
  <c r="M119" i="78"/>
  <c r="S100" i="78"/>
  <c r="U100" i="78" s="1"/>
  <c r="Y100" i="78" s="1"/>
  <c r="R100" i="78"/>
  <c r="T100" i="78" s="1"/>
  <c r="X100" i="78" s="1"/>
  <c r="S114" i="78"/>
  <c r="U114" i="78" s="1"/>
  <c r="Y114" i="78" s="1"/>
  <c r="K101" i="78"/>
  <c r="M101" i="78" s="1"/>
  <c r="M107" i="78"/>
  <c r="N107" i="78" s="1"/>
  <c r="O107" i="78" s="1"/>
  <c r="S113" i="78"/>
  <c r="U113" i="78" s="1"/>
  <c r="Y113" i="78" s="1"/>
  <c r="M118" i="78"/>
  <c r="K120" i="78"/>
  <c r="M120" i="78" s="1"/>
  <c r="S124" i="78"/>
  <c r="U124" i="78" s="1"/>
  <c r="Y124" i="78" s="1"/>
  <c r="L95" i="78"/>
  <c r="N95" i="78" s="1"/>
  <c r="O95" i="78" s="1"/>
  <c r="R99" i="78"/>
  <c r="T99" i="78" s="1"/>
  <c r="X99" i="78" s="1"/>
  <c r="R127" i="78"/>
  <c r="T127" i="78" s="1"/>
  <c r="X127" i="78" s="1"/>
  <c r="L94" i="78"/>
  <c r="R98" i="78"/>
  <c r="T98" i="78" s="1"/>
  <c r="X98" i="78" s="1"/>
  <c r="R114" i="78"/>
  <c r="T114" i="78" s="1"/>
  <c r="X114" i="78" s="1"/>
  <c r="R126" i="78"/>
  <c r="T126" i="78" s="1"/>
  <c r="X126" i="78" s="1"/>
  <c r="R97" i="78"/>
  <c r="T97" i="78" s="1"/>
  <c r="X97" i="78" s="1"/>
  <c r="R113" i="78"/>
  <c r="T113" i="78" s="1"/>
  <c r="X113" i="78" s="1"/>
  <c r="R125" i="78"/>
  <c r="T125" i="78" s="1"/>
  <c r="X125" i="78" s="1"/>
  <c r="R96" i="78"/>
  <c r="T96" i="78" s="1"/>
  <c r="X96" i="78" s="1"/>
  <c r="R108" i="78"/>
  <c r="T108" i="78" s="1"/>
  <c r="X108" i="78" s="1"/>
  <c r="R112" i="78"/>
  <c r="T112" i="78" s="1"/>
  <c r="X112" i="78" s="1"/>
  <c r="R124" i="78"/>
  <c r="T124" i="78" s="1"/>
  <c r="X124" i="78" s="1"/>
  <c r="L103" i="78"/>
  <c r="R123" i="78"/>
  <c r="T123" i="78" s="1"/>
  <c r="X123" i="78" s="1"/>
  <c r="L102" i="78"/>
  <c r="N102" i="78" s="1"/>
  <c r="O102" i="78" s="1"/>
  <c r="R106" i="78"/>
  <c r="T106" i="78" s="1"/>
  <c r="X106" i="78" s="1"/>
  <c r="L118" i="78"/>
  <c r="R122" i="78"/>
  <c r="T122" i="78" s="1"/>
  <c r="X122" i="78" s="1"/>
  <c r="L101" i="78"/>
  <c r="L117" i="78"/>
  <c r="R121" i="78"/>
  <c r="T121" i="78" s="1"/>
  <c r="X121" i="78" s="1"/>
  <c r="R65" i="78"/>
  <c r="T65" i="78" s="1"/>
  <c r="X65" i="78" s="1"/>
  <c r="M70" i="78"/>
  <c r="N70" i="78" s="1"/>
  <c r="O70" i="78" s="1"/>
  <c r="S78" i="78"/>
  <c r="U78" i="78" s="1"/>
  <c r="Y78" i="78" s="1"/>
  <c r="R78" i="78"/>
  <c r="T78" i="78" s="1"/>
  <c r="X78" i="78" s="1"/>
  <c r="N81" i="78"/>
  <c r="O81" i="78" s="1"/>
  <c r="S81" i="78"/>
  <c r="U81" i="78" s="1"/>
  <c r="Y81" i="78" s="1"/>
  <c r="K62" i="78"/>
  <c r="M62" i="78" s="1"/>
  <c r="N62" i="78" s="1"/>
  <c r="O62" i="78" s="1"/>
  <c r="S64" i="78"/>
  <c r="U64" i="78" s="1"/>
  <c r="Y64" i="78" s="1"/>
  <c r="M57" i="78"/>
  <c r="K61" i="78"/>
  <c r="M61" i="78" s="1"/>
  <c r="N61" i="78" s="1"/>
  <c r="O61" i="78" s="1"/>
  <c r="S68" i="78"/>
  <c r="U68" i="78" s="1"/>
  <c r="Y68" i="78" s="1"/>
  <c r="R68" i="78"/>
  <c r="T68" i="78" s="1"/>
  <c r="X68" i="78" s="1"/>
  <c r="M74" i="78"/>
  <c r="N74" i="78" s="1"/>
  <c r="O74" i="78" s="1"/>
  <c r="R81" i="78"/>
  <c r="T81" i="78" s="1"/>
  <c r="X81" i="78" s="1"/>
  <c r="S55" i="78"/>
  <c r="U55" i="78" s="1"/>
  <c r="Y55" i="78" s="1"/>
  <c r="S56" i="78"/>
  <c r="U56" i="78" s="1"/>
  <c r="Y56" i="78" s="1"/>
  <c r="R56" i="78"/>
  <c r="T56" i="78" s="1"/>
  <c r="X56" i="78" s="1"/>
  <c r="K77" i="78"/>
  <c r="M77" i="78" s="1"/>
  <c r="N77" i="78" s="1"/>
  <c r="O77" i="78" s="1"/>
  <c r="R59" i="78"/>
  <c r="T59" i="78" s="1"/>
  <c r="X59" i="78" s="1"/>
  <c r="N59" i="78"/>
  <c r="O59" i="78" s="1"/>
  <c r="S84" i="78"/>
  <c r="U84" i="78" s="1"/>
  <c r="Y84" i="78" s="1"/>
  <c r="R84" i="78"/>
  <c r="T84" i="78" s="1"/>
  <c r="X84" i="78" s="1"/>
  <c r="K89" i="78"/>
  <c r="M89" i="78" s="1"/>
  <c r="N89" i="78" s="1"/>
  <c r="O89" i="78" s="1"/>
  <c r="M55" i="78"/>
  <c r="N55" i="78" s="1"/>
  <c r="O55" i="78" s="1"/>
  <c r="N64" i="78"/>
  <c r="O64" i="78" s="1"/>
  <c r="R64" i="78"/>
  <c r="T64" i="78" s="1"/>
  <c r="X64" i="78" s="1"/>
  <c r="S69" i="78"/>
  <c r="U69" i="78" s="1"/>
  <c r="Y69" i="78" s="1"/>
  <c r="R69" i="78"/>
  <c r="T69" i="78" s="1"/>
  <c r="X69" i="78" s="1"/>
  <c r="N69" i="78"/>
  <c r="O69" i="78" s="1"/>
  <c r="M83" i="78"/>
  <c r="N83" i="78" s="1"/>
  <c r="O83" i="78" s="1"/>
  <c r="K67" i="78"/>
  <c r="M67" i="78" s="1"/>
  <c r="N67" i="78" s="1"/>
  <c r="O67" i="78" s="1"/>
  <c r="R75" i="78"/>
  <c r="T75" i="78" s="1"/>
  <c r="X75" i="78" s="1"/>
  <c r="N75" i="78"/>
  <c r="O75" i="78" s="1"/>
  <c r="M80" i="78"/>
  <c r="R87" i="78"/>
  <c r="T87" i="78" s="1"/>
  <c r="X87" i="78" s="1"/>
  <c r="N87" i="78"/>
  <c r="O87" i="78" s="1"/>
  <c r="N63" i="78"/>
  <c r="O63" i="78" s="1"/>
  <c r="S75" i="78"/>
  <c r="U75" i="78" s="1"/>
  <c r="Y75" i="78" s="1"/>
  <c r="S85" i="78"/>
  <c r="U85" i="78" s="1"/>
  <c r="Y85" i="78" s="1"/>
  <c r="R85" i="78"/>
  <c r="T85" i="78" s="1"/>
  <c r="X85" i="78" s="1"/>
  <c r="N85" i="78"/>
  <c r="O85" i="78" s="1"/>
  <c r="S88" i="78"/>
  <c r="U88" i="78" s="1"/>
  <c r="Y88" i="78" s="1"/>
  <c r="N66" i="78"/>
  <c r="O66" i="78" s="1"/>
  <c r="S66" i="78"/>
  <c r="U66" i="78" s="1"/>
  <c r="Y66" i="78" s="1"/>
  <c r="S70" i="78"/>
  <c r="U70" i="78" s="1"/>
  <c r="Y70" i="78" s="1"/>
  <c r="N65" i="78"/>
  <c r="O65" i="78" s="1"/>
  <c r="S65" i="78"/>
  <c r="U65" i="78" s="1"/>
  <c r="Y65" i="78" s="1"/>
  <c r="N84" i="78"/>
  <c r="O84" i="78" s="1"/>
  <c r="S62" i="78"/>
  <c r="U62" i="78" s="1"/>
  <c r="Y62" i="78" s="1"/>
  <c r="R62" i="78"/>
  <c r="T62" i="78" s="1"/>
  <c r="X62" i="78" s="1"/>
  <c r="S74" i="78"/>
  <c r="U74" i="78" s="1"/>
  <c r="Y74" i="78" s="1"/>
  <c r="M79" i="78"/>
  <c r="N79" i="78" s="1"/>
  <c r="O79" i="78" s="1"/>
  <c r="K82" i="78"/>
  <c r="M82" i="78" s="1"/>
  <c r="R82" i="78" s="1"/>
  <c r="T82" i="78" s="1"/>
  <c r="X82" i="78" s="1"/>
  <c r="S87" i="78"/>
  <c r="U87" i="78" s="1"/>
  <c r="Y87" i="78" s="1"/>
  <c r="L58" i="78"/>
  <c r="N58" i="78" s="1"/>
  <c r="O58" i="78" s="1"/>
  <c r="L57" i="78"/>
  <c r="R60" i="78"/>
  <c r="T60" i="78" s="1"/>
  <c r="X60" i="78" s="1"/>
  <c r="R76" i="78"/>
  <c r="T76" i="78" s="1"/>
  <c r="X76" i="78" s="1"/>
  <c r="R88" i="78"/>
  <c r="T88" i="78" s="1"/>
  <c r="X88" i="78" s="1"/>
  <c r="L67" i="78"/>
  <c r="R70" i="78"/>
  <c r="T70" i="78" s="1"/>
  <c r="X70" i="78" s="1"/>
  <c r="R74" i="78"/>
  <c r="T74" i="78" s="1"/>
  <c r="X74" i="78" s="1"/>
  <c r="R86" i="78"/>
  <c r="T86" i="78" s="1"/>
  <c r="X86" i="78" s="1"/>
  <c r="R55" i="78"/>
  <c r="T55" i="78" s="1"/>
  <c r="X55" i="78" s="1"/>
  <c r="L63" i="78"/>
  <c r="L79" i="78"/>
  <c r="R83" i="78"/>
  <c r="T83" i="78" s="1"/>
  <c r="X83" i="78" s="1"/>
  <c r="R44" i="78"/>
  <c r="T44" i="78" s="1"/>
  <c r="X44" i="78" s="1"/>
  <c r="K41" i="78"/>
  <c r="S49" i="78"/>
  <c r="U49" i="78" s="1"/>
  <c r="Y49" i="78" s="1"/>
  <c r="R49" i="78"/>
  <c r="T49" i="78" s="1"/>
  <c r="X49" i="78" s="1"/>
  <c r="N49" i="78"/>
  <c r="O49" i="78" s="1"/>
  <c r="M36" i="78"/>
  <c r="N36" i="78" s="1"/>
  <c r="O36" i="78" s="1"/>
  <c r="N40" i="78"/>
  <c r="O40" i="78" s="1"/>
  <c r="M48" i="78"/>
  <c r="N48" i="78" s="1"/>
  <c r="O48" i="78" s="1"/>
  <c r="N44" i="78"/>
  <c r="O44" i="78" s="1"/>
  <c r="S44" i="78"/>
  <c r="U44" i="78" s="1"/>
  <c r="Y44" i="78" s="1"/>
  <c r="R40" i="78"/>
  <c r="T40" i="78" s="1"/>
  <c r="X40" i="78" s="1"/>
  <c r="S40" i="78"/>
  <c r="U40" i="78" s="1"/>
  <c r="Y40" i="78" s="1"/>
  <c r="S39" i="78"/>
  <c r="U39" i="78" s="1"/>
  <c r="Y39" i="78" s="1"/>
  <c r="R39" i="78"/>
  <c r="T39" i="78" s="1"/>
  <c r="X39" i="78" s="1"/>
  <c r="N39" i="78"/>
  <c r="O39" i="78" s="1"/>
  <c r="S38" i="78"/>
  <c r="U38" i="78" s="1"/>
  <c r="Y38" i="78" s="1"/>
  <c r="S45" i="78"/>
  <c r="U45" i="78" s="1"/>
  <c r="Y45" i="78" s="1"/>
  <c r="R37" i="78"/>
  <c r="T37" i="78" s="1"/>
  <c r="X37" i="78" s="1"/>
  <c r="N37" i="78"/>
  <c r="O37" i="78" s="1"/>
  <c r="M42" i="78"/>
  <c r="N42" i="78" s="1"/>
  <c r="O42" i="78" s="1"/>
  <c r="K45" i="78"/>
  <c r="M45" i="78" s="1"/>
  <c r="N45" i="78" s="1"/>
  <c r="O45" i="78" s="1"/>
  <c r="K51" i="78"/>
  <c r="M51" i="78" s="1"/>
  <c r="N51" i="78" s="1"/>
  <c r="O51" i="78" s="1"/>
  <c r="M41" i="78"/>
  <c r="K43" i="78"/>
  <c r="M43" i="78" s="1"/>
  <c r="S47" i="78"/>
  <c r="U47" i="78" s="1"/>
  <c r="Y47" i="78" s="1"/>
  <c r="R38" i="78"/>
  <c r="T38" i="78" s="1"/>
  <c r="X38" i="78" s="1"/>
  <c r="R50" i="78"/>
  <c r="T50" i="78" s="1"/>
  <c r="X50" i="78" s="1"/>
  <c r="S36" i="78"/>
  <c r="U36" i="78" s="1"/>
  <c r="Y36" i="78" s="1"/>
  <c r="R47" i="78"/>
  <c r="T47" i="78" s="1"/>
  <c r="X47" i="78" s="1"/>
  <c r="L42" i="78"/>
  <c r="R46" i="78"/>
  <c r="T46" i="78" s="1"/>
  <c r="X46" i="78" s="1"/>
  <c r="L41" i="78"/>
  <c r="R45" i="78"/>
  <c r="T45" i="78" s="1"/>
  <c r="X45" i="78" s="1"/>
  <c r="I31" i="78"/>
  <c r="J31" i="78" s="1"/>
  <c r="K31" i="78" s="1"/>
  <c r="M31" i="78" s="1"/>
  <c r="N24" i="78"/>
  <c r="O24" i="78" s="1"/>
  <c r="K27" i="78"/>
  <c r="M27" i="78" s="1"/>
  <c r="N27" i="78" s="1"/>
  <c r="O27" i="78" s="1"/>
  <c r="I30" i="78"/>
  <c r="J30" i="78" s="1"/>
  <c r="K30" i="78" s="1"/>
  <c r="M30" i="78" s="1"/>
  <c r="N30" i="78" s="1"/>
  <c r="O30" i="78" s="1"/>
  <c r="I21" i="78"/>
  <c r="J21" i="78" s="1"/>
  <c r="K21" i="78" s="1"/>
  <c r="M21" i="78" s="1"/>
  <c r="N21" i="78" s="1"/>
  <c r="O21" i="78" s="1"/>
  <c r="I25" i="78"/>
  <c r="J25" i="78" s="1"/>
  <c r="K25" i="78" s="1"/>
  <c r="M25" i="78" s="1"/>
  <c r="S25" i="78" s="1"/>
  <c r="U25" i="78" s="1"/>
  <c r="Y25" i="78" s="1"/>
  <c r="I18" i="78"/>
  <c r="J18" i="78" s="1"/>
  <c r="K18" i="78" s="1"/>
  <c r="M18" i="78" s="1"/>
  <c r="N18" i="78" s="1"/>
  <c r="O18" i="78" s="1"/>
  <c r="J22" i="78"/>
  <c r="K22" i="78" s="1"/>
  <c r="M22" i="78" s="1"/>
  <c r="S22" i="78" s="1"/>
  <c r="U22" i="78" s="1"/>
  <c r="Y22" i="78" s="1"/>
  <c r="S23" i="78"/>
  <c r="U23" i="78" s="1"/>
  <c r="Y23" i="78" s="1"/>
  <c r="S32" i="78"/>
  <c r="U32" i="78" s="1"/>
  <c r="Y32" i="78" s="1"/>
  <c r="J28" i="78"/>
  <c r="K28" i="78" s="1"/>
  <c r="M28" i="78" s="1"/>
  <c r="N28" i="78" s="1"/>
  <c r="O28" i="78" s="1"/>
  <c r="J19" i="78"/>
  <c r="K19" i="78" s="1"/>
  <c r="M19" i="78" s="1"/>
  <c r="N19" i="78" s="1"/>
  <c r="O19" i="78" s="1"/>
  <c r="J17" i="78"/>
  <c r="K17" i="78" s="1"/>
  <c r="M17" i="78" s="1"/>
  <c r="R17" i="78" s="1"/>
  <c r="T17" i="78" s="1"/>
  <c r="X17" i="78" s="1"/>
  <c r="S24" i="78"/>
  <c r="U24" i="78" s="1"/>
  <c r="Y24" i="78" s="1"/>
  <c r="S20" i="78"/>
  <c r="U20" i="78" s="1"/>
  <c r="Y20" i="78" s="1"/>
  <c r="N26" i="78"/>
  <c r="O26" i="78" s="1"/>
  <c r="R26" i="78"/>
  <c r="T26" i="78" s="1"/>
  <c r="X26" i="78" s="1"/>
  <c r="S26" i="78"/>
  <c r="U26" i="78" s="1"/>
  <c r="Y26" i="78" s="1"/>
  <c r="S29" i="78"/>
  <c r="U29" i="78" s="1"/>
  <c r="Y29" i="78" s="1"/>
  <c r="R29" i="78"/>
  <c r="T29" i="78" s="1"/>
  <c r="X29" i="78" s="1"/>
  <c r="N29" i="78"/>
  <c r="O29" i="78" s="1"/>
  <c r="R20" i="78"/>
  <c r="T20" i="78" s="1"/>
  <c r="X20" i="78" s="1"/>
  <c r="R24" i="78"/>
  <c r="T24" i="78" s="1"/>
  <c r="X24" i="78" s="1"/>
  <c r="R32" i="78"/>
  <c r="T32" i="78" s="1"/>
  <c r="X32" i="78" s="1"/>
  <c r="R23" i="78"/>
  <c r="T23" i="78" s="1"/>
  <c r="X23" i="78" s="1"/>
  <c r="R27" i="78"/>
  <c r="T27" i="78" s="1"/>
  <c r="X27" i="78" s="1"/>
  <c r="N41" i="78" l="1"/>
  <c r="O41" i="78" s="1"/>
  <c r="N117" i="78"/>
  <c r="O117" i="78" s="1"/>
  <c r="R161" i="78"/>
  <c r="T161" i="78" s="1"/>
  <c r="X161" i="78" s="1"/>
  <c r="N141" i="78"/>
  <c r="O141" i="78" s="1"/>
  <c r="S247" i="78"/>
  <c r="U247" i="78" s="1"/>
  <c r="Y247" i="78" s="1"/>
  <c r="N278" i="78"/>
  <c r="O278" i="78" s="1"/>
  <c r="S273" i="78"/>
  <c r="U273" i="78" s="1"/>
  <c r="Y273" i="78" s="1"/>
  <c r="R214" i="78"/>
  <c r="T214" i="78" s="1"/>
  <c r="X214" i="78" s="1"/>
  <c r="S257" i="78"/>
  <c r="U257" i="78" s="1"/>
  <c r="Y257" i="78" s="1"/>
  <c r="S48" i="78"/>
  <c r="U48" i="78" s="1"/>
  <c r="Y48" i="78" s="1"/>
  <c r="S245" i="78"/>
  <c r="U245" i="78" s="1"/>
  <c r="Y245" i="78" s="1"/>
  <c r="N101" i="78"/>
  <c r="O101" i="78" s="1"/>
  <c r="R257" i="78"/>
  <c r="T257" i="78" s="1"/>
  <c r="X257" i="78" s="1"/>
  <c r="R273" i="78"/>
  <c r="T273" i="78" s="1"/>
  <c r="X273" i="78" s="1"/>
  <c r="S228" i="78"/>
  <c r="U228" i="78" s="1"/>
  <c r="Y228" i="78" s="1"/>
  <c r="S250" i="78"/>
  <c r="U250" i="78" s="1"/>
  <c r="Y250" i="78" s="1"/>
  <c r="R48" i="78"/>
  <c r="T48" i="78" s="1"/>
  <c r="X48" i="78" s="1"/>
  <c r="R89" i="78"/>
  <c r="T89" i="78" s="1"/>
  <c r="X89" i="78" s="1"/>
  <c r="R107" i="78"/>
  <c r="T107" i="78" s="1"/>
  <c r="X107" i="78" s="1"/>
  <c r="N193" i="78"/>
  <c r="O193" i="78" s="1"/>
  <c r="N216" i="78"/>
  <c r="O216" i="78" s="1"/>
  <c r="N217" i="78"/>
  <c r="O217" i="78" s="1"/>
  <c r="R250" i="78"/>
  <c r="T250" i="78" s="1"/>
  <c r="X250" i="78" s="1"/>
  <c r="N245" i="78"/>
  <c r="O245" i="78" s="1"/>
  <c r="S86" i="78"/>
  <c r="U86" i="78" s="1"/>
  <c r="Y86" i="78" s="1"/>
  <c r="S175" i="78"/>
  <c r="U175" i="78" s="1"/>
  <c r="Y175" i="78" s="1"/>
  <c r="R51" i="78"/>
  <c r="T51" i="78" s="1"/>
  <c r="X51" i="78" s="1"/>
  <c r="R140" i="78"/>
  <c r="T140" i="78" s="1"/>
  <c r="X140" i="78" s="1"/>
  <c r="R154" i="78"/>
  <c r="T154" i="78" s="1"/>
  <c r="X154" i="78" s="1"/>
  <c r="R259" i="78"/>
  <c r="T259" i="78" s="1"/>
  <c r="X259" i="78" s="1"/>
  <c r="S51" i="78"/>
  <c r="U51" i="78" s="1"/>
  <c r="Y51" i="78" s="1"/>
  <c r="S115" i="78"/>
  <c r="U115" i="78" s="1"/>
  <c r="Y115" i="78" s="1"/>
  <c r="R153" i="78"/>
  <c r="T153" i="78" s="1"/>
  <c r="X153" i="78" s="1"/>
  <c r="S154" i="78"/>
  <c r="U154" i="78" s="1"/>
  <c r="Y154" i="78" s="1"/>
  <c r="S214" i="78"/>
  <c r="U214" i="78" s="1"/>
  <c r="Y214" i="78" s="1"/>
  <c r="R247" i="78"/>
  <c r="T247" i="78" s="1"/>
  <c r="X247" i="78" s="1"/>
  <c r="S212" i="78"/>
  <c r="U212" i="78" s="1"/>
  <c r="Y212" i="78" s="1"/>
  <c r="R105" i="78"/>
  <c r="T105" i="78" s="1"/>
  <c r="X105" i="78" s="1"/>
  <c r="S270" i="78"/>
  <c r="U270" i="78" s="1"/>
  <c r="Y270" i="78" s="1"/>
  <c r="S253" i="78"/>
  <c r="U253" i="78" s="1"/>
  <c r="Y253" i="78" s="1"/>
  <c r="R253" i="78"/>
  <c r="T253" i="78" s="1"/>
  <c r="X253" i="78" s="1"/>
  <c r="N253" i="78"/>
  <c r="O253" i="78" s="1"/>
  <c r="S278" i="78"/>
  <c r="U278" i="78" s="1"/>
  <c r="Y278" i="78" s="1"/>
  <c r="R278" i="78"/>
  <c r="T278" i="78" s="1"/>
  <c r="X278" i="78" s="1"/>
  <c r="S269" i="78"/>
  <c r="U269" i="78" s="1"/>
  <c r="Y269" i="78" s="1"/>
  <c r="R269" i="78"/>
  <c r="T269" i="78" s="1"/>
  <c r="X269" i="78" s="1"/>
  <c r="S254" i="78"/>
  <c r="U254" i="78" s="1"/>
  <c r="Y254" i="78" s="1"/>
  <c r="R272" i="78"/>
  <c r="T272" i="78" s="1"/>
  <c r="X272" i="78" s="1"/>
  <c r="S272" i="78"/>
  <c r="U272" i="78" s="1"/>
  <c r="Y272" i="78" s="1"/>
  <c r="S266" i="78"/>
  <c r="U266" i="78" s="1"/>
  <c r="Y266" i="78" s="1"/>
  <c r="R256" i="78"/>
  <c r="T256" i="78" s="1"/>
  <c r="X256" i="78" s="1"/>
  <c r="S256" i="78"/>
  <c r="U256" i="78" s="1"/>
  <c r="Y256" i="78" s="1"/>
  <c r="N272" i="78"/>
  <c r="O272" i="78" s="1"/>
  <c r="N256" i="78"/>
  <c r="O256" i="78" s="1"/>
  <c r="N271" i="78"/>
  <c r="O271" i="78" s="1"/>
  <c r="S271" i="78"/>
  <c r="U271" i="78" s="1"/>
  <c r="Y271" i="78" s="1"/>
  <c r="R271" i="78"/>
  <c r="T271" i="78" s="1"/>
  <c r="X271" i="78" s="1"/>
  <c r="N215" i="78"/>
  <c r="O215" i="78" s="1"/>
  <c r="N233" i="78"/>
  <c r="O233" i="78" s="1"/>
  <c r="R233" i="78"/>
  <c r="T233" i="78" s="1"/>
  <c r="X233" i="78" s="1"/>
  <c r="S233" i="78"/>
  <c r="U233" i="78" s="1"/>
  <c r="Y233" i="78" s="1"/>
  <c r="R217" i="78"/>
  <c r="T217" i="78" s="1"/>
  <c r="X217" i="78" s="1"/>
  <c r="S217" i="78"/>
  <c r="U217" i="78" s="1"/>
  <c r="Y217" i="78" s="1"/>
  <c r="R218" i="78"/>
  <c r="T218" i="78" s="1"/>
  <c r="X218" i="78" s="1"/>
  <c r="N218" i="78"/>
  <c r="O218" i="78" s="1"/>
  <c r="S218" i="78"/>
  <c r="U218" i="78" s="1"/>
  <c r="Y218" i="78" s="1"/>
  <c r="S231" i="78"/>
  <c r="U231" i="78" s="1"/>
  <c r="Y231" i="78" s="1"/>
  <c r="R231" i="78"/>
  <c r="T231" i="78" s="1"/>
  <c r="X231" i="78" s="1"/>
  <c r="N231" i="78"/>
  <c r="O231" i="78" s="1"/>
  <c r="S215" i="78"/>
  <c r="U215" i="78" s="1"/>
  <c r="Y215" i="78" s="1"/>
  <c r="R215" i="78"/>
  <c r="T215" i="78" s="1"/>
  <c r="X215" i="78" s="1"/>
  <c r="S211" i="78"/>
  <c r="U211" i="78" s="1"/>
  <c r="Y211" i="78" s="1"/>
  <c r="R211" i="78"/>
  <c r="T211" i="78" s="1"/>
  <c r="X211" i="78" s="1"/>
  <c r="R232" i="78"/>
  <c r="T232" i="78" s="1"/>
  <c r="X232" i="78" s="1"/>
  <c r="S232" i="78"/>
  <c r="U232" i="78" s="1"/>
  <c r="Y232" i="78" s="1"/>
  <c r="R216" i="78"/>
  <c r="T216" i="78" s="1"/>
  <c r="X216" i="78" s="1"/>
  <c r="S216" i="78"/>
  <c r="U216" i="78" s="1"/>
  <c r="Y216" i="78" s="1"/>
  <c r="N211" i="78"/>
  <c r="O211" i="78" s="1"/>
  <c r="R194" i="78"/>
  <c r="T194" i="78" s="1"/>
  <c r="X194" i="78" s="1"/>
  <c r="S194" i="78"/>
  <c r="U194" i="78" s="1"/>
  <c r="Y194" i="78" s="1"/>
  <c r="R178" i="78"/>
  <c r="T178" i="78" s="1"/>
  <c r="X178" i="78" s="1"/>
  <c r="S178" i="78"/>
  <c r="U178" i="78" s="1"/>
  <c r="Y178" i="78" s="1"/>
  <c r="S181" i="78"/>
  <c r="U181" i="78" s="1"/>
  <c r="Y181" i="78" s="1"/>
  <c r="R176" i="78"/>
  <c r="T176" i="78" s="1"/>
  <c r="X176" i="78" s="1"/>
  <c r="S193" i="78"/>
  <c r="U193" i="78" s="1"/>
  <c r="Y193" i="78" s="1"/>
  <c r="R193" i="78"/>
  <c r="T193" i="78" s="1"/>
  <c r="X193" i="78" s="1"/>
  <c r="S176" i="78"/>
  <c r="U176" i="78" s="1"/>
  <c r="Y176" i="78" s="1"/>
  <c r="S177" i="78"/>
  <c r="U177" i="78" s="1"/>
  <c r="Y177" i="78" s="1"/>
  <c r="R177" i="78"/>
  <c r="T177" i="78" s="1"/>
  <c r="X177" i="78" s="1"/>
  <c r="S157" i="78"/>
  <c r="U157" i="78" s="1"/>
  <c r="Y157" i="78" s="1"/>
  <c r="R157" i="78"/>
  <c r="T157" i="78" s="1"/>
  <c r="X157" i="78" s="1"/>
  <c r="N157" i="78"/>
  <c r="O157" i="78" s="1"/>
  <c r="R158" i="78"/>
  <c r="T158" i="78" s="1"/>
  <c r="X158" i="78" s="1"/>
  <c r="S158" i="78"/>
  <c r="U158" i="78" s="1"/>
  <c r="Y158" i="78" s="1"/>
  <c r="R139" i="78"/>
  <c r="T139" i="78" s="1"/>
  <c r="X139" i="78" s="1"/>
  <c r="S139" i="78"/>
  <c r="U139" i="78" s="1"/>
  <c r="Y139" i="78" s="1"/>
  <c r="R142" i="78"/>
  <c r="T142" i="78" s="1"/>
  <c r="X142" i="78" s="1"/>
  <c r="S142" i="78"/>
  <c r="U142" i="78" s="1"/>
  <c r="Y142" i="78" s="1"/>
  <c r="N142" i="78"/>
  <c r="O142" i="78" s="1"/>
  <c r="N139" i="78"/>
  <c r="O139" i="78" s="1"/>
  <c r="R155" i="78"/>
  <c r="T155" i="78" s="1"/>
  <c r="X155" i="78" s="1"/>
  <c r="S155" i="78"/>
  <c r="U155" i="78" s="1"/>
  <c r="Y155" i="78" s="1"/>
  <c r="N159" i="78"/>
  <c r="O159" i="78" s="1"/>
  <c r="R159" i="78"/>
  <c r="T159" i="78" s="1"/>
  <c r="X159" i="78" s="1"/>
  <c r="S138" i="78"/>
  <c r="U138" i="78" s="1"/>
  <c r="Y138" i="78" s="1"/>
  <c r="S161" i="78"/>
  <c r="U161" i="78" s="1"/>
  <c r="Y161" i="78" s="1"/>
  <c r="R138" i="78"/>
  <c r="T138" i="78" s="1"/>
  <c r="X138" i="78" s="1"/>
  <c r="S145" i="78"/>
  <c r="U145" i="78" s="1"/>
  <c r="Y145" i="78" s="1"/>
  <c r="R145" i="78"/>
  <c r="T145" i="78" s="1"/>
  <c r="X145" i="78" s="1"/>
  <c r="N158" i="78"/>
  <c r="O158" i="78" s="1"/>
  <c r="S159" i="78"/>
  <c r="U159" i="78" s="1"/>
  <c r="Y159" i="78" s="1"/>
  <c r="S141" i="78"/>
  <c r="U141" i="78" s="1"/>
  <c r="Y141" i="78" s="1"/>
  <c r="R141" i="78"/>
  <c r="T141" i="78" s="1"/>
  <c r="X141" i="78" s="1"/>
  <c r="R133" i="78"/>
  <c r="T133" i="78" s="1"/>
  <c r="X133" i="78" s="1"/>
  <c r="S140" i="78"/>
  <c r="U140" i="78" s="1"/>
  <c r="Y140" i="78" s="1"/>
  <c r="R165" i="78"/>
  <c r="T165" i="78" s="1"/>
  <c r="X165" i="78" s="1"/>
  <c r="N155" i="78"/>
  <c r="O155" i="78" s="1"/>
  <c r="S152" i="78"/>
  <c r="U152" i="78" s="1"/>
  <c r="Y152" i="78" s="1"/>
  <c r="S153" i="78"/>
  <c r="U153" i="78" s="1"/>
  <c r="Y153" i="78" s="1"/>
  <c r="S165" i="78"/>
  <c r="U165" i="78" s="1"/>
  <c r="Y165" i="78" s="1"/>
  <c r="N104" i="78"/>
  <c r="O104" i="78" s="1"/>
  <c r="S104" i="78"/>
  <c r="U104" i="78" s="1"/>
  <c r="Y104" i="78" s="1"/>
  <c r="R104" i="78"/>
  <c r="T104" i="78" s="1"/>
  <c r="X104" i="78" s="1"/>
  <c r="N119" i="78"/>
  <c r="O119" i="78" s="1"/>
  <c r="S119" i="78"/>
  <c r="U119" i="78" s="1"/>
  <c r="Y119" i="78" s="1"/>
  <c r="R119" i="78"/>
  <c r="T119" i="78" s="1"/>
  <c r="X119" i="78" s="1"/>
  <c r="S117" i="78"/>
  <c r="U117" i="78" s="1"/>
  <c r="Y117" i="78" s="1"/>
  <c r="R117" i="78"/>
  <c r="T117" i="78" s="1"/>
  <c r="X117" i="78" s="1"/>
  <c r="S101" i="78"/>
  <c r="U101" i="78" s="1"/>
  <c r="Y101" i="78" s="1"/>
  <c r="R101" i="78"/>
  <c r="T101" i="78" s="1"/>
  <c r="X101" i="78" s="1"/>
  <c r="N120" i="78"/>
  <c r="O120" i="78" s="1"/>
  <c r="S120" i="78"/>
  <c r="U120" i="78" s="1"/>
  <c r="Y120" i="78" s="1"/>
  <c r="R118" i="78"/>
  <c r="T118" i="78" s="1"/>
  <c r="X118" i="78" s="1"/>
  <c r="S118" i="78"/>
  <c r="U118" i="78" s="1"/>
  <c r="Y118" i="78" s="1"/>
  <c r="N118" i="78"/>
  <c r="O118" i="78" s="1"/>
  <c r="S95" i="78"/>
  <c r="U95" i="78" s="1"/>
  <c r="Y95" i="78" s="1"/>
  <c r="R95" i="78"/>
  <c r="T95" i="78" s="1"/>
  <c r="X95" i="78" s="1"/>
  <c r="R120" i="78"/>
  <c r="T120" i="78" s="1"/>
  <c r="X120" i="78" s="1"/>
  <c r="R102" i="78"/>
  <c r="T102" i="78" s="1"/>
  <c r="X102" i="78" s="1"/>
  <c r="S102" i="78"/>
  <c r="U102" i="78" s="1"/>
  <c r="Y102" i="78" s="1"/>
  <c r="S107" i="78"/>
  <c r="U107" i="78" s="1"/>
  <c r="Y107" i="78" s="1"/>
  <c r="S94" i="78"/>
  <c r="U94" i="78" s="1"/>
  <c r="Y94" i="78" s="1"/>
  <c r="R94" i="78"/>
  <c r="T94" i="78" s="1"/>
  <c r="X94" i="78" s="1"/>
  <c r="S103" i="78"/>
  <c r="U103" i="78" s="1"/>
  <c r="Y103" i="78" s="1"/>
  <c r="R103" i="78"/>
  <c r="T103" i="78" s="1"/>
  <c r="X103" i="78" s="1"/>
  <c r="R115" i="78"/>
  <c r="T115" i="78" s="1"/>
  <c r="X115" i="78" s="1"/>
  <c r="N103" i="78"/>
  <c r="O103" i="78" s="1"/>
  <c r="N94" i="78"/>
  <c r="O94" i="78" s="1"/>
  <c r="S67" i="78"/>
  <c r="U67" i="78" s="1"/>
  <c r="Y67" i="78" s="1"/>
  <c r="R67" i="78"/>
  <c r="T67" i="78" s="1"/>
  <c r="X67" i="78" s="1"/>
  <c r="S89" i="78"/>
  <c r="U89" i="78" s="1"/>
  <c r="Y89" i="78" s="1"/>
  <c r="N80" i="78"/>
  <c r="O80" i="78" s="1"/>
  <c r="R80" i="78"/>
  <c r="T80" i="78" s="1"/>
  <c r="X80" i="78" s="1"/>
  <c r="S57" i="78"/>
  <c r="U57" i="78" s="1"/>
  <c r="Y57" i="78" s="1"/>
  <c r="R57" i="78"/>
  <c r="T57" i="78" s="1"/>
  <c r="X57" i="78" s="1"/>
  <c r="S83" i="78"/>
  <c r="U83" i="78" s="1"/>
  <c r="Y83" i="78" s="1"/>
  <c r="S79" i="78"/>
  <c r="U79" i="78" s="1"/>
  <c r="Y79" i="78" s="1"/>
  <c r="R79" i="78"/>
  <c r="T79" i="78" s="1"/>
  <c r="X79" i="78" s="1"/>
  <c r="S58" i="78"/>
  <c r="U58" i="78" s="1"/>
  <c r="Y58" i="78" s="1"/>
  <c r="R58" i="78"/>
  <c r="T58" i="78" s="1"/>
  <c r="X58" i="78" s="1"/>
  <c r="S63" i="78"/>
  <c r="U63" i="78" s="1"/>
  <c r="Y63" i="78" s="1"/>
  <c r="R63" i="78"/>
  <c r="T63" i="78" s="1"/>
  <c r="X63" i="78" s="1"/>
  <c r="N82" i="78"/>
  <c r="O82" i="78" s="1"/>
  <c r="S82" i="78"/>
  <c r="U82" i="78" s="1"/>
  <c r="Y82" i="78" s="1"/>
  <c r="N57" i="78"/>
  <c r="O57" i="78" s="1"/>
  <c r="R77" i="78"/>
  <c r="T77" i="78" s="1"/>
  <c r="X77" i="78" s="1"/>
  <c r="R61" i="78"/>
  <c r="T61" i="78" s="1"/>
  <c r="X61" i="78" s="1"/>
  <c r="S80" i="78"/>
  <c r="U80" i="78" s="1"/>
  <c r="Y80" i="78" s="1"/>
  <c r="S77" i="78"/>
  <c r="U77" i="78" s="1"/>
  <c r="Y77" i="78" s="1"/>
  <c r="S61" i="78"/>
  <c r="U61" i="78" s="1"/>
  <c r="Y61" i="78" s="1"/>
  <c r="N43" i="78"/>
  <c r="O43" i="78" s="1"/>
  <c r="S43" i="78"/>
  <c r="U43" i="78" s="1"/>
  <c r="Y43" i="78" s="1"/>
  <c r="R43" i="78"/>
  <c r="T43" i="78" s="1"/>
  <c r="X43" i="78" s="1"/>
  <c r="R42" i="78"/>
  <c r="T42" i="78" s="1"/>
  <c r="X42" i="78" s="1"/>
  <c r="S42" i="78"/>
  <c r="U42" i="78" s="1"/>
  <c r="Y42" i="78" s="1"/>
  <c r="R36" i="78"/>
  <c r="T36" i="78" s="1"/>
  <c r="X36" i="78" s="1"/>
  <c r="S41" i="78"/>
  <c r="U41" i="78" s="1"/>
  <c r="Y41" i="78" s="1"/>
  <c r="R41" i="78"/>
  <c r="T41" i="78" s="1"/>
  <c r="X41" i="78" s="1"/>
  <c r="R18" i="78"/>
  <c r="T18" i="78" s="1"/>
  <c r="X18" i="78" s="1"/>
  <c r="S30" i="78"/>
  <c r="U30" i="78" s="1"/>
  <c r="Y30" i="78" s="1"/>
  <c r="R21" i="78"/>
  <c r="T21" i="78" s="1"/>
  <c r="X21" i="78" s="1"/>
  <c r="S21" i="78"/>
  <c r="U21" i="78" s="1"/>
  <c r="Y21" i="78" s="1"/>
  <c r="N31" i="78"/>
  <c r="O31" i="78" s="1"/>
  <c r="R31" i="78"/>
  <c r="T31" i="78" s="1"/>
  <c r="X31" i="78" s="1"/>
  <c r="N22" i="78"/>
  <c r="O22" i="78" s="1"/>
  <c r="S27" i="78"/>
  <c r="U27" i="78" s="1"/>
  <c r="Y27" i="78" s="1"/>
  <c r="R30" i="78"/>
  <c r="T30" i="78" s="1"/>
  <c r="X30" i="78" s="1"/>
  <c r="R22" i="78"/>
  <c r="T22" i="78" s="1"/>
  <c r="X22" i="78" s="1"/>
  <c r="S18" i="78"/>
  <c r="U18" i="78" s="1"/>
  <c r="Y18" i="78" s="1"/>
  <c r="S17" i="78"/>
  <c r="U17" i="78" s="1"/>
  <c r="Y17" i="78" s="1"/>
  <c r="S19" i="78"/>
  <c r="U19" i="78" s="1"/>
  <c r="Y19" i="78" s="1"/>
  <c r="R19" i="78"/>
  <c r="T19" i="78" s="1"/>
  <c r="X19" i="78" s="1"/>
  <c r="N25" i="78"/>
  <c r="O25" i="78" s="1"/>
  <c r="R25" i="78"/>
  <c r="T25" i="78" s="1"/>
  <c r="X25" i="78" s="1"/>
  <c r="R28" i="78"/>
  <c r="T28" i="78" s="1"/>
  <c r="X28" i="78" s="1"/>
  <c r="S28" i="78"/>
  <c r="U28" i="78" s="1"/>
  <c r="Y28" i="78" s="1"/>
  <c r="S31" i="78"/>
  <c r="U31" i="78" s="1"/>
  <c r="Y31" i="78" s="1"/>
  <c r="N17" i="78"/>
  <c r="O17" i="78" s="1"/>
  <c r="S37" i="47"/>
  <c r="R37" i="47"/>
  <c r="S36" i="47"/>
  <c r="R36" i="47"/>
  <c r="S35" i="47"/>
  <c r="R35" i="47"/>
  <c r="S34" i="47"/>
  <c r="R34" i="47"/>
  <c r="S33" i="47"/>
  <c r="R33" i="47"/>
  <c r="S32" i="47"/>
  <c r="R32" i="47"/>
  <c r="S31" i="47"/>
  <c r="R31" i="47"/>
  <c r="S30" i="47"/>
  <c r="R30" i="47"/>
  <c r="S29" i="47"/>
  <c r="R29" i="47"/>
  <c r="S28" i="47"/>
  <c r="R28" i="47"/>
  <c r="S27" i="47"/>
  <c r="R27" i="47"/>
  <c r="S26" i="47"/>
  <c r="R26" i="47"/>
  <c r="S25" i="47"/>
  <c r="R25" i="47"/>
  <c r="S24" i="47"/>
  <c r="R24" i="47"/>
  <c r="S23" i="47"/>
  <c r="R23" i="47"/>
  <c r="S22" i="47"/>
  <c r="R22" i="47"/>
  <c r="S21" i="47"/>
  <c r="R21" i="47"/>
  <c r="S20" i="47"/>
  <c r="R20" i="47"/>
  <c r="S19" i="47"/>
  <c r="R19" i="47"/>
  <c r="S18" i="47"/>
  <c r="R18" i="47"/>
  <c r="S17" i="47"/>
  <c r="R17" i="47"/>
  <c r="C18" i="69"/>
  <c r="D18" i="69"/>
  <c r="E18" i="69"/>
  <c r="F18" i="69"/>
  <c r="G18" i="69"/>
  <c r="H18" i="69"/>
  <c r="I18" i="69" s="1"/>
  <c r="J18" i="69" s="1"/>
  <c r="K18" i="69" s="1"/>
  <c r="M18" i="69" s="1"/>
  <c r="N18" i="69" s="1"/>
  <c r="O18" i="69" s="1"/>
  <c r="C19" i="69"/>
  <c r="D19" i="69"/>
  <c r="E19" i="69"/>
  <c r="F19" i="69"/>
  <c r="G19" i="69"/>
  <c r="I19" i="69" s="1"/>
  <c r="J19" i="69" s="1"/>
  <c r="K19" i="69" s="1"/>
  <c r="M19" i="69" s="1"/>
  <c r="H19" i="69"/>
  <c r="C20" i="69"/>
  <c r="D20" i="69"/>
  <c r="E20" i="69"/>
  <c r="F20" i="69"/>
  <c r="G20" i="69"/>
  <c r="H20" i="69"/>
  <c r="I20" i="69" s="1"/>
  <c r="J20" i="69" s="1"/>
  <c r="K20" i="69" s="1"/>
  <c r="M20" i="69" s="1"/>
  <c r="C21" i="69"/>
  <c r="D21" i="69"/>
  <c r="E21" i="69"/>
  <c r="F21" i="69"/>
  <c r="G21" i="69"/>
  <c r="I21" i="69" s="1"/>
  <c r="J21" i="69" s="1"/>
  <c r="K21" i="69" s="1"/>
  <c r="M21" i="69" s="1"/>
  <c r="H21" i="69"/>
  <c r="C22" i="69"/>
  <c r="D22" i="69"/>
  <c r="E22" i="69"/>
  <c r="F22" i="69"/>
  <c r="G22" i="69"/>
  <c r="H22" i="69"/>
  <c r="I22" i="69" s="1"/>
  <c r="J22" i="69" s="1"/>
  <c r="K22" i="69" s="1"/>
  <c r="M22" i="69" s="1"/>
  <c r="N22" i="69" s="1"/>
  <c r="O22" i="69" s="1"/>
  <c r="C23" i="69"/>
  <c r="D23" i="69"/>
  <c r="E23" i="69"/>
  <c r="F23" i="69"/>
  <c r="G23" i="69"/>
  <c r="I23" i="69" s="1"/>
  <c r="J23" i="69" s="1"/>
  <c r="K23" i="69" s="1"/>
  <c r="M23" i="69" s="1"/>
  <c r="H23" i="69"/>
  <c r="C24" i="69"/>
  <c r="D24" i="69"/>
  <c r="E24" i="69"/>
  <c r="F24" i="69"/>
  <c r="G24" i="69"/>
  <c r="H24" i="69"/>
  <c r="H17" i="69"/>
  <c r="G17" i="69"/>
  <c r="F17" i="69"/>
  <c r="E17" i="69"/>
  <c r="D17" i="69"/>
  <c r="C17" i="69"/>
  <c r="L17" i="69" s="1"/>
  <c r="A18" i="69"/>
  <c r="B18" i="69"/>
  <c r="A19" i="69"/>
  <c r="B19" i="69"/>
  <c r="A20" i="69"/>
  <c r="B20" i="69"/>
  <c r="A21" i="69"/>
  <c r="B21" i="69"/>
  <c r="A22" i="69"/>
  <c r="B22" i="69"/>
  <c r="A23" i="69"/>
  <c r="B23" i="69"/>
  <c r="A24" i="69"/>
  <c r="B24" i="69"/>
  <c r="B17" i="69"/>
  <c r="A17" i="69"/>
  <c r="W24" i="69"/>
  <c r="V24" i="69"/>
  <c r="L24" i="69"/>
  <c r="I24" i="69"/>
  <c r="W23" i="69"/>
  <c r="V23" i="69"/>
  <c r="L23" i="69"/>
  <c r="W22" i="69"/>
  <c r="V22" i="69"/>
  <c r="L22" i="69"/>
  <c r="W21" i="69"/>
  <c r="V21" i="69"/>
  <c r="L21" i="69"/>
  <c r="W20" i="69"/>
  <c r="V20" i="69"/>
  <c r="L20" i="69"/>
  <c r="W19" i="69"/>
  <c r="V19" i="69"/>
  <c r="L19" i="69"/>
  <c r="W18" i="69"/>
  <c r="V18" i="69"/>
  <c r="L18" i="69"/>
  <c r="W17" i="69"/>
  <c r="V17" i="69"/>
  <c r="I17" i="69"/>
  <c r="J17" i="69" s="1"/>
  <c r="K17" i="69" s="1"/>
  <c r="M17" i="69" s="1"/>
  <c r="A23" i="66"/>
  <c r="B23" i="66"/>
  <c r="C23" i="66"/>
  <c r="D23" i="66"/>
  <c r="E23" i="66"/>
  <c r="F23" i="66"/>
  <c r="G23" i="66"/>
  <c r="H23" i="66"/>
  <c r="A24" i="66"/>
  <c r="B24" i="66"/>
  <c r="C24" i="66"/>
  <c r="D24" i="66"/>
  <c r="E24" i="66"/>
  <c r="F24" i="66"/>
  <c r="G24" i="66"/>
  <c r="H24" i="66"/>
  <c r="A25" i="66"/>
  <c r="B25" i="66"/>
  <c r="C25" i="66"/>
  <c r="D25" i="66"/>
  <c r="E25" i="66"/>
  <c r="F25" i="66"/>
  <c r="G25" i="66"/>
  <c r="H25" i="66"/>
  <c r="A26" i="66"/>
  <c r="B26" i="66"/>
  <c r="C26" i="66"/>
  <c r="D26" i="66"/>
  <c r="E26" i="66"/>
  <c r="F26" i="66"/>
  <c r="G26" i="66"/>
  <c r="H26" i="66"/>
  <c r="H22" i="66"/>
  <c r="G22" i="66"/>
  <c r="F22" i="66"/>
  <c r="E22" i="66"/>
  <c r="D22" i="66"/>
  <c r="C22" i="66"/>
  <c r="B22" i="66"/>
  <c r="A22" i="66"/>
  <c r="J24" i="69" l="1"/>
  <c r="K24" i="69" s="1"/>
  <c r="M24" i="69" s="1"/>
  <c r="N24" i="69" s="1"/>
  <c r="O24" i="69" s="1"/>
  <c r="T17" i="69"/>
  <c r="X17" i="69" s="1"/>
  <c r="N23" i="69"/>
  <c r="O23" i="69" s="1"/>
  <c r="U18" i="69"/>
  <c r="Y18" i="69" s="1"/>
  <c r="T21" i="69"/>
  <c r="X21" i="69" s="1"/>
  <c r="N19" i="69"/>
  <c r="O19" i="69" s="1"/>
  <c r="T23" i="69"/>
  <c r="X23" i="69" s="1"/>
  <c r="U21" i="69"/>
  <c r="Y21" i="69" s="1"/>
  <c r="N21" i="69"/>
  <c r="O21" i="69" s="1"/>
  <c r="U19" i="69"/>
  <c r="Y19" i="69" s="1"/>
  <c r="U22" i="69"/>
  <c r="Y22" i="69" s="1"/>
  <c r="U24" i="69"/>
  <c r="Y24" i="69" s="1"/>
  <c r="T24" i="69"/>
  <c r="X24" i="69" s="1"/>
  <c r="U17" i="69"/>
  <c r="Y17" i="69" s="1"/>
  <c r="N20" i="69"/>
  <c r="O20" i="69" s="1"/>
  <c r="U20" i="69"/>
  <c r="Y20" i="69" s="1"/>
  <c r="T20" i="69"/>
  <c r="X20" i="69" s="1"/>
  <c r="U23" i="69"/>
  <c r="Y23" i="69" s="1"/>
  <c r="T18" i="69"/>
  <c r="X18" i="69" s="1"/>
  <c r="T22" i="69"/>
  <c r="X22" i="69" s="1"/>
  <c r="T19" i="69"/>
  <c r="X19" i="69" s="1"/>
  <c r="H29" i="67" l="1"/>
  <c r="H28" i="67"/>
  <c r="H27" i="67"/>
  <c r="H26" i="67"/>
  <c r="H25" i="67"/>
  <c r="H24" i="67"/>
  <c r="H23" i="67"/>
  <c r="H22" i="67"/>
  <c r="H21" i="67"/>
  <c r="H20" i="67"/>
  <c r="H19" i="67"/>
  <c r="H18" i="67"/>
  <c r="H17" i="67"/>
  <c r="A18" i="67"/>
  <c r="E18" i="67"/>
  <c r="F18" i="67"/>
  <c r="G18" i="67"/>
  <c r="A19" i="67"/>
  <c r="E19" i="67"/>
  <c r="F19" i="67"/>
  <c r="G19" i="67"/>
  <c r="A20" i="67"/>
  <c r="E20" i="67"/>
  <c r="F20" i="67"/>
  <c r="G20" i="67"/>
  <c r="A21" i="67"/>
  <c r="E21" i="67"/>
  <c r="F21" i="67"/>
  <c r="G21" i="67"/>
  <c r="A22" i="67"/>
  <c r="E22" i="67"/>
  <c r="F22" i="67"/>
  <c r="G22" i="67"/>
  <c r="A23" i="67"/>
  <c r="E23" i="67"/>
  <c r="F23" i="67"/>
  <c r="G23" i="67"/>
  <c r="A24" i="67"/>
  <c r="E24" i="67"/>
  <c r="F24" i="67"/>
  <c r="G24" i="67"/>
  <c r="A25" i="67"/>
  <c r="E25" i="67"/>
  <c r="F25" i="67"/>
  <c r="G25" i="67"/>
  <c r="A26" i="67"/>
  <c r="E26" i="67"/>
  <c r="F26" i="67"/>
  <c r="G26" i="67"/>
  <c r="A27" i="67"/>
  <c r="E27" i="67"/>
  <c r="F27" i="67"/>
  <c r="G27" i="67"/>
  <c r="A28" i="67"/>
  <c r="E28" i="67"/>
  <c r="F28" i="67"/>
  <c r="G28" i="67"/>
  <c r="A29" i="67"/>
  <c r="E29" i="67"/>
  <c r="F29" i="67"/>
  <c r="G29" i="67"/>
  <c r="G17" i="67"/>
  <c r="F17" i="67"/>
  <c r="E17" i="67"/>
  <c r="A17" i="67"/>
  <c r="W29" i="67" l="1"/>
  <c r="V29" i="67"/>
  <c r="L29" i="67"/>
  <c r="I29" i="67"/>
  <c r="J29" i="67" s="1"/>
  <c r="K29" i="67" s="1"/>
  <c r="M29" i="67" s="1"/>
  <c r="N29" i="67" s="1"/>
  <c r="O29" i="67" s="1"/>
  <c r="W28" i="67"/>
  <c r="V28" i="67"/>
  <c r="L28" i="67"/>
  <c r="I28" i="67"/>
  <c r="J28" i="67" s="1"/>
  <c r="K28" i="67" s="1"/>
  <c r="M28" i="67" s="1"/>
  <c r="W27" i="67"/>
  <c r="V27" i="67"/>
  <c r="L27" i="67"/>
  <c r="I27" i="67"/>
  <c r="J27" i="67" s="1"/>
  <c r="K27" i="67" s="1"/>
  <c r="M27" i="67" s="1"/>
  <c r="N27" i="67" s="1"/>
  <c r="O27" i="67" s="1"/>
  <c r="W26" i="67"/>
  <c r="V26" i="67"/>
  <c r="L26" i="67"/>
  <c r="I26" i="67"/>
  <c r="J26" i="67" s="1"/>
  <c r="K26" i="67" s="1"/>
  <c r="M26" i="67" s="1"/>
  <c r="N26" i="67" s="1"/>
  <c r="O26" i="67" s="1"/>
  <c r="W25" i="67"/>
  <c r="V25" i="67"/>
  <c r="L25" i="67"/>
  <c r="I25" i="67"/>
  <c r="J25" i="67" s="1"/>
  <c r="K25" i="67" s="1"/>
  <c r="M25" i="67" s="1"/>
  <c r="N25" i="67" s="1"/>
  <c r="O25" i="67" s="1"/>
  <c r="W24" i="67"/>
  <c r="V24" i="67"/>
  <c r="L24" i="67"/>
  <c r="I24" i="67"/>
  <c r="J24" i="67" s="1"/>
  <c r="K24" i="67" s="1"/>
  <c r="M24" i="67" s="1"/>
  <c r="W23" i="67"/>
  <c r="V23" i="67"/>
  <c r="L23" i="67"/>
  <c r="I23" i="67"/>
  <c r="J23" i="67" s="1"/>
  <c r="K23" i="67" s="1"/>
  <c r="M23" i="67" s="1"/>
  <c r="N23" i="67" s="1"/>
  <c r="O23" i="67" s="1"/>
  <c r="W22" i="67"/>
  <c r="V22" i="67"/>
  <c r="L22" i="67"/>
  <c r="I22" i="67"/>
  <c r="J22" i="67" s="1"/>
  <c r="K22" i="67" s="1"/>
  <c r="M22" i="67" s="1"/>
  <c r="N22" i="67" s="1"/>
  <c r="O22" i="67" s="1"/>
  <c r="W21" i="67"/>
  <c r="V21" i="67"/>
  <c r="L21" i="67"/>
  <c r="I21" i="67"/>
  <c r="J21" i="67" s="1"/>
  <c r="K21" i="67" s="1"/>
  <c r="M21" i="67" s="1"/>
  <c r="N21" i="67" s="1"/>
  <c r="O21" i="67" s="1"/>
  <c r="W20" i="67"/>
  <c r="V20" i="67"/>
  <c r="L20" i="67"/>
  <c r="I20" i="67"/>
  <c r="J20" i="67" s="1"/>
  <c r="K20" i="67" s="1"/>
  <c r="M20" i="67" s="1"/>
  <c r="W19" i="67"/>
  <c r="V19" i="67"/>
  <c r="L19" i="67"/>
  <c r="I19" i="67"/>
  <c r="J19" i="67" s="1"/>
  <c r="K19" i="67" s="1"/>
  <c r="M19" i="67" s="1"/>
  <c r="N19" i="67" s="1"/>
  <c r="O19" i="67" s="1"/>
  <c r="W18" i="67"/>
  <c r="V18" i="67"/>
  <c r="L18" i="67"/>
  <c r="I18" i="67"/>
  <c r="J18" i="67" s="1"/>
  <c r="K18" i="67" s="1"/>
  <c r="M18" i="67" s="1"/>
  <c r="N18" i="67" s="1"/>
  <c r="O18" i="67" s="1"/>
  <c r="W17" i="67"/>
  <c r="V17" i="67"/>
  <c r="L17" i="67"/>
  <c r="I17" i="67"/>
  <c r="J17" i="67" s="1"/>
  <c r="K17" i="67" s="1"/>
  <c r="M17" i="67" s="1"/>
  <c r="W26" i="66"/>
  <c r="V26" i="66"/>
  <c r="L26" i="66"/>
  <c r="I26" i="66"/>
  <c r="J26" i="66" s="1"/>
  <c r="K26" i="66" s="1"/>
  <c r="M26" i="66" s="1"/>
  <c r="N26" i="66" s="1"/>
  <c r="O26" i="66" s="1"/>
  <c r="W25" i="66"/>
  <c r="V25" i="66"/>
  <c r="L25" i="66"/>
  <c r="I25" i="66"/>
  <c r="J25" i="66" s="1"/>
  <c r="K25" i="66" s="1"/>
  <c r="M25" i="66" s="1"/>
  <c r="W24" i="66"/>
  <c r="V24" i="66"/>
  <c r="L24" i="66"/>
  <c r="I24" i="66"/>
  <c r="J24" i="66" s="1"/>
  <c r="K24" i="66" s="1"/>
  <c r="M24" i="66" s="1"/>
  <c r="W23" i="66"/>
  <c r="V23" i="66"/>
  <c r="L23" i="66"/>
  <c r="I23" i="66"/>
  <c r="J23" i="66" s="1"/>
  <c r="K23" i="66" s="1"/>
  <c r="M23" i="66" s="1"/>
  <c r="N23" i="66" s="1"/>
  <c r="O23" i="66" s="1"/>
  <c r="W22" i="66"/>
  <c r="V22" i="66"/>
  <c r="L22" i="66"/>
  <c r="I22" i="66"/>
  <c r="J22" i="66" s="1"/>
  <c r="K22" i="66" s="1"/>
  <c r="M22" i="66" s="1"/>
  <c r="A18" i="65"/>
  <c r="B18" i="65"/>
  <c r="C18" i="65"/>
  <c r="D18" i="65"/>
  <c r="E18" i="65"/>
  <c r="F18" i="65"/>
  <c r="G18" i="65"/>
  <c r="I18" i="65" s="1"/>
  <c r="J18" i="65" s="1"/>
  <c r="K18" i="65" s="1"/>
  <c r="M18" i="65" s="1"/>
  <c r="N18" i="65" s="1"/>
  <c r="O18" i="65" s="1"/>
  <c r="H18" i="65"/>
  <c r="A19" i="65"/>
  <c r="B19" i="65"/>
  <c r="C19" i="65"/>
  <c r="L19" i="65" s="1"/>
  <c r="D19" i="65"/>
  <c r="E19" i="65"/>
  <c r="F19" i="65"/>
  <c r="G19" i="65"/>
  <c r="H19" i="65"/>
  <c r="A20" i="65"/>
  <c r="B20" i="65"/>
  <c r="C20" i="65"/>
  <c r="D20" i="65"/>
  <c r="E20" i="65"/>
  <c r="F20" i="65"/>
  <c r="G20" i="65"/>
  <c r="I20" i="65" s="1"/>
  <c r="J20" i="65" s="1"/>
  <c r="K20" i="65" s="1"/>
  <c r="M20" i="65" s="1"/>
  <c r="H20" i="65"/>
  <c r="A21" i="65"/>
  <c r="B21" i="65"/>
  <c r="C21" i="65"/>
  <c r="D21" i="65"/>
  <c r="E21" i="65"/>
  <c r="F21" i="65"/>
  <c r="G21" i="65"/>
  <c r="H21" i="65"/>
  <c r="A22" i="65"/>
  <c r="B22" i="65"/>
  <c r="C22" i="65"/>
  <c r="L22" i="65" s="1"/>
  <c r="D22" i="65"/>
  <c r="E22" i="65"/>
  <c r="F22" i="65"/>
  <c r="G22" i="65"/>
  <c r="I22" i="65" s="1"/>
  <c r="J22" i="65" s="1"/>
  <c r="K22" i="65" s="1"/>
  <c r="M22" i="65" s="1"/>
  <c r="H22" i="65"/>
  <c r="A23" i="65"/>
  <c r="B23" i="65"/>
  <c r="C23" i="65"/>
  <c r="L23" i="65" s="1"/>
  <c r="D23" i="65"/>
  <c r="E23" i="65"/>
  <c r="F23" i="65"/>
  <c r="G23" i="65"/>
  <c r="I23" i="65" s="1"/>
  <c r="J23" i="65" s="1"/>
  <c r="K23" i="65" s="1"/>
  <c r="M23" i="65" s="1"/>
  <c r="H23" i="65"/>
  <c r="A24" i="65"/>
  <c r="B24" i="65"/>
  <c r="C24" i="65"/>
  <c r="L24" i="65" s="1"/>
  <c r="D24" i="65"/>
  <c r="E24" i="65"/>
  <c r="F24" i="65"/>
  <c r="G24" i="65"/>
  <c r="H24" i="65"/>
  <c r="A25" i="65"/>
  <c r="B25" i="65"/>
  <c r="C25" i="65"/>
  <c r="L25" i="65" s="1"/>
  <c r="D25" i="65"/>
  <c r="E25" i="65"/>
  <c r="F25" i="65"/>
  <c r="G25" i="65"/>
  <c r="I25" i="65" s="1"/>
  <c r="J25" i="65" s="1"/>
  <c r="K25" i="65" s="1"/>
  <c r="M25" i="65" s="1"/>
  <c r="H25" i="65"/>
  <c r="A26" i="65"/>
  <c r="B26" i="65"/>
  <c r="C26" i="65"/>
  <c r="D26" i="65"/>
  <c r="E26" i="65"/>
  <c r="F26" i="65"/>
  <c r="G26" i="65"/>
  <c r="I26" i="65" s="1"/>
  <c r="J26" i="65" s="1"/>
  <c r="K26" i="65" s="1"/>
  <c r="M26" i="65" s="1"/>
  <c r="N26" i="65" s="1"/>
  <c r="O26" i="65" s="1"/>
  <c r="H26" i="65"/>
  <c r="H17" i="65"/>
  <c r="G17" i="65"/>
  <c r="F17" i="65"/>
  <c r="E17" i="65"/>
  <c r="D17" i="65"/>
  <c r="C17" i="65"/>
  <c r="L17" i="65" s="1"/>
  <c r="B17" i="65"/>
  <c r="A17" i="65"/>
  <c r="W26" i="65"/>
  <c r="V26" i="65"/>
  <c r="L26" i="65"/>
  <c r="W25" i="65"/>
  <c r="V25" i="65"/>
  <c r="W24" i="65"/>
  <c r="V24" i="65"/>
  <c r="W23" i="65"/>
  <c r="V23" i="65"/>
  <c r="W22" i="65"/>
  <c r="V22" i="65"/>
  <c r="W21" i="65"/>
  <c r="V21" i="65"/>
  <c r="L21" i="65"/>
  <c r="W20" i="65"/>
  <c r="V20" i="65"/>
  <c r="L20" i="65"/>
  <c r="W19" i="65"/>
  <c r="V19" i="65"/>
  <c r="I19" i="65"/>
  <c r="W18" i="65"/>
  <c r="V18" i="65"/>
  <c r="L18" i="65"/>
  <c r="W17" i="65"/>
  <c r="V17" i="65"/>
  <c r="A18" i="64"/>
  <c r="B18" i="64"/>
  <c r="C18" i="64"/>
  <c r="D18" i="64"/>
  <c r="E18" i="64"/>
  <c r="F18" i="64"/>
  <c r="G18" i="64"/>
  <c r="H18" i="64"/>
  <c r="A19" i="64"/>
  <c r="B19" i="64"/>
  <c r="C19" i="64"/>
  <c r="L19" i="64" s="1"/>
  <c r="D19" i="64"/>
  <c r="E19" i="64"/>
  <c r="F19" i="64"/>
  <c r="G19" i="64"/>
  <c r="H19" i="64"/>
  <c r="A20" i="64"/>
  <c r="B20" i="64"/>
  <c r="C20" i="64"/>
  <c r="D20" i="64"/>
  <c r="E20" i="64"/>
  <c r="F20" i="64"/>
  <c r="G20" i="64"/>
  <c r="I20" i="64" s="1"/>
  <c r="J20" i="64" s="1"/>
  <c r="K20" i="64" s="1"/>
  <c r="M20" i="64" s="1"/>
  <c r="H20" i="64"/>
  <c r="A21" i="64"/>
  <c r="B21" i="64"/>
  <c r="C21" i="64"/>
  <c r="D21" i="64"/>
  <c r="E21" i="64"/>
  <c r="F21" i="64"/>
  <c r="G21" i="64"/>
  <c r="H21" i="64"/>
  <c r="A22" i="64"/>
  <c r="B22" i="64"/>
  <c r="C22" i="64"/>
  <c r="L22" i="64" s="1"/>
  <c r="D22" i="64"/>
  <c r="E22" i="64"/>
  <c r="F22" i="64"/>
  <c r="G22" i="64"/>
  <c r="H22" i="64"/>
  <c r="A23" i="64"/>
  <c r="B23" i="64"/>
  <c r="C23" i="64"/>
  <c r="D23" i="64"/>
  <c r="E23" i="64"/>
  <c r="F23" i="64"/>
  <c r="G23" i="64"/>
  <c r="I23" i="64" s="1"/>
  <c r="J23" i="64" s="1"/>
  <c r="K23" i="64" s="1"/>
  <c r="M23" i="64" s="1"/>
  <c r="N23" i="64" s="1"/>
  <c r="O23" i="64" s="1"/>
  <c r="H23" i="64"/>
  <c r="A24" i="64"/>
  <c r="B24" i="64"/>
  <c r="C24" i="64"/>
  <c r="D24" i="64"/>
  <c r="E24" i="64"/>
  <c r="F24" i="64"/>
  <c r="G24" i="64"/>
  <c r="H24" i="64"/>
  <c r="A25" i="64"/>
  <c r="B25" i="64"/>
  <c r="C25" i="64"/>
  <c r="L25" i="64" s="1"/>
  <c r="D25" i="64"/>
  <c r="E25" i="64"/>
  <c r="F25" i="64"/>
  <c r="G25" i="64"/>
  <c r="H25" i="64"/>
  <c r="A26" i="64"/>
  <c r="B26" i="64"/>
  <c r="C26" i="64"/>
  <c r="D26" i="64"/>
  <c r="E26" i="64"/>
  <c r="F26" i="64"/>
  <c r="G26" i="64"/>
  <c r="I26" i="64" s="1"/>
  <c r="J26" i="64" s="1"/>
  <c r="K26" i="64" s="1"/>
  <c r="M26" i="64" s="1"/>
  <c r="N26" i="64" s="1"/>
  <c r="O26" i="64" s="1"/>
  <c r="H26" i="64"/>
  <c r="A27" i="64"/>
  <c r="B27" i="64"/>
  <c r="C27" i="64"/>
  <c r="D27" i="64"/>
  <c r="E27" i="64"/>
  <c r="F27" i="64"/>
  <c r="G27" i="64"/>
  <c r="I27" i="64" s="1"/>
  <c r="H27" i="64"/>
  <c r="A28" i="64"/>
  <c r="B28" i="64"/>
  <c r="C28" i="64"/>
  <c r="L28" i="64" s="1"/>
  <c r="D28" i="64"/>
  <c r="E28" i="64"/>
  <c r="F28" i="64"/>
  <c r="G28" i="64"/>
  <c r="H28" i="64"/>
  <c r="A29" i="64"/>
  <c r="B29" i="64"/>
  <c r="C29" i="64"/>
  <c r="D29" i="64"/>
  <c r="E29" i="64"/>
  <c r="F29" i="64"/>
  <c r="G29" i="64"/>
  <c r="I29" i="64" s="1"/>
  <c r="J29" i="64" s="1"/>
  <c r="K29" i="64" s="1"/>
  <c r="M29" i="64" s="1"/>
  <c r="N29" i="64" s="1"/>
  <c r="O29" i="64" s="1"/>
  <c r="H29" i="64"/>
  <c r="A30" i="64"/>
  <c r="B30" i="64"/>
  <c r="C30" i="64"/>
  <c r="D30" i="64"/>
  <c r="E30" i="64"/>
  <c r="F30" i="64"/>
  <c r="G30" i="64"/>
  <c r="H30" i="64"/>
  <c r="A31" i="64"/>
  <c r="B31" i="64"/>
  <c r="C31" i="64"/>
  <c r="L31" i="64" s="1"/>
  <c r="D31" i="64"/>
  <c r="E31" i="64"/>
  <c r="F31" i="64"/>
  <c r="G31" i="64"/>
  <c r="H31" i="64"/>
  <c r="A32" i="64"/>
  <c r="B32" i="64"/>
  <c r="C32" i="64"/>
  <c r="D32" i="64"/>
  <c r="E32" i="64"/>
  <c r="F32" i="64"/>
  <c r="G32" i="64"/>
  <c r="I32" i="64" s="1"/>
  <c r="J32" i="64" s="1"/>
  <c r="K32" i="64" s="1"/>
  <c r="M32" i="64" s="1"/>
  <c r="H32" i="64"/>
  <c r="H17" i="64"/>
  <c r="G17" i="64"/>
  <c r="F17" i="64"/>
  <c r="E17" i="64"/>
  <c r="D17" i="64"/>
  <c r="C17" i="64"/>
  <c r="L17" i="64" s="1"/>
  <c r="B17" i="64"/>
  <c r="A17" i="64"/>
  <c r="W32" i="64"/>
  <c r="V32" i="64"/>
  <c r="L32" i="64"/>
  <c r="W31" i="64"/>
  <c r="V31" i="64"/>
  <c r="I31" i="64"/>
  <c r="W30" i="64"/>
  <c r="V30" i="64"/>
  <c r="L30" i="64"/>
  <c r="I30" i="64"/>
  <c r="W29" i="64"/>
  <c r="V29" i="64"/>
  <c r="L29" i="64"/>
  <c r="W28" i="64"/>
  <c r="V28" i="64"/>
  <c r="I28" i="64"/>
  <c r="W27" i="64"/>
  <c r="V27" i="64"/>
  <c r="L27" i="64"/>
  <c r="W26" i="64"/>
  <c r="V26" i="64"/>
  <c r="L26" i="64"/>
  <c r="W25" i="64"/>
  <c r="V25" i="64"/>
  <c r="I25" i="64"/>
  <c r="W24" i="64"/>
  <c r="V24" i="64"/>
  <c r="L24" i="64"/>
  <c r="I24" i="64"/>
  <c r="W23" i="64"/>
  <c r="V23" i="64"/>
  <c r="L23" i="64"/>
  <c r="W22" i="64"/>
  <c r="V22" i="64"/>
  <c r="I22" i="64"/>
  <c r="W21" i="64"/>
  <c r="V21" i="64"/>
  <c r="L21" i="64"/>
  <c r="I21" i="64"/>
  <c r="W20" i="64"/>
  <c r="V20" i="64"/>
  <c r="L20" i="64"/>
  <c r="W19" i="64"/>
  <c r="V19" i="64"/>
  <c r="I19" i="64"/>
  <c r="W18" i="64"/>
  <c r="V18" i="64"/>
  <c r="L18" i="64"/>
  <c r="I18" i="64"/>
  <c r="J18" i="64" s="1"/>
  <c r="K18" i="64" s="1"/>
  <c r="M18" i="64" s="1"/>
  <c r="N18" i="64" s="1"/>
  <c r="O18" i="64" s="1"/>
  <c r="W17" i="64"/>
  <c r="V17" i="64"/>
  <c r="H158" i="63"/>
  <c r="G158" i="63"/>
  <c r="F158" i="63"/>
  <c r="E158" i="63"/>
  <c r="D158" i="63"/>
  <c r="C158" i="63"/>
  <c r="B158" i="63"/>
  <c r="A158" i="63"/>
  <c r="H157" i="63"/>
  <c r="G157" i="63"/>
  <c r="F157" i="63"/>
  <c r="E157" i="63"/>
  <c r="D157" i="63"/>
  <c r="C157" i="63"/>
  <c r="B157" i="63"/>
  <c r="A157" i="63"/>
  <c r="H156" i="63"/>
  <c r="G156" i="63"/>
  <c r="F156" i="63"/>
  <c r="E156" i="63"/>
  <c r="D156" i="63"/>
  <c r="C156" i="63"/>
  <c r="B156" i="63"/>
  <c r="A156" i="63"/>
  <c r="H155" i="63"/>
  <c r="G155" i="63"/>
  <c r="F155" i="63"/>
  <c r="E155" i="63"/>
  <c r="D155" i="63"/>
  <c r="C155" i="63"/>
  <c r="B155" i="63"/>
  <c r="A155" i="63"/>
  <c r="H154" i="63"/>
  <c r="G154" i="63"/>
  <c r="F154" i="63"/>
  <c r="E154" i="63"/>
  <c r="D154" i="63"/>
  <c r="C154" i="63"/>
  <c r="B154" i="63"/>
  <c r="A154" i="63"/>
  <c r="H153" i="63"/>
  <c r="G153" i="63"/>
  <c r="F153" i="63"/>
  <c r="E153" i="63"/>
  <c r="D153" i="63"/>
  <c r="C153" i="63"/>
  <c r="B153" i="63"/>
  <c r="A153" i="63"/>
  <c r="H152" i="63"/>
  <c r="G152" i="63"/>
  <c r="F152" i="63"/>
  <c r="E152" i="63"/>
  <c r="D152" i="63"/>
  <c r="C152" i="63"/>
  <c r="B152" i="63"/>
  <c r="A152" i="63"/>
  <c r="H151" i="63"/>
  <c r="G151" i="63"/>
  <c r="F151" i="63"/>
  <c r="E151" i="63"/>
  <c r="D151" i="63"/>
  <c r="C151" i="63"/>
  <c r="B151" i="63"/>
  <c r="A151" i="63"/>
  <c r="H147" i="63"/>
  <c r="I147" i="63" s="1"/>
  <c r="J147" i="63" s="1"/>
  <c r="K147" i="63" s="1"/>
  <c r="M147" i="63" s="1"/>
  <c r="G147" i="63"/>
  <c r="F147" i="63"/>
  <c r="E147" i="63"/>
  <c r="D147" i="63"/>
  <c r="C147" i="63"/>
  <c r="B147" i="63"/>
  <c r="A147" i="63"/>
  <c r="H146" i="63"/>
  <c r="G146" i="63"/>
  <c r="I146" i="63" s="1"/>
  <c r="J146" i="63" s="1"/>
  <c r="K146" i="63" s="1"/>
  <c r="M146" i="63" s="1"/>
  <c r="F146" i="63"/>
  <c r="E146" i="63"/>
  <c r="D146" i="63"/>
  <c r="C146" i="63"/>
  <c r="B146" i="63"/>
  <c r="A146" i="63"/>
  <c r="H145" i="63"/>
  <c r="I145" i="63" s="1"/>
  <c r="J145" i="63" s="1"/>
  <c r="K145" i="63" s="1"/>
  <c r="M145" i="63" s="1"/>
  <c r="G145" i="63"/>
  <c r="F145" i="63"/>
  <c r="E145" i="63"/>
  <c r="D145" i="63"/>
  <c r="C145" i="63"/>
  <c r="L145" i="63" s="1"/>
  <c r="B145" i="63"/>
  <c r="A145" i="63"/>
  <c r="H144" i="63"/>
  <c r="G144" i="63"/>
  <c r="F144" i="63"/>
  <c r="E144" i="63"/>
  <c r="D144" i="63"/>
  <c r="C144" i="63"/>
  <c r="B144" i="63"/>
  <c r="A144" i="63"/>
  <c r="H143" i="63"/>
  <c r="G143" i="63"/>
  <c r="I143" i="63" s="1"/>
  <c r="J143" i="63" s="1"/>
  <c r="K143" i="63" s="1"/>
  <c r="M143" i="63" s="1"/>
  <c r="F143" i="63"/>
  <c r="E143" i="63"/>
  <c r="D143" i="63"/>
  <c r="C143" i="63"/>
  <c r="B143" i="63"/>
  <c r="A143" i="63"/>
  <c r="H142" i="63"/>
  <c r="I142" i="63" s="1"/>
  <c r="J142" i="63" s="1"/>
  <c r="K142" i="63" s="1"/>
  <c r="M142" i="63" s="1"/>
  <c r="G142" i="63"/>
  <c r="F142" i="63"/>
  <c r="E142" i="63"/>
  <c r="D142" i="63"/>
  <c r="C142" i="63"/>
  <c r="L142" i="63" s="1"/>
  <c r="B142" i="63"/>
  <c r="A142" i="63"/>
  <c r="H141" i="63"/>
  <c r="G141" i="63"/>
  <c r="F141" i="63"/>
  <c r="E141" i="63"/>
  <c r="D141" i="63"/>
  <c r="C141" i="63"/>
  <c r="B141" i="63"/>
  <c r="A141" i="63"/>
  <c r="H140" i="63"/>
  <c r="G140" i="63"/>
  <c r="F140" i="63"/>
  <c r="E140" i="63"/>
  <c r="D140" i="63"/>
  <c r="C140" i="63"/>
  <c r="B140" i="63"/>
  <c r="A140" i="63"/>
  <c r="H136" i="63"/>
  <c r="I136" i="63" s="1"/>
  <c r="J136" i="63" s="1"/>
  <c r="K136" i="63" s="1"/>
  <c r="M136" i="63" s="1"/>
  <c r="G136" i="63"/>
  <c r="F136" i="63"/>
  <c r="E136" i="63"/>
  <c r="D136" i="63"/>
  <c r="C136" i="63"/>
  <c r="B136" i="63"/>
  <c r="A136" i="63"/>
  <c r="H135" i="63"/>
  <c r="G135" i="63"/>
  <c r="I135" i="63" s="1"/>
  <c r="J135" i="63" s="1"/>
  <c r="K135" i="63" s="1"/>
  <c r="M135" i="63" s="1"/>
  <c r="F135" i="63"/>
  <c r="E135" i="63"/>
  <c r="D135" i="63"/>
  <c r="C135" i="63"/>
  <c r="B135" i="63"/>
  <c r="A135" i="63"/>
  <c r="H134" i="63"/>
  <c r="G134" i="63"/>
  <c r="F134" i="63"/>
  <c r="E134" i="63"/>
  <c r="D134" i="63"/>
  <c r="C134" i="63"/>
  <c r="L134" i="63" s="1"/>
  <c r="B134" i="63"/>
  <c r="A134" i="63"/>
  <c r="H133" i="63"/>
  <c r="I133" i="63" s="1"/>
  <c r="J133" i="63" s="1"/>
  <c r="K133" i="63" s="1"/>
  <c r="M133" i="63" s="1"/>
  <c r="G133" i="63"/>
  <c r="F133" i="63"/>
  <c r="E133" i="63"/>
  <c r="D133" i="63"/>
  <c r="C133" i="63"/>
  <c r="B133" i="63"/>
  <c r="A133" i="63"/>
  <c r="H132" i="63"/>
  <c r="G132" i="63"/>
  <c r="F132" i="63"/>
  <c r="E132" i="63"/>
  <c r="D132" i="63"/>
  <c r="C132" i="63"/>
  <c r="B132" i="63"/>
  <c r="A132" i="63"/>
  <c r="H131" i="63"/>
  <c r="G131" i="63"/>
  <c r="I131" i="63" s="1"/>
  <c r="J131" i="63" s="1"/>
  <c r="K131" i="63" s="1"/>
  <c r="M131" i="63" s="1"/>
  <c r="F131" i="63"/>
  <c r="E131" i="63"/>
  <c r="D131" i="63"/>
  <c r="C131" i="63"/>
  <c r="B131" i="63"/>
  <c r="A131" i="63"/>
  <c r="H130" i="63"/>
  <c r="I130" i="63" s="1"/>
  <c r="J130" i="63" s="1"/>
  <c r="K130" i="63" s="1"/>
  <c r="M130" i="63" s="1"/>
  <c r="G130" i="63"/>
  <c r="F130" i="63"/>
  <c r="E130" i="63"/>
  <c r="D130" i="63"/>
  <c r="C130" i="63"/>
  <c r="B130" i="63"/>
  <c r="A130" i="63"/>
  <c r="H129" i="63"/>
  <c r="G129" i="63"/>
  <c r="I129" i="63" s="1"/>
  <c r="J129" i="63" s="1"/>
  <c r="K129" i="63" s="1"/>
  <c r="M129" i="63" s="1"/>
  <c r="F129" i="63"/>
  <c r="E129" i="63"/>
  <c r="D129" i="63"/>
  <c r="C129" i="63"/>
  <c r="B129" i="63"/>
  <c r="A129" i="63"/>
  <c r="H125" i="63"/>
  <c r="I125" i="63" s="1"/>
  <c r="J125" i="63" s="1"/>
  <c r="K125" i="63" s="1"/>
  <c r="M125" i="63" s="1"/>
  <c r="N125" i="63" s="1"/>
  <c r="O125" i="63" s="1"/>
  <c r="G125" i="63"/>
  <c r="F125" i="63"/>
  <c r="E125" i="63"/>
  <c r="D125" i="63"/>
  <c r="C125" i="63"/>
  <c r="B125" i="63"/>
  <c r="A125" i="63"/>
  <c r="H124" i="63"/>
  <c r="I124" i="63" s="1"/>
  <c r="J124" i="63" s="1"/>
  <c r="K124" i="63" s="1"/>
  <c r="M124" i="63" s="1"/>
  <c r="G124" i="63"/>
  <c r="F124" i="63"/>
  <c r="E124" i="63"/>
  <c r="D124" i="63"/>
  <c r="C124" i="63"/>
  <c r="B124" i="63"/>
  <c r="A124" i="63"/>
  <c r="H123" i="63"/>
  <c r="G123" i="63"/>
  <c r="F123" i="63"/>
  <c r="E123" i="63"/>
  <c r="D123" i="63"/>
  <c r="C123" i="63"/>
  <c r="B123" i="63"/>
  <c r="A123" i="63"/>
  <c r="H122" i="63"/>
  <c r="I122" i="63" s="1"/>
  <c r="J122" i="63" s="1"/>
  <c r="K122" i="63" s="1"/>
  <c r="M122" i="63" s="1"/>
  <c r="N122" i="63" s="1"/>
  <c r="O122" i="63" s="1"/>
  <c r="G122" i="63"/>
  <c r="F122" i="63"/>
  <c r="E122" i="63"/>
  <c r="D122" i="63"/>
  <c r="C122" i="63"/>
  <c r="B122" i="63"/>
  <c r="A122" i="63"/>
  <c r="H121" i="63"/>
  <c r="I121" i="63" s="1"/>
  <c r="J121" i="63" s="1"/>
  <c r="K121" i="63" s="1"/>
  <c r="M121" i="63" s="1"/>
  <c r="N121" i="63" s="1"/>
  <c r="O121" i="63" s="1"/>
  <c r="G121" i="63"/>
  <c r="F121" i="63"/>
  <c r="E121" i="63"/>
  <c r="D121" i="63"/>
  <c r="C121" i="63"/>
  <c r="B121" i="63"/>
  <c r="A121" i="63"/>
  <c r="H120" i="63"/>
  <c r="G120" i="63"/>
  <c r="F120" i="63"/>
  <c r="E120" i="63"/>
  <c r="D120" i="63"/>
  <c r="C120" i="63"/>
  <c r="B120" i="63"/>
  <c r="A120" i="63"/>
  <c r="H119" i="63"/>
  <c r="I119" i="63" s="1"/>
  <c r="J119" i="63" s="1"/>
  <c r="K119" i="63" s="1"/>
  <c r="M119" i="63" s="1"/>
  <c r="N119" i="63" s="1"/>
  <c r="O119" i="63" s="1"/>
  <c r="G119" i="63"/>
  <c r="F119" i="63"/>
  <c r="E119" i="63"/>
  <c r="D119" i="63"/>
  <c r="C119" i="63"/>
  <c r="B119" i="63"/>
  <c r="A119" i="63"/>
  <c r="H118" i="63"/>
  <c r="I118" i="63" s="1"/>
  <c r="J118" i="63" s="1"/>
  <c r="K118" i="63" s="1"/>
  <c r="M118" i="63" s="1"/>
  <c r="N118" i="63" s="1"/>
  <c r="O118" i="63" s="1"/>
  <c r="G118" i="63"/>
  <c r="F118" i="63"/>
  <c r="E118" i="63"/>
  <c r="D118" i="63"/>
  <c r="C118" i="63"/>
  <c r="B118" i="63"/>
  <c r="A118" i="63"/>
  <c r="H114" i="63"/>
  <c r="G114" i="63"/>
  <c r="I114" i="63" s="1"/>
  <c r="J114" i="63" s="1"/>
  <c r="K114" i="63" s="1"/>
  <c r="M114" i="63" s="1"/>
  <c r="N114" i="63" s="1"/>
  <c r="O114" i="63" s="1"/>
  <c r="F114" i="63"/>
  <c r="E114" i="63"/>
  <c r="D114" i="63"/>
  <c r="C114" i="63"/>
  <c r="B114" i="63"/>
  <c r="A114" i="63"/>
  <c r="H113" i="63"/>
  <c r="G113" i="63"/>
  <c r="F113" i="63"/>
  <c r="E113" i="63"/>
  <c r="D113" i="63"/>
  <c r="C113" i="63"/>
  <c r="L113" i="63" s="1"/>
  <c r="B113" i="63"/>
  <c r="A113" i="63"/>
  <c r="H112" i="63"/>
  <c r="G112" i="63"/>
  <c r="I112" i="63" s="1"/>
  <c r="J112" i="63" s="1"/>
  <c r="K112" i="63" s="1"/>
  <c r="M112" i="63" s="1"/>
  <c r="N112" i="63" s="1"/>
  <c r="O112" i="63" s="1"/>
  <c r="F112" i="63"/>
  <c r="E112" i="63"/>
  <c r="D112" i="63"/>
  <c r="C112" i="63"/>
  <c r="B112" i="63"/>
  <c r="A112" i="63"/>
  <c r="H111" i="63"/>
  <c r="G111" i="63"/>
  <c r="I111" i="63" s="1"/>
  <c r="J111" i="63" s="1"/>
  <c r="K111" i="63" s="1"/>
  <c r="M111" i="63" s="1"/>
  <c r="N111" i="63" s="1"/>
  <c r="O111" i="63" s="1"/>
  <c r="F111" i="63"/>
  <c r="E111" i="63"/>
  <c r="D111" i="63"/>
  <c r="C111" i="63"/>
  <c r="B111" i="63"/>
  <c r="A111" i="63"/>
  <c r="H110" i="63"/>
  <c r="G110" i="63"/>
  <c r="F110" i="63"/>
  <c r="E110" i="63"/>
  <c r="D110" i="63"/>
  <c r="C110" i="63"/>
  <c r="L110" i="63" s="1"/>
  <c r="B110" i="63"/>
  <c r="A110" i="63"/>
  <c r="H109" i="63"/>
  <c r="G109" i="63"/>
  <c r="I109" i="63" s="1"/>
  <c r="J109" i="63" s="1"/>
  <c r="K109" i="63" s="1"/>
  <c r="M109" i="63" s="1"/>
  <c r="F109" i="63"/>
  <c r="E109" i="63"/>
  <c r="D109" i="63"/>
  <c r="C109" i="63"/>
  <c r="B109" i="63"/>
  <c r="A109" i="63"/>
  <c r="H108" i="63"/>
  <c r="G108" i="63"/>
  <c r="I108" i="63" s="1"/>
  <c r="J108" i="63" s="1"/>
  <c r="K108" i="63" s="1"/>
  <c r="M108" i="63" s="1"/>
  <c r="N108" i="63" s="1"/>
  <c r="O108" i="63" s="1"/>
  <c r="F108" i="63"/>
  <c r="E108" i="63"/>
  <c r="D108" i="63"/>
  <c r="C108" i="63"/>
  <c r="B108" i="63"/>
  <c r="A108" i="63"/>
  <c r="H107" i="63"/>
  <c r="G107" i="63"/>
  <c r="F107" i="63"/>
  <c r="E107" i="63"/>
  <c r="D107" i="63"/>
  <c r="C107" i="63"/>
  <c r="L107" i="63" s="1"/>
  <c r="B107" i="63"/>
  <c r="A107" i="63"/>
  <c r="H103" i="63"/>
  <c r="I103" i="63" s="1"/>
  <c r="J103" i="63" s="1"/>
  <c r="K103" i="63" s="1"/>
  <c r="M103" i="63" s="1"/>
  <c r="N103" i="63" s="1"/>
  <c r="O103" i="63" s="1"/>
  <c r="G103" i="63"/>
  <c r="F103" i="63"/>
  <c r="E103" i="63"/>
  <c r="D103" i="63"/>
  <c r="C103" i="63"/>
  <c r="L103" i="63" s="1"/>
  <c r="B103" i="63"/>
  <c r="A103" i="63"/>
  <c r="H102" i="63"/>
  <c r="G102" i="63"/>
  <c r="I102" i="63" s="1"/>
  <c r="J102" i="63" s="1"/>
  <c r="K102" i="63" s="1"/>
  <c r="M102" i="63" s="1"/>
  <c r="F102" i="63"/>
  <c r="E102" i="63"/>
  <c r="D102" i="63"/>
  <c r="C102" i="63"/>
  <c r="B102" i="63"/>
  <c r="A102" i="63"/>
  <c r="H101" i="63"/>
  <c r="G101" i="63"/>
  <c r="I101" i="63" s="1"/>
  <c r="J101" i="63" s="1"/>
  <c r="K101" i="63" s="1"/>
  <c r="M101" i="63" s="1"/>
  <c r="F101" i="63"/>
  <c r="E101" i="63"/>
  <c r="D101" i="63"/>
  <c r="C101" i="63"/>
  <c r="L101" i="63" s="1"/>
  <c r="B101" i="63"/>
  <c r="A101" i="63"/>
  <c r="H100" i="63"/>
  <c r="I100" i="63" s="1"/>
  <c r="J100" i="63" s="1"/>
  <c r="K100" i="63" s="1"/>
  <c r="M100" i="63" s="1"/>
  <c r="N100" i="63" s="1"/>
  <c r="O100" i="63" s="1"/>
  <c r="G100" i="63"/>
  <c r="F100" i="63"/>
  <c r="E100" i="63"/>
  <c r="D100" i="63"/>
  <c r="C100" i="63"/>
  <c r="L100" i="63" s="1"/>
  <c r="B100" i="63"/>
  <c r="A100" i="63"/>
  <c r="H99" i="63"/>
  <c r="G99" i="63"/>
  <c r="I99" i="63" s="1"/>
  <c r="J99" i="63" s="1"/>
  <c r="K99" i="63" s="1"/>
  <c r="M99" i="63" s="1"/>
  <c r="N99" i="63" s="1"/>
  <c r="O99" i="63" s="1"/>
  <c r="F99" i="63"/>
  <c r="E99" i="63"/>
  <c r="D99" i="63"/>
  <c r="C99" i="63"/>
  <c r="B99" i="63"/>
  <c r="A99" i="63"/>
  <c r="H98" i="63"/>
  <c r="G98" i="63"/>
  <c r="I98" i="63" s="1"/>
  <c r="J98" i="63" s="1"/>
  <c r="K98" i="63" s="1"/>
  <c r="M98" i="63" s="1"/>
  <c r="F98" i="63"/>
  <c r="E98" i="63"/>
  <c r="D98" i="63"/>
  <c r="C98" i="63"/>
  <c r="L98" i="63" s="1"/>
  <c r="B98" i="63"/>
  <c r="A98" i="63"/>
  <c r="H97" i="63"/>
  <c r="I97" i="63" s="1"/>
  <c r="J97" i="63" s="1"/>
  <c r="K97" i="63" s="1"/>
  <c r="M97" i="63" s="1"/>
  <c r="N97" i="63" s="1"/>
  <c r="O97" i="63" s="1"/>
  <c r="G97" i="63"/>
  <c r="F97" i="63"/>
  <c r="E97" i="63"/>
  <c r="D97" i="63"/>
  <c r="C97" i="63"/>
  <c r="L97" i="63" s="1"/>
  <c r="B97" i="63"/>
  <c r="A97" i="63"/>
  <c r="H96" i="63"/>
  <c r="G96" i="63"/>
  <c r="I96" i="63" s="1"/>
  <c r="J96" i="63" s="1"/>
  <c r="K96" i="63" s="1"/>
  <c r="M96" i="63" s="1"/>
  <c r="N96" i="63" s="1"/>
  <c r="O96" i="63" s="1"/>
  <c r="F96" i="63"/>
  <c r="E96" i="63"/>
  <c r="D96" i="63"/>
  <c r="C96" i="63"/>
  <c r="B96" i="63"/>
  <c r="A96" i="63"/>
  <c r="H92" i="63"/>
  <c r="G92" i="63"/>
  <c r="F92" i="63"/>
  <c r="E92" i="63"/>
  <c r="D92" i="63"/>
  <c r="C92" i="63"/>
  <c r="B92" i="63"/>
  <c r="A92" i="63"/>
  <c r="H91" i="63"/>
  <c r="G91" i="63"/>
  <c r="F91" i="63"/>
  <c r="E91" i="63"/>
  <c r="D91" i="63"/>
  <c r="C91" i="63"/>
  <c r="B91" i="63"/>
  <c r="A91" i="63"/>
  <c r="H90" i="63"/>
  <c r="G90" i="63"/>
  <c r="I90" i="63" s="1"/>
  <c r="J90" i="63" s="1"/>
  <c r="K90" i="63" s="1"/>
  <c r="M90" i="63" s="1"/>
  <c r="N90" i="63" s="1"/>
  <c r="O90" i="63" s="1"/>
  <c r="F90" i="63"/>
  <c r="E90" i="63"/>
  <c r="D90" i="63"/>
  <c r="C90" i="63"/>
  <c r="B90" i="63"/>
  <c r="A90" i="63"/>
  <c r="H89" i="63"/>
  <c r="G89" i="63"/>
  <c r="F89" i="63"/>
  <c r="E89" i="63"/>
  <c r="D89" i="63"/>
  <c r="C89" i="63"/>
  <c r="B89" i="63"/>
  <c r="A89" i="63"/>
  <c r="H88" i="63"/>
  <c r="G88" i="63"/>
  <c r="F88" i="63"/>
  <c r="E88" i="63"/>
  <c r="D88" i="63"/>
  <c r="C88" i="63"/>
  <c r="B88" i="63"/>
  <c r="A88" i="63"/>
  <c r="H87" i="63"/>
  <c r="G87" i="63"/>
  <c r="I87" i="63" s="1"/>
  <c r="J87" i="63" s="1"/>
  <c r="K87" i="63" s="1"/>
  <c r="M87" i="63" s="1"/>
  <c r="F87" i="63"/>
  <c r="E87" i="63"/>
  <c r="D87" i="63"/>
  <c r="C87" i="63"/>
  <c r="B87" i="63"/>
  <c r="A87" i="63"/>
  <c r="H86" i="63"/>
  <c r="G86" i="63"/>
  <c r="F86" i="63"/>
  <c r="E86" i="63"/>
  <c r="D86" i="63"/>
  <c r="C86" i="63"/>
  <c r="B86" i="63"/>
  <c r="A86" i="63"/>
  <c r="H85" i="63"/>
  <c r="G85" i="63"/>
  <c r="F85" i="63"/>
  <c r="E85" i="63"/>
  <c r="D85" i="63"/>
  <c r="C85" i="63"/>
  <c r="B85" i="63"/>
  <c r="A85" i="63"/>
  <c r="H81" i="63"/>
  <c r="G81" i="63"/>
  <c r="F81" i="63"/>
  <c r="E81" i="63"/>
  <c r="D81" i="63"/>
  <c r="C81" i="63"/>
  <c r="B81" i="63"/>
  <c r="A81" i="63"/>
  <c r="H80" i="63"/>
  <c r="G80" i="63"/>
  <c r="I80" i="63" s="1"/>
  <c r="J80" i="63" s="1"/>
  <c r="K80" i="63" s="1"/>
  <c r="M80" i="63" s="1"/>
  <c r="F80" i="63"/>
  <c r="E80" i="63"/>
  <c r="D80" i="63"/>
  <c r="C80" i="63"/>
  <c r="B80" i="63"/>
  <c r="A80" i="63"/>
  <c r="H79" i="63"/>
  <c r="G79" i="63"/>
  <c r="F79" i="63"/>
  <c r="E79" i="63"/>
  <c r="D79" i="63"/>
  <c r="C79" i="63"/>
  <c r="B79" i="63"/>
  <c r="A79" i="63"/>
  <c r="H78" i="63"/>
  <c r="I78" i="63" s="1"/>
  <c r="J78" i="63" s="1"/>
  <c r="K78" i="63" s="1"/>
  <c r="M78" i="63" s="1"/>
  <c r="G78" i="63"/>
  <c r="F78" i="63"/>
  <c r="E78" i="63"/>
  <c r="D78" i="63"/>
  <c r="C78" i="63"/>
  <c r="B78" i="63"/>
  <c r="A78" i="63"/>
  <c r="H77" i="63"/>
  <c r="G77" i="63"/>
  <c r="F77" i="63"/>
  <c r="E77" i="63"/>
  <c r="D77" i="63"/>
  <c r="C77" i="63"/>
  <c r="B77" i="63"/>
  <c r="A77" i="63"/>
  <c r="H76" i="63"/>
  <c r="G76" i="63"/>
  <c r="F76" i="63"/>
  <c r="E76" i="63"/>
  <c r="D76" i="63"/>
  <c r="C76" i="63"/>
  <c r="B76" i="63"/>
  <c r="A76" i="63"/>
  <c r="H75" i="63"/>
  <c r="G75" i="63"/>
  <c r="F75" i="63"/>
  <c r="E75" i="63"/>
  <c r="D75" i="63"/>
  <c r="C75" i="63"/>
  <c r="B75" i="63"/>
  <c r="A75" i="63"/>
  <c r="H74" i="63"/>
  <c r="I74" i="63" s="1"/>
  <c r="J74" i="63" s="1"/>
  <c r="K74" i="63" s="1"/>
  <c r="M74" i="63" s="1"/>
  <c r="G74" i="63"/>
  <c r="F74" i="63"/>
  <c r="E74" i="63"/>
  <c r="D74" i="63"/>
  <c r="C74" i="63"/>
  <c r="B74" i="63"/>
  <c r="A74" i="63"/>
  <c r="H70" i="63"/>
  <c r="G70" i="63"/>
  <c r="F70" i="63"/>
  <c r="E70" i="63"/>
  <c r="D70" i="63"/>
  <c r="C70" i="63"/>
  <c r="B70" i="63"/>
  <c r="A70" i="63"/>
  <c r="H69" i="63"/>
  <c r="G69" i="63"/>
  <c r="F69" i="63"/>
  <c r="E69" i="63"/>
  <c r="D69" i="63"/>
  <c r="C69" i="63"/>
  <c r="B69" i="63"/>
  <c r="A69" i="63"/>
  <c r="H68" i="63"/>
  <c r="G68" i="63"/>
  <c r="I68" i="63" s="1"/>
  <c r="J68" i="63" s="1"/>
  <c r="K68" i="63" s="1"/>
  <c r="M68" i="63" s="1"/>
  <c r="N68" i="63" s="1"/>
  <c r="O68" i="63" s="1"/>
  <c r="F68" i="63"/>
  <c r="E68" i="63"/>
  <c r="D68" i="63"/>
  <c r="C68" i="63"/>
  <c r="B68" i="63"/>
  <c r="A68" i="63"/>
  <c r="H67" i="63"/>
  <c r="I67" i="63" s="1"/>
  <c r="J67" i="63" s="1"/>
  <c r="K67" i="63" s="1"/>
  <c r="M67" i="63" s="1"/>
  <c r="G67" i="63"/>
  <c r="F67" i="63"/>
  <c r="E67" i="63"/>
  <c r="D67" i="63"/>
  <c r="C67" i="63"/>
  <c r="L67" i="63" s="1"/>
  <c r="B67" i="63"/>
  <c r="A67" i="63"/>
  <c r="H66" i="63"/>
  <c r="G66" i="63"/>
  <c r="F66" i="63"/>
  <c r="E66" i="63"/>
  <c r="D66" i="63"/>
  <c r="C66" i="63"/>
  <c r="B66" i="63"/>
  <c r="A66" i="63"/>
  <c r="H65" i="63"/>
  <c r="G65" i="63"/>
  <c r="F65" i="63"/>
  <c r="E65" i="63"/>
  <c r="D65" i="63"/>
  <c r="C65" i="63"/>
  <c r="B65" i="63"/>
  <c r="A65" i="63"/>
  <c r="H64" i="63"/>
  <c r="G64" i="63"/>
  <c r="F64" i="63"/>
  <c r="E64" i="63"/>
  <c r="D64" i="63"/>
  <c r="C64" i="63"/>
  <c r="L64" i="63" s="1"/>
  <c r="B64" i="63"/>
  <c r="A64" i="63"/>
  <c r="H63" i="63"/>
  <c r="G63" i="63"/>
  <c r="F63" i="63"/>
  <c r="E63" i="63"/>
  <c r="D63" i="63"/>
  <c r="C63" i="63"/>
  <c r="B63" i="63"/>
  <c r="A63" i="63"/>
  <c r="H59" i="63"/>
  <c r="G59" i="63"/>
  <c r="F59" i="63"/>
  <c r="E59" i="63"/>
  <c r="D59" i="63"/>
  <c r="C59" i="63"/>
  <c r="B59" i="63"/>
  <c r="A59" i="63"/>
  <c r="H58" i="63"/>
  <c r="G58" i="63"/>
  <c r="I58" i="63" s="1"/>
  <c r="J58" i="63" s="1"/>
  <c r="K58" i="63" s="1"/>
  <c r="M58" i="63" s="1"/>
  <c r="F58" i="63"/>
  <c r="E58" i="63"/>
  <c r="D58" i="63"/>
  <c r="C58" i="63"/>
  <c r="B58" i="63"/>
  <c r="A58" i="63"/>
  <c r="H57" i="63"/>
  <c r="I57" i="63" s="1"/>
  <c r="J57" i="63" s="1"/>
  <c r="K57" i="63" s="1"/>
  <c r="M57" i="63" s="1"/>
  <c r="G57" i="63"/>
  <c r="F57" i="63"/>
  <c r="E57" i="63"/>
  <c r="D57" i="63"/>
  <c r="C57" i="63"/>
  <c r="L57" i="63" s="1"/>
  <c r="B57" i="63"/>
  <c r="A57" i="63"/>
  <c r="H56" i="63"/>
  <c r="G56" i="63"/>
  <c r="F56" i="63"/>
  <c r="E56" i="63"/>
  <c r="D56" i="63"/>
  <c r="C56" i="63"/>
  <c r="B56" i="63"/>
  <c r="A56" i="63"/>
  <c r="H55" i="63"/>
  <c r="G55" i="63"/>
  <c r="I55" i="63" s="1"/>
  <c r="J55" i="63" s="1"/>
  <c r="K55" i="63" s="1"/>
  <c r="M55" i="63" s="1"/>
  <c r="F55" i="63"/>
  <c r="E55" i="63"/>
  <c r="D55" i="63"/>
  <c r="C55" i="63"/>
  <c r="B55" i="63"/>
  <c r="A55" i="63"/>
  <c r="H54" i="63"/>
  <c r="G54" i="63"/>
  <c r="F54" i="63"/>
  <c r="E54" i="63"/>
  <c r="D54" i="63"/>
  <c r="C54" i="63"/>
  <c r="L54" i="63" s="1"/>
  <c r="B54" i="63"/>
  <c r="A54" i="63"/>
  <c r="H53" i="63"/>
  <c r="G53" i="63"/>
  <c r="F53" i="63"/>
  <c r="E53" i="63"/>
  <c r="D53" i="63"/>
  <c r="C53" i="63"/>
  <c r="B53" i="63"/>
  <c r="A53" i="63"/>
  <c r="H52" i="63"/>
  <c r="G52" i="63"/>
  <c r="I52" i="63" s="1"/>
  <c r="J52" i="63" s="1"/>
  <c r="K52" i="63" s="1"/>
  <c r="M52" i="63" s="1"/>
  <c r="F52" i="63"/>
  <c r="E52" i="63"/>
  <c r="D52" i="63"/>
  <c r="C52" i="63"/>
  <c r="B52" i="63"/>
  <c r="A52" i="63"/>
  <c r="A42" i="63"/>
  <c r="B42" i="63"/>
  <c r="C42" i="63"/>
  <c r="D42" i="63"/>
  <c r="E42" i="63"/>
  <c r="F42" i="63"/>
  <c r="G42" i="63"/>
  <c r="H42" i="63"/>
  <c r="A43" i="63"/>
  <c r="B43" i="63"/>
  <c r="C43" i="63"/>
  <c r="L43" i="63" s="1"/>
  <c r="D43" i="63"/>
  <c r="E43" i="63"/>
  <c r="F43" i="63"/>
  <c r="G43" i="63"/>
  <c r="H43" i="63"/>
  <c r="A44" i="63"/>
  <c r="B44" i="63"/>
  <c r="C44" i="63"/>
  <c r="D44" i="63"/>
  <c r="E44" i="63"/>
  <c r="F44" i="63"/>
  <c r="G44" i="63"/>
  <c r="I44" i="63" s="1"/>
  <c r="J44" i="63" s="1"/>
  <c r="K44" i="63" s="1"/>
  <c r="M44" i="63" s="1"/>
  <c r="H44" i="63"/>
  <c r="A45" i="63"/>
  <c r="B45" i="63"/>
  <c r="C45" i="63"/>
  <c r="D45" i="63"/>
  <c r="E45" i="63"/>
  <c r="F45" i="63"/>
  <c r="G45" i="63"/>
  <c r="H45" i="63"/>
  <c r="A46" i="63"/>
  <c r="B46" i="63"/>
  <c r="C46" i="63"/>
  <c r="L46" i="63" s="1"/>
  <c r="D46" i="63"/>
  <c r="E46" i="63"/>
  <c r="F46" i="63"/>
  <c r="G46" i="63"/>
  <c r="H46" i="63"/>
  <c r="A47" i="63"/>
  <c r="B47" i="63"/>
  <c r="C47" i="63"/>
  <c r="D47" i="63"/>
  <c r="E47" i="63"/>
  <c r="F47" i="63"/>
  <c r="G47" i="63"/>
  <c r="I47" i="63" s="1"/>
  <c r="J47" i="63" s="1"/>
  <c r="K47" i="63" s="1"/>
  <c r="M47" i="63" s="1"/>
  <c r="H47" i="63"/>
  <c r="A48" i="63"/>
  <c r="B48" i="63"/>
  <c r="C48" i="63"/>
  <c r="D48" i="63"/>
  <c r="E48" i="63"/>
  <c r="F48" i="63"/>
  <c r="G48" i="63"/>
  <c r="H48" i="63"/>
  <c r="H41" i="63"/>
  <c r="G41" i="63"/>
  <c r="F41" i="63"/>
  <c r="E41" i="63"/>
  <c r="D41" i="63"/>
  <c r="C41" i="63"/>
  <c r="L41" i="63" s="1"/>
  <c r="B41" i="63"/>
  <c r="A41" i="63"/>
  <c r="W158" i="63"/>
  <c r="V158" i="63"/>
  <c r="L158" i="63"/>
  <c r="J158" i="63"/>
  <c r="K158" i="63" s="1"/>
  <c r="M158" i="63" s="1"/>
  <c r="I158" i="63"/>
  <c r="W157" i="63"/>
  <c r="V157" i="63"/>
  <c r="L157" i="63"/>
  <c r="I157" i="63"/>
  <c r="J157" i="63" s="1"/>
  <c r="K157" i="63" s="1"/>
  <c r="M157" i="63" s="1"/>
  <c r="W156" i="63"/>
  <c r="V156" i="63"/>
  <c r="L156" i="63"/>
  <c r="I156" i="63"/>
  <c r="J156" i="63" s="1"/>
  <c r="K156" i="63" s="1"/>
  <c r="M156" i="63" s="1"/>
  <c r="W155" i="63"/>
  <c r="V155" i="63"/>
  <c r="L155" i="63"/>
  <c r="I155" i="63"/>
  <c r="J155" i="63" s="1"/>
  <c r="K155" i="63" s="1"/>
  <c r="M155" i="63" s="1"/>
  <c r="W154" i="63"/>
  <c r="V154" i="63"/>
  <c r="L154" i="63"/>
  <c r="I154" i="63"/>
  <c r="W153" i="63"/>
  <c r="V153" i="63"/>
  <c r="L153" i="63"/>
  <c r="I153" i="63"/>
  <c r="J153" i="63" s="1"/>
  <c r="K153" i="63" s="1"/>
  <c r="M153" i="63" s="1"/>
  <c r="W152" i="63"/>
  <c r="V152" i="63"/>
  <c r="L152" i="63"/>
  <c r="I152" i="63"/>
  <c r="J152" i="63" s="1"/>
  <c r="K152" i="63" s="1"/>
  <c r="M152" i="63" s="1"/>
  <c r="W151" i="63"/>
  <c r="V151" i="63"/>
  <c r="L151" i="63"/>
  <c r="I151" i="63"/>
  <c r="W147" i="63"/>
  <c r="V147" i="63"/>
  <c r="L147" i="63"/>
  <c r="W146" i="63"/>
  <c r="V146" i="63"/>
  <c r="L146" i="63"/>
  <c r="W145" i="63"/>
  <c r="V145" i="63"/>
  <c r="W144" i="63"/>
  <c r="V144" i="63"/>
  <c r="L144" i="63"/>
  <c r="I144" i="63"/>
  <c r="J144" i="63" s="1"/>
  <c r="K144" i="63" s="1"/>
  <c r="M144" i="63" s="1"/>
  <c r="W143" i="63"/>
  <c r="V143" i="63"/>
  <c r="L143" i="63"/>
  <c r="W142" i="63"/>
  <c r="V142" i="63"/>
  <c r="W141" i="63"/>
  <c r="V141" i="63"/>
  <c r="L141" i="63"/>
  <c r="I141" i="63"/>
  <c r="J141" i="63" s="1"/>
  <c r="K141" i="63" s="1"/>
  <c r="M141" i="63" s="1"/>
  <c r="W140" i="63"/>
  <c r="V140" i="63"/>
  <c r="L140" i="63"/>
  <c r="I140" i="63"/>
  <c r="J140" i="63" s="1"/>
  <c r="W136" i="63"/>
  <c r="V136" i="63"/>
  <c r="L136" i="63"/>
  <c r="W135" i="63"/>
  <c r="V135" i="63"/>
  <c r="L135" i="63"/>
  <c r="W134" i="63"/>
  <c r="V134" i="63"/>
  <c r="I134" i="63"/>
  <c r="J134" i="63" s="1"/>
  <c r="K134" i="63" s="1"/>
  <c r="M134" i="63" s="1"/>
  <c r="W133" i="63"/>
  <c r="V133" i="63"/>
  <c r="L133" i="63"/>
  <c r="W132" i="63"/>
  <c r="V132" i="63"/>
  <c r="L132" i="63"/>
  <c r="I132" i="63"/>
  <c r="J132" i="63" s="1"/>
  <c r="K132" i="63" s="1"/>
  <c r="M132" i="63" s="1"/>
  <c r="W131" i="63"/>
  <c r="V131" i="63"/>
  <c r="L131" i="63"/>
  <c r="W130" i="63"/>
  <c r="V130" i="63"/>
  <c r="L130" i="63"/>
  <c r="W129" i="63"/>
  <c r="V129" i="63"/>
  <c r="L129" i="63"/>
  <c r="W125" i="63"/>
  <c r="V125" i="63"/>
  <c r="L125" i="63"/>
  <c r="W124" i="63"/>
  <c r="V124" i="63"/>
  <c r="L124" i="63"/>
  <c r="W123" i="63"/>
  <c r="V123" i="63"/>
  <c r="L123" i="63"/>
  <c r="I123" i="63"/>
  <c r="J123" i="63" s="1"/>
  <c r="K123" i="63" s="1"/>
  <c r="M123" i="63" s="1"/>
  <c r="N123" i="63" s="1"/>
  <c r="O123" i="63" s="1"/>
  <c r="W122" i="63"/>
  <c r="V122" i="63"/>
  <c r="L122" i="63"/>
  <c r="W121" i="63"/>
  <c r="V121" i="63"/>
  <c r="L121" i="63"/>
  <c r="W120" i="63"/>
  <c r="V120" i="63"/>
  <c r="L120" i="63"/>
  <c r="I120" i="63"/>
  <c r="J120" i="63" s="1"/>
  <c r="K120" i="63" s="1"/>
  <c r="M120" i="63" s="1"/>
  <c r="W119" i="63"/>
  <c r="V119" i="63"/>
  <c r="L119" i="63"/>
  <c r="W118" i="63"/>
  <c r="V118" i="63"/>
  <c r="L118" i="63"/>
  <c r="W114" i="63"/>
  <c r="V114" i="63"/>
  <c r="L114" i="63"/>
  <c r="W113" i="63"/>
  <c r="V113" i="63"/>
  <c r="I113" i="63"/>
  <c r="J113" i="63" s="1"/>
  <c r="W112" i="63"/>
  <c r="V112" i="63"/>
  <c r="L112" i="63"/>
  <c r="W111" i="63"/>
  <c r="V111" i="63"/>
  <c r="L111" i="63"/>
  <c r="W110" i="63"/>
  <c r="V110" i="63"/>
  <c r="I110" i="63"/>
  <c r="J110" i="63" s="1"/>
  <c r="W109" i="63"/>
  <c r="V109" i="63"/>
  <c r="L109" i="63"/>
  <c r="W108" i="63"/>
  <c r="V108" i="63"/>
  <c r="L108" i="63"/>
  <c r="W107" i="63"/>
  <c r="V107" i="63"/>
  <c r="I107" i="63"/>
  <c r="J107" i="63" s="1"/>
  <c r="W103" i="63"/>
  <c r="V103" i="63"/>
  <c r="W102" i="63"/>
  <c r="V102" i="63"/>
  <c r="L102" i="63"/>
  <c r="W101" i="63"/>
  <c r="V101" i="63"/>
  <c r="W100" i="63"/>
  <c r="V100" i="63"/>
  <c r="W99" i="63"/>
  <c r="V99" i="63"/>
  <c r="L99" i="63"/>
  <c r="W98" i="63"/>
  <c r="V98" i="63"/>
  <c r="W97" i="63"/>
  <c r="V97" i="63"/>
  <c r="W96" i="63"/>
  <c r="V96" i="63"/>
  <c r="L96" i="63"/>
  <c r="W92" i="63"/>
  <c r="V92" i="63"/>
  <c r="L92" i="63"/>
  <c r="I92" i="63"/>
  <c r="J92" i="63" s="1"/>
  <c r="K92" i="63" s="1"/>
  <c r="M92" i="63" s="1"/>
  <c r="N92" i="63" s="1"/>
  <c r="O92" i="63" s="1"/>
  <c r="W91" i="63"/>
  <c r="V91" i="63"/>
  <c r="L91" i="63"/>
  <c r="I91" i="63"/>
  <c r="W90" i="63"/>
  <c r="V90" i="63"/>
  <c r="L90" i="63"/>
  <c r="W89" i="63"/>
  <c r="V89" i="63"/>
  <c r="L89" i="63"/>
  <c r="I89" i="63"/>
  <c r="J89" i="63" s="1"/>
  <c r="K89" i="63" s="1"/>
  <c r="M89" i="63" s="1"/>
  <c r="N89" i="63" s="1"/>
  <c r="O89" i="63" s="1"/>
  <c r="W88" i="63"/>
  <c r="V88" i="63"/>
  <c r="L88" i="63"/>
  <c r="I88" i="63"/>
  <c r="W87" i="63"/>
  <c r="V87" i="63"/>
  <c r="L87" i="63"/>
  <c r="W86" i="63"/>
  <c r="V86" i="63"/>
  <c r="L86" i="63"/>
  <c r="I86" i="63"/>
  <c r="J86" i="63" s="1"/>
  <c r="K86" i="63" s="1"/>
  <c r="M86" i="63" s="1"/>
  <c r="N86" i="63" s="1"/>
  <c r="O86" i="63" s="1"/>
  <c r="W85" i="63"/>
  <c r="V85" i="63"/>
  <c r="L85" i="63"/>
  <c r="I85" i="63"/>
  <c r="W81" i="63"/>
  <c r="V81" i="63"/>
  <c r="L81" i="63"/>
  <c r="I81" i="63"/>
  <c r="J81" i="63" s="1"/>
  <c r="K81" i="63" s="1"/>
  <c r="M81" i="63" s="1"/>
  <c r="W80" i="63"/>
  <c r="V80" i="63"/>
  <c r="L80" i="63"/>
  <c r="W79" i="63"/>
  <c r="V79" i="63"/>
  <c r="L79" i="63"/>
  <c r="I79" i="63"/>
  <c r="J79" i="63" s="1"/>
  <c r="K79" i="63" s="1"/>
  <c r="M79" i="63" s="1"/>
  <c r="W78" i="63"/>
  <c r="V78" i="63"/>
  <c r="L78" i="63"/>
  <c r="W77" i="63"/>
  <c r="V77" i="63"/>
  <c r="L77" i="63"/>
  <c r="I77" i="63"/>
  <c r="J77" i="63" s="1"/>
  <c r="W76" i="63"/>
  <c r="V76" i="63"/>
  <c r="L76" i="63"/>
  <c r="I76" i="63"/>
  <c r="J76" i="63" s="1"/>
  <c r="W75" i="63"/>
  <c r="V75" i="63"/>
  <c r="L75" i="63"/>
  <c r="I75" i="63"/>
  <c r="J75" i="63" s="1"/>
  <c r="K75" i="63" s="1"/>
  <c r="M75" i="63" s="1"/>
  <c r="N75" i="63" s="1"/>
  <c r="O75" i="63" s="1"/>
  <c r="W74" i="63"/>
  <c r="V74" i="63"/>
  <c r="L74" i="63"/>
  <c r="W70" i="63"/>
  <c r="V70" i="63"/>
  <c r="L70" i="63"/>
  <c r="I70" i="63"/>
  <c r="J70" i="63" s="1"/>
  <c r="K70" i="63" s="1"/>
  <c r="M70" i="63" s="1"/>
  <c r="W69" i="63"/>
  <c r="V69" i="63"/>
  <c r="L69" i="63"/>
  <c r="I69" i="63"/>
  <c r="J69" i="63" s="1"/>
  <c r="W68" i="63"/>
  <c r="V68" i="63"/>
  <c r="L68" i="63"/>
  <c r="W67" i="63"/>
  <c r="V67" i="63"/>
  <c r="W66" i="63"/>
  <c r="V66" i="63"/>
  <c r="L66" i="63"/>
  <c r="I66" i="63"/>
  <c r="J66" i="63" s="1"/>
  <c r="K66" i="63" s="1"/>
  <c r="M66" i="63" s="1"/>
  <c r="W65" i="63"/>
  <c r="V65" i="63"/>
  <c r="L65" i="63"/>
  <c r="I65" i="63"/>
  <c r="J65" i="63" s="1"/>
  <c r="K65" i="63" s="1"/>
  <c r="M65" i="63" s="1"/>
  <c r="W64" i="63"/>
  <c r="V64" i="63"/>
  <c r="I64" i="63"/>
  <c r="J64" i="63" s="1"/>
  <c r="K64" i="63" s="1"/>
  <c r="M64" i="63" s="1"/>
  <c r="W63" i="63"/>
  <c r="V63" i="63"/>
  <c r="L63" i="63"/>
  <c r="I63" i="63"/>
  <c r="J63" i="63" s="1"/>
  <c r="W59" i="63"/>
  <c r="V59" i="63"/>
  <c r="L59" i="63"/>
  <c r="I59" i="63"/>
  <c r="J59" i="63" s="1"/>
  <c r="K59" i="63" s="1"/>
  <c r="M59" i="63" s="1"/>
  <c r="N59" i="63" s="1"/>
  <c r="O59" i="63" s="1"/>
  <c r="W58" i="63"/>
  <c r="V58" i="63"/>
  <c r="L58" i="63"/>
  <c r="W57" i="63"/>
  <c r="V57" i="63"/>
  <c r="W56" i="63"/>
  <c r="V56" i="63"/>
  <c r="L56" i="63"/>
  <c r="J56" i="63"/>
  <c r="K56" i="63" s="1"/>
  <c r="M56" i="63" s="1"/>
  <c r="N56" i="63" s="1"/>
  <c r="O56" i="63" s="1"/>
  <c r="I56" i="63"/>
  <c r="W55" i="63"/>
  <c r="V55" i="63"/>
  <c r="L55" i="63"/>
  <c r="W54" i="63"/>
  <c r="V54" i="63"/>
  <c r="I54" i="63"/>
  <c r="J54" i="63" s="1"/>
  <c r="K54" i="63" s="1"/>
  <c r="M54" i="63" s="1"/>
  <c r="W53" i="63"/>
  <c r="V53" i="63"/>
  <c r="L53" i="63"/>
  <c r="U53" i="63" s="1"/>
  <c r="Y53" i="63" s="1"/>
  <c r="I53" i="63"/>
  <c r="J53" i="63" s="1"/>
  <c r="K53" i="63" s="1"/>
  <c r="M53" i="63" s="1"/>
  <c r="W52" i="63"/>
  <c r="V52" i="63"/>
  <c r="L52" i="63"/>
  <c r="W48" i="63"/>
  <c r="V48" i="63"/>
  <c r="L48" i="63"/>
  <c r="I48" i="63"/>
  <c r="W47" i="63"/>
  <c r="V47" i="63"/>
  <c r="L47" i="63"/>
  <c r="W46" i="63"/>
  <c r="V46" i="63"/>
  <c r="I46" i="63"/>
  <c r="W45" i="63"/>
  <c r="V45" i="63"/>
  <c r="L45" i="63"/>
  <c r="I45" i="63"/>
  <c r="W44" i="63"/>
  <c r="V44" i="63"/>
  <c r="L44" i="63"/>
  <c r="W43" i="63"/>
  <c r="V43" i="63"/>
  <c r="I43" i="63"/>
  <c r="W42" i="63"/>
  <c r="V42" i="63"/>
  <c r="L42" i="63"/>
  <c r="I42" i="63"/>
  <c r="W41" i="63"/>
  <c r="V41" i="63"/>
  <c r="A18" i="62"/>
  <c r="B18" i="62"/>
  <c r="C18" i="62"/>
  <c r="L18" i="62" s="1"/>
  <c r="D18" i="62"/>
  <c r="E18" i="62"/>
  <c r="F18" i="62"/>
  <c r="G18" i="62"/>
  <c r="H18" i="62"/>
  <c r="I18" i="62" s="1"/>
  <c r="J18" i="62" s="1"/>
  <c r="K18" i="62" s="1"/>
  <c r="M18" i="62" s="1"/>
  <c r="A19" i="62"/>
  <c r="B19" i="62"/>
  <c r="C19" i="62"/>
  <c r="L19" i="62" s="1"/>
  <c r="D19" i="62"/>
  <c r="E19" i="62"/>
  <c r="F19" i="62"/>
  <c r="G19" i="62"/>
  <c r="H19" i="62"/>
  <c r="A20" i="62"/>
  <c r="B20" i="62"/>
  <c r="C20" i="62"/>
  <c r="D20" i="62"/>
  <c r="E20" i="62"/>
  <c r="F20" i="62"/>
  <c r="G20" i="62"/>
  <c r="I20" i="62" s="1"/>
  <c r="J20" i="62" s="1"/>
  <c r="K20" i="62" s="1"/>
  <c r="M20" i="62" s="1"/>
  <c r="N20" i="62" s="1"/>
  <c r="O20" i="62" s="1"/>
  <c r="H20" i="62"/>
  <c r="A21" i="62"/>
  <c r="B21" i="62"/>
  <c r="C21" i="62"/>
  <c r="D21" i="62"/>
  <c r="E21" i="62"/>
  <c r="F21" i="62"/>
  <c r="G21" i="62"/>
  <c r="H21" i="62"/>
  <c r="I21" i="62" s="1"/>
  <c r="J21" i="62" s="1"/>
  <c r="K21" i="62" s="1"/>
  <c r="M21" i="62" s="1"/>
  <c r="N21" i="62" s="1"/>
  <c r="O21" i="62" s="1"/>
  <c r="A22" i="62"/>
  <c r="B22" i="62"/>
  <c r="C22" i="62"/>
  <c r="L22" i="62" s="1"/>
  <c r="D22" i="62"/>
  <c r="E22" i="62"/>
  <c r="F22" i="62"/>
  <c r="G22" i="62"/>
  <c r="H22" i="62"/>
  <c r="A23" i="62"/>
  <c r="B23" i="62"/>
  <c r="C23" i="62"/>
  <c r="D23" i="62"/>
  <c r="E23" i="62"/>
  <c r="F23" i="62"/>
  <c r="G23" i="62"/>
  <c r="I23" i="62" s="1"/>
  <c r="J23" i="62" s="1"/>
  <c r="K23" i="62" s="1"/>
  <c r="M23" i="62" s="1"/>
  <c r="N23" i="62" s="1"/>
  <c r="O23" i="62" s="1"/>
  <c r="H23" i="62"/>
  <c r="A24" i="62"/>
  <c r="B24" i="62"/>
  <c r="C24" i="62"/>
  <c r="D24" i="62"/>
  <c r="E24" i="62"/>
  <c r="F24" i="62"/>
  <c r="G24" i="62"/>
  <c r="H24" i="62"/>
  <c r="I24" i="62" s="1"/>
  <c r="J24" i="62" s="1"/>
  <c r="K24" i="62" s="1"/>
  <c r="M24" i="62" s="1"/>
  <c r="A25" i="62"/>
  <c r="B25" i="62"/>
  <c r="C25" i="62"/>
  <c r="L25" i="62" s="1"/>
  <c r="D25" i="62"/>
  <c r="E25" i="62"/>
  <c r="F25" i="62"/>
  <c r="G25" i="62"/>
  <c r="I25" i="62" s="1"/>
  <c r="H25" i="62"/>
  <c r="A26" i="62"/>
  <c r="B26" i="62"/>
  <c r="C26" i="62"/>
  <c r="D26" i="62"/>
  <c r="E26" i="62"/>
  <c r="F26" i="62"/>
  <c r="G26" i="62"/>
  <c r="I26" i="62" s="1"/>
  <c r="J26" i="62" s="1"/>
  <c r="K26" i="62" s="1"/>
  <c r="M26" i="62" s="1"/>
  <c r="H26" i="62"/>
  <c r="A27" i="62"/>
  <c r="B27" i="62"/>
  <c r="C27" i="62"/>
  <c r="L27" i="62" s="1"/>
  <c r="D27" i="62"/>
  <c r="E27" i="62"/>
  <c r="F27" i="62"/>
  <c r="G27" i="62"/>
  <c r="H27" i="62"/>
  <c r="I27" i="62" s="1"/>
  <c r="J27" i="62" s="1"/>
  <c r="K27" i="62" s="1"/>
  <c r="M27" i="62" s="1"/>
  <c r="N27" i="62" s="1"/>
  <c r="O27" i="62" s="1"/>
  <c r="A28" i="62"/>
  <c r="B28" i="62"/>
  <c r="C28" i="62"/>
  <c r="L28" i="62" s="1"/>
  <c r="D28" i="62"/>
  <c r="E28" i="62"/>
  <c r="F28" i="62"/>
  <c r="G28" i="62"/>
  <c r="I28" i="62" s="1"/>
  <c r="H28" i="62"/>
  <c r="A29" i="62"/>
  <c r="B29" i="62"/>
  <c r="C29" i="62"/>
  <c r="D29" i="62"/>
  <c r="E29" i="62"/>
  <c r="F29" i="62"/>
  <c r="G29" i="62"/>
  <c r="I29" i="62" s="1"/>
  <c r="J29" i="62" s="1"/>
  <c r="K29" i="62" s="1"/>
  <c r="M29" i="62" s="1"/>
  <c r="N29" i="62" s="1"/>
  <c r="O29" i="62" s="1"/>
  <c r="H29" i="62"/>
  <c r="A30" i="62"/>
  <c r="B30" i="62"/>
  <c r="C30" i="62"/>
  <c r="L30" i="62" s="1"/>
  <c r="D30" i="62"/>
  <c r="E30" i="62"/>
  <c r="F30" i="62"/>
  <c r="G30" i="62"/>
  <c r="H30" i="62"/>
  <c r="I30" i="62" s="1"/>
  <c r="J30" i="62" s="1"/>
  <c r="K30" i="62" s="1"/>
  <c r="M30" i="62" s="1"/>
  <c r="A31" i="62"/>
  <c r="B31" i="62"/>
  <c r="C31" i="62"/>
  <c r="L31" i="62" s="1"/>
  <c r="D31" i="62"/>
  <c r="E31" i="62"/>
  <c r="F31" i="62"/>
  <c r="G31" i="62"/>
  <c r="I31" i="62" s="1"/>
  <c r="H31" i="62"/>
  <c r="A32" i="62"/>
  <c r="B32" i="62"/>
  <c r="C32" i="62"/>
  <c r="D32" i="62"/>
  <c r="E32" i="62"/>
  <c r="F32" i="62"/>
  <c r="G32" i="62"/>
  <c r="I32" i="62" s="1"/>
  <c r="J32" i="62" s="1"/>
  <c r="K32" i="62" s="1"/>
  <c r="M32" i="62" s="1"/>
  <c r="H32" i="62"/>
  <c r="H17" i="62"/>
  <c r="I17" i="62" s="1"/>
  <c r="G17" i="62"/>
  <c r="F17" i="62"/>
  <c r="E17" i="62"/>
  <c r="D17" i="62"/>
  <c r="C17" i="62"/>
  <c r="L17" i="62" s="1"/>
  <c r="B17" i="62"/>
  <c r="A17" i="62"/>
  <c r="W32" i="62"/>
  <c r="V32" i="62"/>
  <c r="L32" i="62"/>
  <c r="W31" i="62"/>
  <c r="V31" i="62"/>
  <c r="W30" i="62"/>
  <c r="V30" i="62"/>
  <c r="W29" i="62"/>
  <c r="V29" i="62"/>
  <c r="L29" i="62"/>
  <c r="W28" i="62"/>
  <c r="V28" i="62"/>
  <c r="W27" i="62"/>
  <c r="V27" i="62"/>
  <c r="W26" i="62"/>
  <c r="V26" i="62"/>
  <c r="L26" i="62"/>
  <c r="W25" i="62"/>
  <c r="V25" i="62"/>
  <c r="W24" i="62"/>
  <c r="V24" i="62"/>
  <c r="L24" i="62"/>
  <c r="W23" i="62"/>
  <c r="V23" i="62"/>
  <c r="L23" i="62"/>
  <c r="W22" i="62"/>
  <c r="V22" i="62"/>
  <c r="I22" i="62"/>
  <c r="W21" i="62"/>
  <c r="V21" i="62"/>
  <c r="L21" i="62"/>
  <c r="W20" i="62"/>
  <c r="V20" i="62"/>
  <c r="L20" i="62"/>
  <c r="W19" i="62"/>
  <c r="V19" i="62"/>
  <c r="I19" i="62"/>
  <c r="W18" i="62"/>
  <c r="V18" i="62"/>
  <c r="W17" i="62"/>
  <c r="V17" i="62"/>
  <c r="C39" i="61"/>
  <c r="D39" i="61"/>
  <c r="E39" i="61"/>
  <c r="F39" i="61"/>
  <c r="G39" i="61"/>
  <c r="H39" i="61"/>
  <c r="C40" i="61"/>
  <c r="D40" i="61"/>
  <c r="E40" i="61"/>
  <c r="F40" i="61"/>
  <c r="G40" i="61"/>
  <c r="I40" i="61" s="1"/>
  <c r="J40" i="61" s="1"/>
  <c r="K40" i="61" s="1"/>
  <c r="M40" i="61" s="1"/>
  <c r="H40" i="61"/>
  <c r="C41" i="61"/>
  <c r="D41" i="61"/>
  <c r="E41" i="61"/>
  <c r="F41" i="61"/>
  <c r="G41" i="61"/>
  <c r="H41" i="61"/>
  <c r="C42" i="61"/>
  <c r="D42" i="61"/>
  <c r="E42" i="61"/>
  <c r="F42" i="61"/>
  <c r="G42" i="61"/>
  <c r="I42" i="61" s="1"/>
  <c r="J42" i="61" s="1"/>
  <c r="K42" i="61" s="1"/>
  <c r="M42" i="61" s="1"/>
  <c r="H42" i="61"/>
  <c r="C43" i="61"/>
  <c r="D43" i="61"/>
  <c r="E43" i="61"/>
  <c r="F43" i="61"/>
  <c r="G43" i="61"/>
  <c r="I43" i="61" s="1"/>
  <c r="J43" i="61" s="1"/>
  <c r="K43" i="61" s="1"/>
  <c r="M43" i="61" s="1"/>
  <c r="H43" i="61"/>
  <c r="C44" i="61"/>
  <c r="D44" i="61"/>
  <c r="E44" i="61"/>
  <c r="F44" i="61"/>
  <c r="G44" i="61"/>
  <c r="I44" i="61" s="1"/>
  <c r="J44" i="61" s="1"/>
  <c r="K44" i="61" s="1"/>
  <c r="M44" i="61" s="1"/>
  <c r="H44" i="61"/>
  <c r="C45" i="61"/>
  <c r="D45" i="61"/>
  <c r="E45" i="61"/>
  <c r="F45" i="61"/>
  <c r="G45" i="61"/>
  <c r="I45" i="61" s="1"/>
  <c r="J45" i="61" s="1"/>
  <c r="K45" i="61" s="1"/>
  <c r="M45" i="61" s="1"/>
  <c r="H45" i="61"/>
  <c r="C46" i="61"/>
  <c r="D46" i="61"/>
  <c r="E46" i="61"/>
  <c r="F46" i="61"/>
  <c r="G46" i="61"/>
  <c r="I46" i="61" s="1"/>
  <c r="J46" i="61" s="1"/>
  <c r="K46" i="61" s="1"/>
  <c r="M46" i="61" s="1"/>
  <c r="H46" i="61"/>
  <c r="C47" i="61"/>
  <c r="D47" i="61"/>
  <c r="E47" i="61"/>
  <c r="F47" i="61"/>
  <c r="G47" i="61"/>
  <c r="I47" i="61" s="1"/>
  <c r="J47" i="61" s="1"/>
  <c r="K47" i="61" s="1"/>
  <c r="M47" i="61" s="1"/>
  <c r="H47" i="61"/>
  <c r="C48" i="61"/>
  <c r="D48" i="61"/>
  <c r="E48" i="61"/>
  <c r="F48" i="61"/>
  <c r="G48" i="61"/>
  <c r="I48" i="61" s="1"/>
  <c r="J48" i="61" s="1"/>
  <c r="K48" i="61" s="1"/>
  <c r="M48" i="61" s="1"/>
  <c r="H48" i="61"/>
  <c r="H38" i="61"/>
  <c r="G38" i="61"/>
  <c r="F38" i="61"/>
  <c r="E38" i="61"/>
  <c r="D38" i="61"/>
  <c r="C38" i="61"/>
  <c r="H90" i="61"/>
  <c r="G90" i="61"/>
  <c r="I90" i="61" s="1"/>
  <c r="J90" i="61" s="1"/>
  <c r="K90" i="61" s="1"/>
  <c r="M90" i="61" s="1"/>
  <c r="F90" i="61"/>
  <c r="E90" i="61"/>
  <c r="D90" i="61"/>
  <c r="C90" i="61"/>
  <c r="B90" i="61"/>
  <c r="A90" i="61"/>
  <c r="H89" i="61"/>
  <c r="G89" i="61"/>
  <c r="I89" i="61" s="1"/>
  <c r="J89" i="61" s="1"/>
  <c r="K89" i="61" s="1"/>
  <c r="M89" i="61" s="1"/>
  <c r="F89" i="61"/>
  <c r="E89" i="61"/>
  <c r="D89" i="61"/>
  <c r="C89" i="61"/>
  <c r="L89" i="61" s="1"/>
  <c r="B89" i="61"/>
  <c r="A89" i="61"/>
  <c r="H88" i="61"/>
  <c r="G88" i="61"/>
  <c r="I88" i="61" s="1"/>
  <c r="J88" i="61" s="1"/>
  <c r="K88" i="61" s="1"/>
  <c r="M88" i="61" s="1"/>
  <c r="N88" i="61" s="1"/>
  <c r="O88" i="61" s="1"/>
  <c r="F88" i="61"/>
  <c r="E88" i="61"/>
  <c r="D88" i="61"/>
  <c r="C88" i="61"/>
  <c r="B88" i="61"/>
  <c r="A88" i="61"/>
  <c r="H87" i="61"/>
  <c r="G87" i="61"/>
  <c r="I87" i="61" s="1"/>
  <c r="J87" i="61" s="1"/>
  <c r="K87" i="61" s="1"/>
  <c r="M87" i="61" s="1"/>
  <c r="F87" i="61"/>
  <c r="E87" i="61"/>
  <c r="D87" i="61"/>
  <c r="C87" i="61"/>
  <c r="B87" i="61"/>
  <c r="A87" i="61"/>
  <c r="H86" i="61"/>
  <c r="G86" i="61"/>
  <c r="I86" i="61" s="1"/>
  <c r="J86" i="61" s="1"/>
  <c r="K86" i="61" s="1"/>
  <c r="M86" i="61" s="1"/>
  <c r="F86" i="61"/>
  <c r="E86" i="61"/>
  <c r="D86" i="61"/>
  <c r="C86" i="61"/>
  <c r="L86" i="61" s="1"/>
  <c r="B86" i="61"/>
  <c r="A86" i="61"/>
  <c r="H85" i="61"/>
  <c r="G85" i="61"/>
  <c r="I85" i="61" s="1"/>
  <c r="J85" i="61" s="1"/>
  <c r="K85" i="61" s="1"/>
  <c r="M85" i="61" s="1"/>
  <c r="F85" i="61"/>
  <c r="E85" i="61"/>
  <c r="D85" i="61"/>
  <c r="C85" i="61"/>
  <c r="B85" i="61"/>
  <c r="A85" i="61"/>
  <c r="H84" i="61"/>
  <c r="G84" i="61"/>
  <c r="I84" i="61" s="1"/>
  <c r="J84" i="61" s="1"/>
  <c r="K84" i="61" s="1"/>
  <c r="M84" i="61" s="1"/>
  <c r="F84" i="61"/>
  <c r="E84" i="61"/>
  <c r="D84" i="61"/>
  <c r="C84" i="61"/>
  <c r="B84" i="61"/>
  <c r="A84" i="61"/>
  <c r="H83" i="61"/>
  <c r="G83" i="61"/>
  <c r="F83" i="61"/>
  <c r="E83" i="61"/>
  <c r="D83" i="61"/>
  <c r="C83" i="61"/>
  <c r="L83" i="61" s="1"/>
  <c r="B83" i="61"/>
  <c r="A83" i="61"/>
  <c r="H82" i="61"/>
  <c r="G82" i="61"/>
  <c r="I82" i="61" s="1"/>
  <c r="J82" i="61" s="1"/>
  <c r="K82" i="61" s="1"/>
  <c r="M82" i="61" s="1"/>
  <c r="F82" i="61"/>
  <c r="E82" i="61"/>
  <c r="D82" i="61"/>
  <c r="C82" i="61"/>
  <c r="L82" i="61" s="1"/>
  <c r="B82" i="61"/>
  <c r="A82" i="61"/>
  <c r="H81" i="61"/>
  <c r="G81" i="61"/>
  <c r="I81" i="61" s="1"/>
  <c r="J81" i="61" s="1"/>
  <c r="K81" i="61" s="1"/>
  <c r="M81" i="61" s="1"/>
  <c r="F81" i="61"/>
  <c r="E81" i="61"/>
  <c r="D81" i="61"/>
  <c r="C81" i="61"/>
  <c r="L81" i="61" s="1"/>
  <c r="B81" i="61"/>
  <c r="A81" i="61"/>
  <c r="H80" i="61"/>
  <c r="G80" i="61"/>
  <c r="F80" i="61"/>
  <c r="E80" i="61"/>
  <c r="D80" i="61"/>
  <c r="C80" i="61"/>
  <c r="L80" i="61" s="1"/>
  <c r="B80" i="61"/>
  <c r="A80" i="61"/>
  <c r="H76" i="61"/>
  <c r="G76" i="61"/>
  <c r="F76" i="61"/>
  <c r="E76" i="61"/>
  <c r="D76" i="61"/>
  <c r="C76" i="61"/>
  <c r="L76" i="61" s="1"/>
  <c r="B76" i="61"/>
  <c r="A76" i="61"/>
  <c r="A75" i="61"/>
  <c r="H74" i="61"/>
  <c r="G74" i="61"/>
  <c r="I74" i="61" s="1"/>
  <c r="J74" i="61" s="1"/>
  <c r="K74" i="61" s="1"/>
  <c r="M74" i="61" s="1"/>
  <c r="F74" i="61"/>
  <c r="E74" i="61"/>
  <c r="D74" i="61"/>
  <c r="C74" i="61"/>
  <c r="B74" i="61"/>
  <c r="A74" i="61"/>
  <c r="H73" i="61"/>
  <c r="G73" i="61"/>
  <c r="F73" i="61"/>
  <c r="E73" i="61"/>
  <c r="D73" i="61"/>
  <c r="C73" i="61"/>
  <c r="L73" i="61" s="1"/>
  <c r="B73" i="61"/>
  <c r="A73" i="61"/>
  <c r="H72" i="61"/>
  <c r="G72" i="61"/>
  <c r="F72" i="61"/>
  <c r="E72" i="61"/>
  <c r="D72" i="61"/>
  <c r="C72" i="61"/>
  <c r="B72" i="61"/>
  <c r="A72" i="61"/>
  <c r="H71" i="61"/>
  <c r="G71" i="61"/>
  <c r="I71" i="61" s="1"/>
  <c r="J71" i="61" s="1"/>
  <c r="K71" i="61" s="1"/>
  <c r="M71" i="61" s="1"/>
  <c r="F71" i="61"/>
  <c r="E71" i="61"/>
  <c r="D71" i="61"/>
  <c r="C71" i="61"/>
  <c r="B71" i="61"/>
  <c r="A71" i="61"/>
  <c r="H70" i="61"/>
  <c r="G70" i="61"/>
  <c r="F70" i="61"/>
  <c r="E70" i="61"/>
  <c r="D70" i="61"/>
  <c r="C70" i="61"/>
  <c r="L70" i="61" s="1"/>
  <c r="B70" i="61"/>
  <c r="A70" i="61"/>
  <c r="H69" i="61"/>
  <c r="G69" i="61"/>
  <c r="F69" i="61"/>
  <c r="E69" i="61"/>
  <c r="D69" i="61"/>
  <c r="C69" i="61"/>
  <c r="B69" i="61"/>
  <c r="A69" i="61"/>
  <c r="H68" i="61"/>
  <c r="G68" i="61"/>
  <c r="I68" i="61" s="1"/>
  <c r="J68" i="61" s="1"/>
  <c r="K68" i="61" s="1"/>
  <c r="M68" i="61" s="1"/>
  <c r="F68" i="61"/>
  <c r="E68" i="61"/>
  <c r="D68" i="61"/>
  <c r="C68" i="61"/>
  <c r="B68" i="61"/>
  <c r="A68" i="61"/>
  <c r="H67" i="61"/>
  <c r="G67" i="61"/>
  <c r="F67" i="61"/>
  <c r="E67" i="61"/>
  <c r="D67" i="61"/>
  <c r="C67" i="61"/>
  <c r="L67" i="61" s="1"/>
  <c r="B67" i="61"/>
  <c r="A67" i="61"/>
  <c r="H66" i="61"/>
  <c r="G66" i="61"/>
  <c r="F66" i="61"/>
  <c r="E66" i="61"/>
  <c r="D66" i="61"/>
  <c r="C66" i="61"/>
  <c r="B66" i="61"/>
  <c r="A66" i="61"/>
  <c r="A53" i="61"/>
  <c r="B53" i="61"/>
  <c r="C53" i="61"/>
  <c r="D53" i="61"/>
  <c r="E53" i="61"/>
  <c r="F53" i="61"/>
  <c r="G53" i="61"/>
  <c r="H53" i="61"/>
  <c r="A54" i="61"/>
  <c r="B54" i="61"/>
  <c r="C54" i="61"/>
  <c r="L54" i="61" s="1"/>
  <c r="D54" i="61"/>
  <c r="E54" i="61"/>
  <c r="F54" i="61"/>
  <c r="G54" i="61"/>
  <c r="H54" i="61"/>
  <c r="A55" i="61"/>
  <c r="B55" i="61"/>
  <c r="C55" i="61"/>
  <c r="D55" i="61"/>
  <c r="E55" i="61"/>
  <c r="F55" i="61"/>
  <c r="G55" i="61"/>
  <c r="I55" i="61" s="1"/>
  <c r="J55" i="61" s="1"/>
  <c r="K55" i="61" s="1"/>
  <c r="M55" i="61" s="1"/>
  <c r="H55" i="61"/>
  <c r="A56" i="61"/>
  <c r="B56" i="61"/>
  <c r="C56" i="61"/>
  <c r="D56" i="61"/>
  <c r="E56" i="61"/>
  <c r="F56" i="61"/>
  <c r="G56" i="61"/>
  <c r="H56" i="61"/>
  <c r="A57" i="61"/>
  <c r="B57" i="61"/>
  <c r="C57" i="61"/>
  <c r="L57" i="61" s="1"/>
  <c r="D57" i="61"/>
  <c r="E57" i="61"/>
  <c r="F57" i="61"/>
  <c r="G57" i="61"/>
  <c r="H57" i="61"/>
  <c r="A58" i="61"/>
  <c r="B58" i="61"/>
  <c r="C58" i="61"/>
  <c r="D58" i="61"/>
  <c r="E58" i="61"/>
  <c r="F58" i="61"/>
  <c r="G58" i="61"/>
  <c r="I58" i="61" s="1"/>
  <c r="J58" i="61" s="1"/>
  <c r="K58" i="61" s="1"/>
  <c r="M58" i="61" s="1"/>
  <c r="H58" i="61"/>
  <c r="A59" i="61"/>
  <c r="B59" i="61"/>
  <c r="C59" i="61"/>
  <c r="D59" i="61"/>
  <c r="E59" i="61"/>
  <c r="F59" i="61"/>
  <c r="G59" i="61"/>
  <c r="H59" i="61"/>
  <c r="A60" i="61"/>
  <c r="B60" i="61"/>
  <c r="C60" i="61"/>
  <c r="L60" i="61" s="1"/>
  <c r="D60" i="61"/>
  <c r="E60" i="61"/>
  <c r="F60" i="61"/>
  <c r="G60" i="61"/>
  <c r="H60" i="61"/>
  <c r="A61" i="61"/>
  <c r="A62" i="61"/>
  <c r="B62" i="61"/>
  <c r="C62" i="61"/>
  <c r="D62" i="61"/>
  <c r="E62" i="61"/>
  <c r="F62" i="61"/>
  <c r="G62" i="61"/>
  <c r="H62" i="61"/>
  <c r="H52" i="61"/>
  <c r="I52" i="61" s="1"/>
  <c r="J52" i="61" s="1"/>
  <c r="K52" i="61" s="1"/>
  <c r="M52" i="61" s="1"/>
  <c r="G52" i="61"/>
  <c r="F52" i="61"/>
  <c r="E52" i="61"/>
  <c r="D52" i="61"/>
  <c r="C52" i="61"/>
  <c r="B52" i="61"/>
  <c r="A52" i="61"/>
  <c r="L48" i="61"/>
  <c r="B48" i="61"/>
  <c r="A48" i="61"/>
  <c r="L47" i="61"/>
  <c r="B47" i="61"/>
  <c r="A47" i="61"/>
  <c r="B46" i="61"/>
  <c r="A46" i="61"/>
  <c r="L45" i="61"/>
  <c r="B45" i="61"/>
  <c r="A45" i="61"/>
  <c r="L44" i="61"/>
  <c r="B44" i="61"/>
  <c r="A44" i="61"/>
  <c r="B43" i="61"/>
  <c r="A43" i="61"/>
  <c r="L42" i="61"/>
  <c r="B42" i="61"/>
  <c r="A42" i="61"/>
  <c r="I41" i="61"/>
  <c r="J41" i="61" s="1"/>
  <c r="K41" i="61" s="1"/>
  <c r="M41" i="61" s="1"/>
  <c r="L41" i="61"/>
  <c r="B41" i="61"/>
  <c r="A41" i="61"/>
  <c r="B40" i="61"/>
  <c r="A40" i="61"/>
  <c r="L39" i="61"/>
  <c r="B39" i="61"/>
  <c r="A39" i="61"/>
  <c r="I38" i="61"/>
  <c r="B38" i="61"/>
  <c r="A38" i="61"/>
  <c r="A24" i="61"/>
  <c r="B24" i="61"/>
  <c r="C24" i="61"/>
  <c r="D24" i="61"/>
  <c r="E24" i="61"/>
  <c r="F24" i="61"/>
  <c r="G24" i="61"/>
  <c r="H24" i="61"/>
  <c r="A25" i="61"/>
  <c r="B25" i="61"/>
  <c r="C25" i="61"/>
  <c r="L25" i="61" s="1"/>
  <c r="D25" i="61"/>
  <c r="E25" i="61"/>
  <c r="F25" i="61"/>
  <c r="G25" i="61"/>
  <c r="H25" i="61"/>
  <c r="A26" i="61"/>
  <c r="B26" i="61"/>
  <c r="C26" i="61"/>
  <c r="D26" i="61"/>
  <c r="E26" i="61"/>
  <c r="F26" i="61"/>
  <c r="G26" i="61"/>
  <c r="I26" i="61" s="1"/>
  <c r="J26" i="61" s="1"/>
  <c r="K26" i="61" s="1"/>
  <c r="M26" i="61" s="1"/>
  <c r="H26" i="61"/>
  <c r="A27" i="61"/>
  <c r="B27" i="61"/>
  <c r="C27" i="61"/>
  <c r="D27" i="61"/>
  <c r="E27" i="61"/>
  <c r="F27" i="61"/>
  <c r="G27" i="61"/>
  <c r="H27" i="61"/>
  <c r="A28" i="61"/>
  <c r="B28" i="61"/>
  <c r="C28" i="61"/>
  <c r="L28" i="61" s="1"/>
  <c r="D28" i="61"/>
  <c r="E28" i="61"/>
  <c r="F28" i="61"/>
  <c r="G28" i="61"/>
  <c r="H28" i="61"/>
  <c r="A29" i="61"/>
  <c r="B29" i="61"/>
  <c r="C29" i="61"/>
  <c r="D29" i="61"/>
  <c r="E29" i="61"/>
  <c r="F29" i="61"/>
  <c r="G29" i="61"/>
  <c r="I29" i="61" s="1"/>
  <c r="J29" i="61" s="1"/>
  <c r="K29" i="61" s="1"/>
  <c r="M29" i="61" s="1"/>
  <c r="H29" i="61"/>
  <c r="A30" i="61"/>
  <c r="B30" i="61"/>
  <c r="C30" i="61"/>
  <c r="D30" i="61"/>
  <c r="E30" i="61"/>
  <c r="F30" i="61"/>
  <c r="G30" i="61"/>
  <c r="H30" i="61"/>
  <c r="A31" i="61"/>
  <c r="B31" i="61"/>
  <c r="C31" i="61"/>
  <c r="L31" i="61" s="1"/>
  <c r="D31" i="61"/>
  <c r="E31" i="61"/>
  <c r="F31" i="61"/>
  <c r="G31" i="61"/>
  <c r="H31" i="61"/>
  <c r="A32" i="61"/>
  <c r="B32" i="61"/>
  <c r="C32" i="61"/>
  <c r="D32" i="61"/>
  <c r="E32" i="61"/>
  <c r="F32" i="61"/>
  <c r="G32" i="61"/>
  <c r="I32" i="61" s="1"/>
  <c r="J32" i="61" s="1"/>
  <c r="K32" i="61" s="1"/>
  <c r="M32" i="61" s="1"/>
  <c r="H32" i="61"/>
  <c r="A33" i="61"/>
  <c r="B33" i="61"/>
  <c r="C33" i="61"/>
  <c r="D33" i="61"/>
  <c r="E33" i="61"/>
  <c r="F33" i="61"/>
  <c r="G33" i="61"/>
  <c r="H33" i="61"/>
  <c r="H23" i="61"/>
  <c r="G23" i="61"/>
  <c r="F23" i="61"/>
  <c r="E23" i="61"/>
  <c r="D23" i="61"/>
  <c r="B23" i="61"/>
  <c r="C23" i="61"/>
  <c r="L23" i="61" s="1"/>
  <c r="A23" i="61"/>
  <c r="W90" i="61"/>
  <c r="V90" i="61"/>
  <c r="L90" i="61"/>
  <c r="W89" i="61"/>
  <c r="V89" i="61"/>
  <c r="W88" i="61"/>
  <c r="V88" i="61"/>
  <c r="L88" i="61"/>
  <c r="W87" i="61"/>
  <c r="V87" i="61"/>
  <c r="L87" i="61"/>
  <c r="W86" i="61"/>
  <c r="V86" i="61"/>
  <c r="W85" i="61"/>
  <c r="V85" i="61"/>
  <c r="L85" i="61"/>
  <c r="W84" i="61"/>
  <c r="V84" i="61"/>
  <c r="L84" i="61"/>
  <c r="W83" i="61"/>
  <c r="V83" i="61"/>
  <c r="I83" i="61"/>
  <c r="J83" i="61" s="1"/>
  <c r="K83" i="61" s="1"/>
  <c r="M83" i="61" s="1"/>
  <c r="W82" i="61"/>
  <c r="V82" i="61"/>
  <c r="W81" i="61"/>
  <c r="V81" i="61"/>
  <c r="W80" i="61"/>
  <c r="V80" i="61"/>
  <c r="I80" i="61"/>
  <c r="J80" i="61" s="1"/>
  <c r="W76" i="61"/>
  <c r="V76" i="61"/>
  <c r="I76" i="61"/>
  <c r="W74" i="61"/>
  <c r="V74" i="61"/>
  <c r="L74" i="61"/>
  <c r="W73" i="61"/>
  <c r="V73" i="61"/>
  <c r="I73" i="61"/>
  <c r="W72" i="61"/>
  <c r="V72" i="61"/>
  <c r="L72" i="61"/>
  <c r="I72" i="61"/>
  <c r="J72" i="61" s="1"/>
  <c r="W71" i="61"/>
  <c r="V71" i="61"/>
  <c r="L71" i="61"/>
  <c r="W70" i="61"/>
  <c r="V70" i="61"/>
  <c r="I70" i="61"/>
  <c r="W69" i="61"/>
  <c r="V69" i="61"/>
  <c r="L69" i="61"/>
  <c r="I69" i="61"/>
  <c r="J69" i="61" s="1"/>
  <c r="W68" i="61"/>
  <c r="V68" i="61"/>
  <c r="L68" i="61"/>
  <c r="W67" i="61"/>
  <c r="V67" i="61"/>
  <c r="I67" i="61"/>
  <c r="W66" i="61"/>
  <c r="V66" i="61"/>
  <c r="L66" i="61"/>
  <c r="I66" i="61"/>
  <c r="J66" i="61" s="1"/>
  <c r="W62" i="61"/>
  <c r="V62" i="61"/>
  <c r="L62" i="61"/>
  <c r="I62" i="61"/>
  <c r="J62" i="61" s="1"/>
  <c r="K62" i="61" s="1"/>
  <c r="M62" i="61" s="1"/>
  <c r="W60" i="61"/>
  <c r="V60" i="61"/>
  <c r="I60" i="61"/>
  <c r="W59" i="61"/>
  <c r="V59" i="61"/>
  <c r="L59" i="61"/>
  <c r="I59" i="61"/>
  <c r="J59" i="61" s="1"/>
  <c r="K59" i="61" s="1"/>
  <c r="M59" i="61" s="1"/>
  <c r="N59" i="61" s="1"/>
  <c r="O59" i="61" s="1"/>
  <c r="W58" i="61"/>
  <c r="V58" i="61"/>
  <c r="L58" i="61"/>
  <c r="W57" i="61"/>
  <c r="V57" i="61"/>
  <c r="I57" i="61"/>
  <c r="W56" i="61"/>
  <c r="V56" i="61"/>
  <c r="L56" i="61"/>
  <c r="I56" i="61"/>
  <c r="J56" i="61" s="1"/>
  <c r="K56" i="61" s="1"/>
  <c r="M56" i="61" s="1"/>
  <c r="N56" i="61" s="1"/>
  <c r="O56" i="61" s="1"/>
  <c r="W55" i="61"/>
  <c r="V55" i="61"/>
  <c r="L55" i="61"/>
  <c r="W54" i="61"/>
  <c r="V54" i="61"/>
  <c r="I54" i="61"/>
  <c r="W53" i="61"/>
  <c r="V53" i="61"/>
  <c r="L53" i="61"/>
  <c r="I53" i="61"/>
  <c r="J53" i="61" s="1"/>
  <c r="K53" i="61" s="1"/>
  <c r="M53" i="61" s="1"/>
  <c r="W52" i="61"/>
  <c r="V52" i="61"/>
  <c r="L52" i="61"/>
  <c r="W48" i="61"/>
  <c r="V48" i="61"/>
  <c r="W47" i="61"/>
  <c r="V47" i="61"/>
  <c r="W46" i="61"/>
  <c r="V46" i="61"/>
  <c r="L46" i="61"/>
  <c r="W45" i="61"/>
  <c r="V45" i="61"/>
  <c r="W44" i="61"/>
  <c r="V44" i="61"/>
  <c r="W43" i="61"/>
  <c r="V43" i="61"/>
  <c r="L43" i="61"/>
  <c r="W42" i="61"/>
  <c r="V42" i="61"/>
  <c r="W41" i="61"/>
  <c r="V41" i="61"/>
  <c r="W40" i="61"/>
  <c r="V40" i="61"/>
  <c r="L40" i="61"/>
  <c r="W39" i="61"/>
  <c r="V39" i="61"/>
  <c r="I39" i="61"/>
  <c r="W38" i="61"/>
  <c r="V38" i="61"/>
  <c r="L38" i="61"/>
  <c r="W33" i="61"/>
  <c r="V33" i="61"/>
  <c r="L33" i="61"/>
  <c r="I33" i="61"/>
  <c r="W32" i="61"/>
  <c r="V32" i="61"/>
  <c r="L32" i="61"/>
  <c r="W31" i="61"/>
  <c r="V31" i="61"/>
  <c r="I31" i="61"/>
  <c r="W30" i="61"/>
  <c r="V30" i="61"/>
  <c r="L30" i="61"/>
  <c r="I30" i="61"/>
  <c r="W29" i="61"/>
  <c r="V29" i="61"/>
  <c r="L29" i="61"/>
  <c r="W28" i="61"/>
  <c r="V28" i="61"/>
  <c r="I28" i="61"/>
  <c r="W27" i="61"/>
  <c r="V27" i="61"/>
  <c r="L27" i="61"/>
  <c r="W26" i="61"/>
  <c r="V26" i="61"/>
  <c r="L26" i="61"/>
  <c r="W25" i="61"/>
  <c r="V25" i="61"/>
  <c r="I25" i="61"/>
  <c r="W24" i="61"/>
  <c r="V24" i="61"/>
  <c r="L24" i="61"/>
  <c r="I24" i="61"/>
  <c r="W23" i="61"/>
  <c r="V23" i="61"/>
  <c r="G18" i="60"/>
  <c r="G19" i="60"/>
  <c r="G20" i="60"/>
  <c r="G21" i="60"/>
  <c r="G22" i="60"/>
  <c r="G23" i="60"/>
  <c r="I23" i="60" s="1"/>
  <c r="J23" i="60" s="1"/>
  <c r="K23" i="60" s="1"/>
  <c r="M23" i="60" s="1"/>
  <c r="G17" i="60"/>
  <c r="A18" i="60"/>
  <c r="B18" i="60"/>
  <c r="C18" i="60"/>
  <c r="L18" i="60" s="1"/>
  <c r="D18" i="60"/>
  <c r="E18" i="60"/>
  <c r="F18" i="60"/>
  <c r="H18" i="60"/>
  <c r="A19" i="60"/>
  <c r="B19" i="60"/>
  <c r="C19" i="60"/>
  <c r="L19" i="60" s="1"/>
  <c r="D19" i="60"/>
  <c r="E19" i="60"/>
  <c r="F19" i="60"/>
  <c r="H19" i="60"/>
  <c r="A20" i="60"/>
  <c r="B20" i="60"/>
  <c r="C20" i="60"/>
  <c r="D20" i="60"/>
  <c r="E20" i="60"/>
  <c r="F20" i="60"/>
  <c r="H20" i="60"/>
  <c r="I20" i="60" s="1"/>
  <c r="J20" i="60" s="1"/>
  <c r="K20" i="60" s="1"/>
  <c r="M20" i="60" s="1"/>
  <c r="A21" i="60"/>
  <c r="B21" i="60"/>
  <c r="C21" i="60"/>
  <c r="D21" i="60"/>
  <c r="E21" i="60"/>
  <c r="F21" i="60"/>
  <c r="H21" i="60"/>
  <c r="I21" i="60" s="1"/>
  <c r="A22" i="60"/>
  <c r="B22" i="60"/>
  <c r="C22" i="60"/>
  <c r="L22" i="60" s="1"/>
  <c r="D22" i="60"/>
  <c r="E22" i="60"/>
  <c r="F22" i="60"/>
  <c r="H22" i="60"/>
  <c r="A23" i="60"/>
  <c r="B23" i="60"/>
  <c r="C23" i="60"/>
  <c r="L23" i="60" s="1"/>
  <c r="D23" i="60"/>
  <c r="E23" i="60"/>
  <c r="F23" i="60"/>
  <c r="H23" i="60"/>
  <c r="H17" i="60"/>
  <c r="F17" i="60"/>
  <c r="E17" i="60"/>
  <c r="D17" i="60"/>
  <c r="C17" i="60"/>
  <c r="L17" i="60" s="1"/>
  <c r="B17" i="60"/>
  <c r="A17" i="60"/>
  <c r="W23" i="60"/>
  <c r="V23" i="60"/>
  <c r="W22" i="60"/>
  <c r="V22" i="60"/>
  <c r="I22" i="60"/>
  <c r="J22" i="60" s="1"/>
  <c r="K22" i="60" s="1"/>
  <c r="M22" i="60" s="1"/>
  <c r="W21" i="60"/>
  <c r="V21" i="60"/>
  <c r="L21" i="60"/>
  <c r="W20" i="60"/>
  <c r="V20" i="60"/>
  <c r="L20" i="60"/>
  <c r="W19" i="60"/>
  <c r="V19" i="60"/>
  <c r="I19" i="60"/>
  <c r="W18" i="60"/>
  <c r="V18" i="60"/>
  <c r="W17" i="60"/>
  <c r="V17" i="60"/>
  <c r="I17" i="60"/>
  <c r="I18" i="59"/>
  <c r="J18" i="59" s="1"/>
  <c r="K18" i="59" s="1"/>
  <c r="M18" i="59" s="1"/>
  <c r="L18" i="59"/>
  <c r="V18" i="59"/>
  <c r="W18" i="59"/>
  <c r="I19" i="59"/>
  <c r="J19" i="59"/>
  <c r="K19" i="59" s="1"/>
  <c r="M19" i="59" s="1"/>
  <c r="L19" i="59"/>
  <c r="V19" i="59"/>
  <c r="W19" i="59"/>
  <c r="I20" i="59"/>
  <c r="J20" i="59"/>
  <c r="K20" i="59"/>
  <c r="M20" i="59" s="1"/>
  <c r="L20" i="59"/>
  <c r="V20" i="59"/>
  <c r="W20" i="59"/>
  <c r="I21" i="59"/>
  <c r="J21" i="59"/>
  <c r="K21" i="59"/>
  <c r="M21" i="59" s="1"/>
  <c r="L21" i="59"/>
  <c r="U21" i="59" s="1"/>
  <c r="Y21" i="59" s="1"/>
  <c r="V21" i="59"/>
  <c r="W21" i="59"/>
  <c r="I22" i="59"/>
  <c r="J22" i="59" s="1"/>
  <c r="K22" i="59" s="1"/>
  <c r="M22" i="59" s="1"/>
  <c r="L22" i="59"/>
  <c r="V22" i="59"/>
  <c r="W22" i="59"/>
  <c r="I23" i="59"/>
  <c r="J23" i="59"/>
  <c r="K23" i="59" s="1"/>
  <c r="M23" i="59" s="1"/>
  <c r="L23" i="59"/>
  <c r="V23" i="59"/>
  <c r="W23" i="59"/>
  <c r="I24" i="59"/>
  <c r="J24" i="59"/>
  <c r="K24" i="59"/>
  <c r="M24" i="59" s="1"/>
  <c r="L24" i="59"/>
  <c r="V24" i="59"/>
  <c r="W24" i="59"/>
  <c r="I25" i="59"/>
  <c r="J25" i="59"/>
  <c r="K25" i="59"/>
  <c r="M25" i="59" s="1"/>
  <c r="L25" i="59"/>
  <c r="U25" i="59" s="1"/>
  <c r="Y25" i="59" s="1"/>
  <c r="V25" i="59"/>
  <c r="W25" i="59"/>
  <c r="I26" i="59"/>
  <c r="J26" i="59" s="1"/>
  <c r="K26" i="59" s="1"/>
  <c r="M26" i="59" s="1"/>
  <c r="L26" i="59"/>
  <c r="T26" i="59" s="1"/>
  <c r="X26" i="59" s="1"/>
  <c r="V26" i="59"/>
  <c r="W26" i="59"/>
  <c r="I27" i="59"/>
  <c r="J27" i="59"/>
  <c r="K27" i="59" s="1"/>
  <c r="M27" i="59" s="1"/>
  <c r="L27" i="59"/>
  <c r="V27" i="59"/>
  <c r="W27" i="59"/>
  <c r="I28" i="59"/>
  <c r="J28" i="59"/>
  <c r="K28" i="59"/>
  <c r="M28" i="59" s="1"/>
  <c r="L28" i="59"/>
  <c r="V28" i="59"/>
  <c r="W28" i="59"/>
  <c r="D27" i="59"/>
  <c r="C27" i="59"/>
  <c r="D23" i="59"/>
  <c r="C23" i="59"/>
  <c r="C21" i="59"/>
  <c r="D21" i="59"/>
  <c r="D20" i="59"/>
  <c r="C20" i="59"/>
  <c r="A18" i="59"/>
  <c r="C18" i="59"/>
  <c r="D18" i="59"/>
  <c r="E18" i="59"/>
  <c r="F18" i="59"/>
  <c r="G18" i="59"/>
  <c r="H18" i="59"/>
  <c r="A19" i="59"/>
  <c r="C19" i="59"/>
  <c r="D19" i="59"/>
  <c r="E19" i="59"/>
  <c r="F19" i="59"/>
  <c r="G19" i="59"/>
  <c r="H19" i="59"/>
  <c r="A20" i="59"/>
  <c r="E20" i="59"/>
  <c r="F20" i="59"/>
  <c r="G20" i="59"/>
  <c r="H20" i="59"/>
  <c r="A21" i="59"/>
  <c r="E21" i="59"/>
  <c r="F21" i="59"/>
  <c r="G21" i="59"/>
  <c r="H21" i="59"/>
  <c r="A22" i="59"/>
  <c r="C22" i="59"/>
  <c r="D22" i="59"/>
  <c r="E22" i="59"/>
  <c r="F22" i="59"/>
  <c r="G22" i="59"/>
  <c r="H22" i="59"/>
  <c r="A23" i="59"/>
  <c r="E23" i="59"/>
  <c r="F23" i="59"/>
  <c r="G23" i="59"/>
  <c r="H23" i="59"/>
  <c r="A24" i="59"/>
  <c r="C24" i="59"/>
  <c r="D24" i="59"/>
  <c r="E24" i="59"/>
  <c r="F24" i="59"/>
  <c r="G24" i="59"/>
  <c r="H24" i="59"/>
  <c r="A25" i="59"/>
  <c r="C25" i="59"/>
  <c r="D25" i="59"/>
  <c r="E25" i="59"/>
  <c r="F25" i="59"/>
  <c r="G25" i="59"/>
  <c r="H25" i="59"/>
  <c r="A26" i="59"/>
  <c r="C26" i="59"/>
  <c r="D26" i="59"/>
  <c r="E26" i="59"/>
  <c r="F26" i="59"/>
  <c r="G26" i="59"/>
  <c r="H26" i="59"/>
  <c r="A27" i="59"/>
  <c r="E27" i="59"/>
  <c r="F27" i="59"/>
  <c r="G27" i="59"/>
  <c r="H27" i="59"/>
  <c r="A28" i="59"/>
  <c r="C28" i="59"/>
  <c r="D28" i="59"/>
  <c r="E28" i="59"/>
  <c r="F28" i="59"/>
  <c r="G28" i="59"/>
  <c r="H28" i="59"/>
  <c r="H17" i="59"/>
  <c r="G17" i="59"/>
  <c r="F17" i="59"/>
  <c r="E17" i="59"/>
  <c r="D17" i="59"/>
  <c r="C17" i="59"/>
  <c r="L17" i="59" s="1"/>
  <c r="A17" i="59"/>
  <c r="W17" i="59"/>
  <c r="V17" i="59"/>
  <c r="I17" i="59"/>
  <c r="J17" i="59" s="1"/>
  <c r="V36" i="58"/>
  <c r="W36" i="58"/>
  <c r="A36" i="58"/>
  <c r="B36" i="58"/>
  <c r="C36" i="58"/>
  <c r="L36" i="58" s="1"/>
  <c r="D36" i="58"/>
  <c r="E36" i="58"/>
  <c r="F36" i="58"/>
  <c r="G36" i="58"/>
  <c r="I36" i="58" s="1"/>
  <c r="J36" i="58" s="1"/>
  <c r="K36" i="58" s="1"/>
  <c r="M36" i="58" s="1"/>
  <c r="H36" i="58"/>
  <c r="A32" i="58"/>
  <c r="B32" i="58"/>
  <c r="C32" i="58"/>
  <c r="D32" i="58"/>
  <c r="E32" i="58"/>
  <c r="F32" i="58"/>
  <c r="G32" i="58"/>
  <c r="H32" i="58"/>
  <c r="I32" i="58" s="1"/>
  <c r="J32" i="58" s="1"/>
  <c r="K32" i="58" s="1"/>
  <c r="M32" i="58" s="1"/>
  <c r="N32" i="58" s="1"/>
  <c r="O32" i="58" s="1"/>
  <c r="A33" i="58"/>
  <c r="B33" i="58"/>
  <c r="C33" i="58"/>
  <c r="D33" i="58"/>
  <c r="E33" i="58"/>
  <c r="F33" i="58"/>
  <c r="G33" i="58"/>
  <c r="H33" i="58"/>
  <c r="I33" i="58" s="1"/>
  <c r="J33" i="58" s="1"/>
  <c r="K33" i="58" s="1"/>
  <c r="M33" i="58" s="1"/>
  <c r="A34" i="58"/>
  <c r="B34" i="58"/>
  <c r="C34" i="58"/>
  <c r="D34" i="58"/>
  <c r="E34" i="58"/>
  <c r="F34" i="58"/>
  <c r="G34" i="58"/>
  <c r="H34" i="58"/>
  <c r="I34" i="58" s="1"/>
  <c r="J34" i="58" s="1"/>
  <c r="K34" i="58" s="1"/>
  <c r="M34" i="58" s="1"/>
  <c r="N34" i="58" s="1"/>
  <c r="O34" i="58" s="1"/>
  <c r="A35" i="58"/>
  <c r="B35" i="58"/>
  <c r="C35" i="58"/>
  <c r="D35" i="58"/>
  <c r="E35" i="58"/>
  <c r="F35" i="58"/>
  <c r="G35" i="58"/>
  <c r="H35" i="58"/>
  <c r="A18" i="58"/>
  <c r="B18" i="58"/>
  <c r="C18" i="58"/>
  <c r="D18" i="58"/>
  <c r="E18" i="58"/>
  <c r="F18" i="58"/>
  <c r="G18" i="58"/>
  <c r="H18" i="58"/>
  <c r="A19" i="58"/>
  <c r="B19" i="58"/>
  <c r="C19" i="58"/>
  <c r="D19" i="58"/>
  <c r="E19" i="58"/>
  <c r="F19" i="58"/>
  <c r="G19" i="58"/>
  <c r="H19" i="58"/>
  <c r="A20" i="58"/>
  <c r="B20" i="58"/>
  <c r="C20" i="58"/>
  <c r="L20" i="58" s="1"/>
  <c r="D20" i="58"/>
  <c r="E20" i="58"/>
  <c r="F20" i="58"/>
  <c r="G20" i="58"/>
  <c r="H20" i="58"/>
  <c r="A21" i="58"/>
  <c r="B21" i="58"/>
  <c r="C21" i="58"/>
  <c r="L21" i="58" s="1"/>
  <c r="D21" i="58"/>
  <c r="E21" i="58"/>
  <c r="F21" i="58"/>
  <c r="G21" i="58"/>
  <c r="H21" i="58"/>
  <c r="I21" i="58" s="1"/>
  <c r="J21" i="58" s="1"/>
  <c r="K21" i="58" s="1"/>
  <c r="M21" i="58" s="1"/>
  <c r="A22" i="58"/>
  <c r="B22" i="58"/>
  <c r="C22" i="58"/>
  <c r="L22" i="58" s="1"/>
  <c r="D22" i="58"/>
  <c r="E22" i="58"/>
  <c r="F22" i="58"/>
  <c r="G22" i="58"/>
  <c r="H22" i="58"/>
  <c r="I22" i="58" s="1"/>
  <c r="J22" i="58" s="1"/>
  <c r="K22" i="58" s="1"/>
  <c r="M22" i="58" s="1"/>
  <c r="N22" i="58" s="1"/>
  <c r="O22" i="58" s="1"/>
  <c r="A23" i="58"/>
  <c r="B23" i="58"/>
  <c r="C23" i="58"/>
  <c r="L23" i="58" s="1"/>
  <c r="D23" i="58"/>
  <c r="E23" i="58"/>
  <c r="F23" i="58"/>
  <c r="G23" i="58"/>
  <c r="H23" i="58"/>
  <c r="A24" i="58"/>
  <c r="B24" i="58"/>
  <c r="C24" i="58"/>
  <c r="D24" i="58"/>
  <c r="E24" i="58"/>
  <c r="F24" i="58"/>
  <c r="G24" i="58"/>
  <c r="H24" i="58"/>
  <c r="A25" i="58"/>
  <c r="B25" i="58"/>
  <c r="C25" i="58"/>
  <c r="D25" i="58"/>
  <c r="E25" i="58"/>
  <c r="F25" i="58"/>
  <c r="G25" i="58"/>
  <c r="H25" i="58"/>
  <c r="A26" i="58"/>
  <c r="B26" i="58"/>
  <c r="C26" i="58"/>
  <c r="D26" i="58"/>
  <c r="E26" i="58"/>
  <c r="F26" i="58"/>
  <c r="G26" i="58"/>
  <c r="H26" i="58"/>
  <c r="A27" i="58"/>
  <c r="B27" i="58"/>
  <c r="C27" i="58"/>
  <c r="D27" i="58"/>
  <c r="E27" i="58"/>
  <c r="F27" i="58"/>
  <c r="G27" i="58"/>
  <c r="H27" i="58"/>
  <c r="I27" i="58" s="1"/>
  <c r="J27" i="58" s="1"/>
  <c r="K27" i="58" s="1"/>
  <c r="M27" i="58" s="1"/>
  <c r="A28" i="58"/>
  <c r="B28" i="58"/>
  <c r="C28" i="58"/>
  <c r="L28" i="58" s="1"/>
  <c r="D28" i="58"/>
  <c r="E28" i="58"/>
  <c r="F28" i="58"/>
  <c r="G28" i="58"/>
  <c r="H28" i="58"/>
  <c r="I28" i="58" s="1"/>
  <c r="J28" i="58" s="1"/>
  <c r="K28" i="58" s="1"/>
  <c r="M28" i="58" s="1"/>
  <c r="A29" i="58"/>
  <c r="B29" i="58"/>
  <c r="C29" i="58"/>
  <c r="L29" i="58" s="1"/>
  <c r="D29" i="58"/>
  <c r="E29" i="58"/>
  <c r="F29" i="58"/>
  <c r="G29" i="58"/>
  <c r="H29" i="58"/>
  <c r="I29" i="58" s="1"/>
  <c r="J29" i="58" s="1"/>
  <c r="K29" i="58" s="1"/>
  <c r="M29" i="58" s="1"/>
  <c r="A30" i="58"/>
  <c r="B30" i="58"/>
  <c r="C30" i="58"/>
  <c r="L30" i="58" s="1"/>
  <c r="D30" i="58"/>
  <c r="E30" i="58"/>
  <c r="F30" i="58"/>
  <c r="G30" i="58"/>
  <c r="H30" i="58"/>
  <c r="I30" i="58" s="1"/>
  <c r="J30" i="58" s="1"/>
  <c r="K30" i="58" s="1"/>
  <c r="M30" i="58" s="1"/>
  <c r="N30" i="58" s="1"/>
  <c r="O30" i="58" s="1"/>
  <c r="A31" i="58"/>
  <c r="B31" i="58"/>
  <c r="C31" i="58"/>
  <c r="L31" i="58" s="1"/>
  <c r="D31" i="58"/>
  <c r="E31" i="58"/>
  <c r="F31" i="58"/>
  <c r="G31" i="58"/>
  <c r="H31" i="58"/>
  <c r="H17" i="58"/>
  <c r="G17" i="58"/>
  <c r="F17" i="58"/>
  <c r="E17" i="58"/>
  <c r="D17" i="58"/>
  <c r="B17" i="58"/>
  <c r="C17" i="58"/>
  <c r="A17" i="58"/>
  <c r="W35" i="58"/>
  <c r="V35" i="58"/>
  <c r="L35" i="58"/>
  <c r="I35" i="58"/>
  <c r="J35" i="58" s="1"/>
  <c r="K35" i="58" s="1"/>
  <c r="M35" i="58" s="1"/>
  <c r="N35" i="58" s="1"/>
  <c r="O35" i="58" s="1"/>
  <c r="W34" i="58"/>
  <c r="V34" i="58"/>
  <c r="L34" i="58"/>
  <c r="W33" i="58"/>
  <c r="V33" i="58"/>
  <c r="L33" i="58"/>
  <c r="W32" i="58"/>
  <c r="V32" i="58"/>
  <c r="L32" i="58"/>
  <c r="W31" i="58"/>
  <c r="V31" i="58"/>
  <c r="W30" i="58"/>
  <c r="V30" i="58"/>
  <c r="W29" i="58"/>
  <c r="V29" i="58"/>
  <c r="W28" i="58"/>
  <c r="V28" i="58"/>
  <c r="W27" i="58"/>
  <c r="V27" i="58"/>
  <c r="L27" i="58"/>
  <c r="W26" i="58"/>
  <c r="V26" i="58"/>
  <c r="L26" i="58"/>
  <c r="W25" i="58"/>
  <c r="V25" i="58"/>
  <c r="L25" i="58"/>
  <c r="W24" i="58"/>
  <c r="V24" i="58"/>
  <c r="L24" i="58"/>
  <c r="W23" i="58"/>
  <c r="V23" i="58"/>
  <c r="W22" i="58"/>
  <c r="V22" i="58"/>
  <c r="W21" i="58"/>
  <c r="V21" i="58"/>
  <c r="W20" i="58"/>
  <c r="V20" i="58"/>
  <c r="I20" i="58"/>
  <c r="J20" i="58" s="1"/>
  <c r="K20" i="58" s="1"/>
  <c r="M20" i="58" s="1"/>
  <c r="N20" i="58" s="1"/>
  <c r="O20" i="58" s="1"/>
  <c r="W19" i="58"/>
  <c r="V19" i="58"/>
  <c r="L19" i="58"/>
  <c r="I19" i="58"/>
  <c r="J19" i="58" s="1"/>
  <c r="K19" i="58" s="1"/>
  <c r="M19" i="58" s="1"/>
  <c r="W18" i="58"/>
  <c r="V18" i="58"/>
  <c r="L18" i="58"/>
  <c r="W17" i="58"/>
  <c r="V17" i="58"/>
  <c r="L17" i="58"/>
  <c r="I17" i="58"/>
  <c r="U24" i="66" l="1"/>
  <c r="Y24" i="66" s="1"/>
  <c r="U23" i="66"/>
  <c r="Y23" i="66" s="1"/>
  <c r="U29" i="67"/>
  <c r="Y29" i="67" s="1"/>
  <c r="U17" i="67"/>
  <c r="Y17" i="67" s="1"/>
  <c r="U23" i="67"/>
  <c r="Y23" i="67" s="1"/>
  <c r="U26" i="67"/>
  <c r="Y26" i="67" s="1"/>
  <c r="N24" i="67"/>
  <c r="O24" i="67" s="1"/>
  <c r="T24" i="67"/>
  <c r="X24" i="67" s="1"/>
  <c r="U24" i="67"/>
  <c r="Y24" i="67" s="1"/>
  <c r="U18" i="67"/>
  <c r="Y18" i="67" s="1"/>
  <c r="U21" i="67"/>
  <c r="Y21" i="67" s="1"/>
  <c r="U27" i="67"/>
  <c r="Y27" i="67" s="1"/>
  <c r="N20" i="67"/>
  <c r="O20" i="67" s="1"/>
  <c r="T20" i="67"/>
  <c r="X20" i="67" s="1"/>
  <c r="U20" i="67"/>
  <c r="Y20" i="67" s="1"/>
  <c r="N28" i="67"/>
  <c r="O28" i="67" s="1"/>
  <c r="T28" i="67"/>
  <c r="X28" i="67" s="1"/>
  <c r="U28" i="67"/>
  <c r="Y28" i="67" s="1"/>
  <c r="U19" i="67"/>
  <c r="Y19" i="67" s="1"/>
  <c r="U22" i="67"/>
  <c r="Y22" i="67" s="1"/>
  <c r="U25" i="67"/>
  <c r="Y25" i="67" s="1"/>
  <c r="T17" i="67"/>
  <c r="X17" i="67" s="1"/>
  <c r="T21" i="67"/>
  <c r="X21" i="67" s="1"/>
  <c r="T25" i="67"/>
  <c r="X25" i="67" s="1"/>
  <c r="T29" i="67"/>
  <c r="X29" i="67" s="1"/>
  <c r="T18" i="67"/>
  <c r="X18" i="67" s="1"/>
  <c r="T22" i="67"/>
  <c r="X22" i="67" s="1"/>
  <c r="T26" i="67"/>
  <c r="X26" i="67" s="1"/>
  <c r="T19" i="67"/>
  <c r="X19" i="67" s="1"/>
  <c r="T23" i="67"/>
  <c r="X23" i="67" s="1"/>
  <c r="T27" i="67"/>
  <c r="X27" i="67" s="1"/>
  <c r="T24" i="66"/>
  <c r="X24" i="66" s="1"/>
  <c r="N24" i="66"/>
  <c r="O24" i="66" s="1"/>
  <c r="U26" i="66"/>
  <c r="Y26" i="66" s="1"/>
  <c r="N25" i="66"/>
  <c r="O25" i="66" s="1"/>
  <c r="T25" i="66"/>
  <c r="X25" i="66" s="1"/>
  <c r="U25" i="66"/>
  <c r="Y25" i="66" s="1"/>
  <c r="U22" i="66"/>
  <c r="Y22" i="66" s="1"/>
  <c r="T22" i="66"/>
  <c r="X22" i="66" s="1"/>
  <c r="T26" i="66"/>
  <c r="X26" i="66" s="1"/>
  <c r="T23" i="66"/>
  <c r="X23" i="66" s="1"/>
  <c r="I24" i="65"/>
  <c r="J24" i="65" s="1"/>
  <c r="K24" i="65" s="1"/>
  <c r="M24" i="65" s="1"/>
  <c r="I21" i="65"/>
  <c r="J21" i="65" s="1"/>
  <c r="K21" i="65" s="1"/>
  <c r="M21" i="65" s="1"/>
  <c r="I17" i="65"/>
  <c r="J19" i="65"/>
  <c r="K19" i="65" s="1"/>
  <c r="M19" i="65" s="1"/>
  <c r="N19" i="65" s="1"/>
  <c r="O19" i="65" s="1"/>
  <c r="T23" i="65"/>
  <c r="X23" i="65" s="1"/>
  <c r="N22" i="65"/>
  <c r="O22" i="65" s="1"/>
  <c r="U26" i="65"/>
  <c r="Y26" i="65" s="1"/>
  <c r="U18" i="65"/>
  <c r="Y18" i="65" s="1"/>
  <c r="T21" i="65"/>
  <c r="X21" i="65" s="1"/>
  <c r="J17" i="65"/>
  <c r="K17" i="65" s="1"/>
  <c r="M17" i="65" s="1"/>
  <c r="T17" i="65" s="1"/>
  <c r="X17" i="65" s="1"/>
  <c r="U21" i="65"/>
  <c r="Y21" i="65" s="1"/>
  <c r="N21" i="65"/>
  <c r="O21" i="65" s="1"/>
  <c r="N24" i="65"/>
  <c r="O24" i="65" s="1"/>
  <c r="T24" i="65"/>
  <c r="X24" i="65" s="1"/>
  <c r="U24" i="65"/>
  <c r="Y24" i="65" s="1"/>
  <c r="U19" i="65"/>
  <c r="Y19" i="65" s="1"/>
  <c r="U25" i="65"/>
  <c r="Y25" i="65" s="1"/>
  <c r="N25" i="65"/>
  <c r="O25" i="65" s="1"/>
  <c r="U22" i="65"/>
  <c r="Y22" i="65" s="1"/>
  <c r="T25" i="65"/>
  <c r="X25" i="65" s="1"/>
  <c r="N20" i="65"/>
  <c r="O20" i="65" s="1"/>
  <c r="U20" i="65"/>
  <c r="Y20" i="65" s="1"/>
  <c r="T20" i="65"/>
  <c r="X20" i="65" s="1"/>
  <c r="U23" i="65"/>
  <c r="Y23" i="65" s="1"/>
  <c r="N23" i="65"/>
  <c r="O23" i="65" s="1"/>
  <c r="T18" i="65"/>
  <c r="X18" i="65" s="1"/>
  <c r="T22" i="65"/>
  <c r="X22" i="65" s="1"/>
  <c r="T26" i="65"/>
  <c r="X26" i="65" s="1"/>
  <c r="I17" i="64"/>
  <c r="J21" i="64"/>
  <c r="K21" i="64" s="1"/>
  <c r="M21" i="64" s="1"/>
  <c r="N21" i="64" s="1"/>
  <c r="O21" i="64" s="1"/>
  <c r="J24" i="64"/>
  <c r="K24" i="64" s="1"/>
  <c r="M24" i="64" s="1"/>
  <c r="J27" i="64"/>
  <c r="K27" i="64" s="1"/>
  <c r="M27" i="64" s="1"/>
  <c r="N27" i="64" s="1"/>
  <c r="O27" i="64" s="1"/>
  <c r="J30" i="64"/>
  <c r="K30" i="64" s="1"/>
  <c r="M30" i="64" s="1"/>
  <c r="N30" i="64" s="1"/>
  <c r="O30" i="64" s="1"/>
  <c r="J19" i="64"/>
  <c r="K19" i="64" s="1"/>
  <c r="M19" i="64" s="1"/>
  <c r="N19" i="64" s="1"/>
  <c r="O19" i="64" s="1"/>
  <c r="J22" i="64"/>
  <c r="K22" i="64" s="1"/>
  <c r="M22" i="64" s="1"/>
  <c r="N22" i="64" s="1"/>
  <c r="O22" i="64" s="1"/>
  <c r="J25" i="64"/>
  <c r="K25" i="64" s="1"/>
  <c r="M25" i="64" s="1"/>
  <c r="N25" i="64" s="1"/>
  <c r="O25" i="64" s="1"/>
  <c r="J28" i="64"/>
  <c r="K28" i="64" s="1"/>
  <c r="M28" i="64" s="1"/>
  <c r="N28" i="64" s="1"/>
  <c r="O28" i="64" s="1"/>
  <c r="J31" i="64"/>
  <c r="K31" i="64" s="1"/>
  <c r="M31" i="64" s="1"/>
  <c r="N31" i="64" s="1"/>
  <c r="O31" i="64" s="1"/>
  <c r="J17" i="64"/>
  <c r="K17" i="64" s="1"/>
  <c r="M17" i="64" s="1"/>
  <c r="N32" i="64"/>
  <c r="O32" i="64" s="1"/>
  <c r="T32" i="64"/>
  <c r="X32" i="64" s="1"/>
  <c r="U32" i="64"/>
  <c r="Y32" i="64" s="1"/>
  <c r="U23" i="64"/>
  <c r="Y23" i="64" s="1"/>
  <c r="U26" i="64"/>
  <c r="Y26" i="64" s="1"/>
  <c r="U29" i="64"/>
  <c r="Y29" i="64" s="1"/>
  <c r="N24" i="64"/>
  <c r="O24" i="64" s="1"/>
  <c r="T24" i="64"/>
  <c r="X24" i="64" s="1"/>
  <c r="U24" i="64"/>
  <c r="Y24" i="64" s="1"/>
  <c r="U18" i="64"/>
  <c r="Y18" i="64" s="1"/>
  <c r="U21" i="64"/>
  <c r="Y21" i="64" s="1"/>
  <c r="U27" i="64"/>
  <c r="Y27" i="64" s="1"/>
  <c r="U30" i="64"/>
  <c r="Y30" i="64" s="1"/>
  <c r="N20" i="64"/>
  <c r="O20" i="64" s="1"/>
  <c r="T20" i="64"/>
  <c r="X20" i="64" s="1"/>
  <c r="U20" i="64"/>
  <c r="Y20" i="64" s="1"/>
  <c r="U22" i="64"/>
  <c r="Y22" i="64" s="1"/>
  <c r="U25" i="64"/>
  <c r="Y25" i="64" s="1"/>
  <c r="T21" i="64"/>
  <c r="X21" i="64" s="1"/>
  <c r="T25" i="64"/>
  <c r="X25" i="64" s="1"/>
  <c r="T29" i="64"/>
  <c r="X29" i="64" s="1"/>
  <c r="T18" i="64"/>
  <c r="X18" i="64" s="1"/>
  <c r="T22" i="64"/>
  <c r="X22" i="64" s="1"/>
  <c r="T26" i="64"/>
  <c r="X26" i="64" s="1"/>
  <c r="T30" i="64"/>
  <c r="X30" i="64" s="1"/>
  <c r="T23" i="64"/>
  <c r="X23" i="64" s="1"/>
  <c r="T27" i="64"/>
  <c r="X27" i="64" s="1"/>
  <c r="J151" i="63"/>
  <c r="K151" i="63" s="1"/>
  <c r="M151" i="63" s="1"/>
  <c r="T151" i="63" s="1"/>
  <c r="X151" i="63" s="1"/>
  <c r="J154" i="63"/>
  <c r="K154" i="63" s="1"/>
  <c r="M154" i="63" s="1"/>
  <c r="T154" i="63" s="1"/>
  <c r="X154" i="63" s="1"/>
  <c r="K140" i="63"/>
  <c r="M140" i="63" s="1"/>
  <c r="K107" i="63"/>
  <c r="M107" i="63" s="1"/>
  <c r="N107" i="63" s="1"/>
  <c r="O107" i="63" s="1"/>
  <c r="K110" i="63"/>
  <c r="M110" i="63" s="1"/>
  <c r="N110" i="63" s="1"/>
  <c r="O110" i="63" s="1"/>
  <c r="K113" i="63"/>
  <c r="M113" i="63" s="1"/>
  <c r="N101" i="63"/>
  <c r="O101" i="63" s="1"/>
  <c r="J85" i="63"/>
  <c r="K85" i="63" s="1"/>
  <c r="M85" i="63" s="1"/>
  <c r="N85" i="63" s="1"/>
  <c r="O85" i="63" s="1"/>
  <c r="J88" i="63"/>
  <c r="K88" i="63" s="1"/>
  <c r="M88" i="63" s="1"/>
  <c r="N88" i="63" s="1"/>
  <c r="O88" i="63" s="1"/>
  <c r="J91" i="63"/>
  <c r="K91" i="63" s="1"/>
  <c r="M91" i="63" s="1"/>
  <c r="N91" i="63" s="1"/>
  <c r="O91" i="63" s="1"/>
  <c r="K77" i="63"/>
  <c r="M77" i="63" s="1"/>
  <c r="K76" i="63"/>
  <c r="M76" i="63" s="1"/>
  <c r="N64" i="63"/>
  <c r="O64" i="63" s="1"/>
  <c r="K63" i="63"/>
  <c r="M63" i="63" s="1"/>
  <c r="K69" i="63"/>
  <c r="M69" i="63" s="1"/>
  <c r="T69" i="63" s="1"/>
  <c r="X69" i="63" s="1"/>
  <c r="N57" i="63"/>
  <c r="O57" i="63" s="1"/>
  <c r="U52" i="63"/>
  <c r="Y52" i="63" s="1"/>
  <c r="U55" i="63"/>
  <c r="Y55" i="63" s="1"/>
  <c r="J43" i="63"/>
  <c r="K43" i="63" s="1"/>
  <c r="M43" i="63" s="1"/>
  <c r="J46" i="63"/>
  <c r="K46" i="63" s="1"/>
  <c r="M46" i="63" s="1"/>
  <c r="N46" i="63" s="1"/>
  <c r="O46" i="63" s="1"/>
  <c r="J42" i="63"/>
  <c r="K42" i="63" s="1"/>
  <c r="M42" i="63" s="1"/>
  <c r="N42" i="63" s="1"/>
  <c r="O42" i="63" s="1"/>
  <c r="J45" i="63"/>
  <c r="K45" i="63" s="1"/>
  <c r="M45" i="63" s="1"/>
  <c r="N45" i="63" s="1"/>
  <c r="O45" i="63" s="1"/>
  <c r="J48" i="63"/>
  <c r="K48" i="63" s="1"/>
  <c r="M48" i="63" s="1"/>
  <c r="N48" i="63" s="1"/>
  <c r="O48" i="63" s="1"/>
  <c r="I41" i="63"/>
  <c r="J41" i="63" s="1"/>
  <c r="K41" i="63" s="1"/>
  <c r="M41" i="63" s="1"/>
  <c r="U81" i="63"/>
  <c r="Y81" i="63" s="1"/>
  <c r="U114" i="63"/>
  <c r="Y114" i="63" s="1"/>
  <c r="U123" i="63"/>
  <c r="Y123" i="63" s="1"/>
  <c r="N52" i="63"/>
  <c r="O52" i="63" s="1"/>
  <c r="N55" i="63"/>
  <c r="O55" i="63" s="1"/>
  <c r="N79" i="63"/>
  <c r="O79" i="63" s="1"/>
  <c r="U132" i="63"/>
  <c r="Y132" i="63" s="1"/>
  <c r="U147" i="63"/>
  <c r="Y147" i="63" s="1"/>
  <c r="U140" i="63"/>
  <c r="Y140" i="63" s="1"/>
  <c r="U155" i="63"/>
  <c r="Y155" i="63" s="1"/>
  <c r="N53" i="63"/>
  <c r="O53" i="63" s="1"/>
  <c r="U64" i="63"/>
  <c r="Y64" i="63" s="1"/>
  <c r="U133" i="63"/>
  <c r="Y133" i="63" s="1"/>
  <c r="U151" i="63"/>
  <c r="Y151" i="63" s="1"/>
  <c r="T132" i="63"/>
  <c r="X132" i="63" s="1"/>
  <c r="N132" i="63"/>
  <c r="O132" i="63" s="1"/>
  <c r="T147" i="63"/>
  <c r="X147" i="63" s="1"/>
  <c r="N147" i="63"/>
  <c r="O147" i="63" s="1"/>
  <c r="T129" i="63"/>
  <c r="X129" i="63" s="1"/>
  <c r="N129" i="63"/>
  <c r="O129" i="63" s="1"/>
  <c r="U136" i="63"/>
  <c r="Y136" i="63" s="1"/>
  <c r="U154" i="63"/>
  <c r="Y154" i="63" s="1"/>
  <c r="T134" i="63"/>
  <c r="X134" i="63" s="1"/>
  <c r="N134" i="63"/>
  <c r="O134" i="63" s="1"/>
  <c r="T140" i="63"/>
  <c r="X140" i="63" s="1"/>
  <c r="N140" i="63"/>
  <c r="O140" i="63" s="1"/>
  <c r="T155" i="63"/>
  <c r="X155" i="63" s="1"/>
  <c r="N155" i="63"/>
  <c r="O155" i="63" s="1"/>
  <c r="T130" i="63"/>
  <c r="X130" i="63" s="1"/>
  <c r="N130" i="63"/>
  <c r="O130" i="63" s="1"/>
  <c r="T145" i="63"/>
  <c r="X145" i="63" s="1"/>
  <c r="N145" i="63"/>
  <c r="O145" i="63" s="1"/>
  <c r="N153" i="63"/>
  <c r="O153" i="63" s="1"/>
  <c r="T153" i="63"/>
  <c r="X153" i="63" s="1"/>
  <c r="U153" i="63"/>
  <c r="Y153" i="63" s="1"/>
  <c r="U130" i="63"/>
  <c r="Y130" i="63" s="1"/>
  <c r="T158" i="63"/>
  <c r="X158" i="63" s="1"/>
  <c r="N158" i="63"/>
  <c r="O158" i="63" s="1"/>
  <c r="T133" i="63"/>
  <c r="X133" i="63" s="1"/>
  <c r="N133" i="63"/>
  <c r="O133" i="63" s="1"/>
  <c r="U143" i="63"/>
  <c r="Y143" i="63" s="1"/>
  <c r="N151" i="63"/>
  <c r="O151" i="63" s="1"/>
  <c r="U158" i="63"/>
  <c r="Y158" i="63" s="1"/>
  <c r="T143" i="63"/>
  <c r="X143" i="63" s="1"/>
  <c r="N143" i="63"/>
  <c r="O143" i="63" s="1"/>
  <c r="T141" i="63"/>
  <c r="X141" i="63" s="1"/>
  <c r="N141" i="63"/>
  <c r="O141" i="63" s="1"/>
  <c r="T156" i="63"/>
  <c r="X156" i="63" s="1"/>
  <c r="N156" i="63"/>
  <c r="O156" i="63" s="1"/>
  <c r="N135" i="63"/>
  <c r="O135" i="63" s="1"/>
  <c r="T135" i="63"/>
  <c r="X135" i="63" s="1"/>
  <c r="U135" i="63"/>
  <c r="Y135" i="63" s="1"/>
  <c r="U145" i="63"/>
  <c r="Y145" i="63" s="1"/>
  <c r="N131" i="63"/>
  <c r="O131" i="63" s="1"/>
  <c r="T131" i="63"/>
  <c r="X131" i="63" s="1"/>
  <c r="U131" i="63"/>
  <c r="Y131" i="63" s="1"/>
  <c r="U141" i="63"/>
  <c r="Y141" i="63" s="1"/>
  <c r="N146" i="63"/>
  <c r="O146" i="63" s="1"/>
  <c r="T146" i="63"/>
  <c r="X146" i="63" s="1"/>
  <c r="U146" i="63"/>
  <c r="Y146" i="63" s="1"/>
  <c r="U156" i="63"/>
  <c r="Y156" i="63" s="1"/>
  <c r="T136" i="63"/>
  <c r="X136" i="63" s="1"/>
  <c r="N136" i="63"/>
  <c r="O136" i="63" s="1"/>
  <c r="N154" i="63"/>
  <c r="O154" i="63" s="1"/>
  <c r="T144" i="63"/>
  <c r="X144" i="63" s="1"/>
  <c r="N144" i="63"/>
  <c r="O144" i="63" s="1"/>
  <c r="U129" i="63"/>
  <c r="Y129" i="63" s="1"/>
  <c r="U144" i="63"/>
  <c r="Y144" i="63" s="1"/>
  <c r="T152" i="63"/>
  <c r="X152" i="63" s="1"/>
  <c r="N152" i="63"/>
  <c r="O152" i="63" s="1"/>
  <c r="U134" i="63"/>
  <c r="Y134" i="63" s="1"/>
  <c r="N142" i="63"/>
  <c r="O142" i="63" s="1"/>
  <c r="T142" i="63"/>
  <c r="X142" i="63" s="1"/>
  <c r="U142" i="63"/>
  <c r="Y142" i="63" s="1"/>
  <c r="U152" i="63"/>
  <c r="Y152" i="63" s="1"/>
  <c r="N157" i="63"/>
  <c r="O157" i="63" s="1"/>
  <c r="T157" i="63"/>
  <c r="X157" i="63" s="1"/>
  <c r="U157" i="63"/>
  <c r="Y157" i="63" s="1"/>
  <c r="N120" i="63"/>
  <c r="O120" i="63" s="1"/>
  <c r="U120" i="63"/>
  <c r="Y120" i="63" s="1"/>
  <c r="T120" i="63"/>
  <c r="X120" i="63" s="1"/>
  <c r="U96" i="63"/>
  <c r="Y96" i="63" s="1"/>
  <c r="U108" i="63"/>
  <c r="Y108" i="63" s="1"/>
  <c r="U90" i="63"/>
  <c r="Y90" i="63" s="1"/>
  <c r="U99" i="63"/>
  <c r="Y99" i="63" s="1"/>
  <c r="U111" i="63"/>
  <c r="Y111" i="63" s="1"/>
  <c r="N102" i="63"/>
  <c r="O102" i="63" s="1"/>
  <c r="U102" i="63"/>
  <c r="Y102" i="63" s="1"/>
  <c r="T102" i="63"/>
  <c r="X102" i="63" s="1"/>
  <c r="U91" i="63"/>
  <c r="Y91" i="63" s="1"/>
  <c r="T91" i="63"/>
  <c r="X91" i="63" s="1"/>
  <c r="N124" i="63"/>
  <c r="O124" i="63" s="1"/>
  <c r="U124" i="63"/>
  <c r="Y124" i="63" s="1"/>
  <c r="T124" i="63"/>
  <c r="X124" i="63" s="1"/>
  <c r="N87" i="63"/>
  <c r="O87" i="63" s="1"/>
  <c r="U87" i="63"/>
  <c r="Y87" i="63" s="1"/>
  <c r="T87" i="63"/>
  <c r="X87" i="63" s="1"/>
  <c r="U85" i="63"/>
  <c r="Y85" i="63" s="1"/>
  <c r="U88" i="63"/>
  <c r="Y88" i="63" s="1"/>
  <c r="U97" i="63"/>
  <c r="Y97" i="63" s="1"/>
  <c r="U100" i="63"/>
  <c r="Y100" i="63" s="1"/>
  <c r="U103" i="63"/>
  <c r="Y103" i="63" s="1"/>
  <c r="U112" i="63"/>
  <c r="Y112" i="63" s="1"/>
  <c r="U118" i="63"/>
  <c r="Y118" i="63" s="1"/>
  <c r="U121" i="63"/>
  <c r="Y121" i="63" s="1"/>
  <c r="N109" i="63"/>
  <c r="O109" i="63" s="1"/>
  <c r="U109" i="63"/>
  <c r="Y109" i="63" s="1"/>
  <c r="T109" i="63"/>
  <c r="X109" i="63" s="1"/>
  <c r="N98" i="63"/>
  <c r="O98" i="63" s="1"/>
  <c r="U98" i="63"/>
  <c r="Y98" i="63" s="1"/>
  <c r="T98" i="63"/>
  <c r="X98" i="63" s="1"/>
  <c r="U86" i="63"/>
  <c r="Y86" i="63" s="1"/>
  <c r="U89" i="63"/>
  <c r="Y89" i="63" s="1"/>
  <c r="U92" i="63"/>
  <c r="Y92" i="63" s="1"/>
  <c r="U101" i="63"/>
  <c r="Y101" i="63" s="1"/>
  <c r="U107" i="63"/>
  <c r="Y107" i="63" s="1"/>
  <c r="U110" i="63"/>
  <c r="Y110" i="63" s="1"/>
  <c r="U119" i="63"/>
  <c r="Y119" i="63" s="1"/>
  <c r="U122" i="63"/>
  <c r="Y122" i="63" s="1"/>
  <c r="U125" i="63"/>
  <c r="Y125" i="63" s="1"/>
  <c r="N113" i="63"/>
  <c r="O113" i="63" s="1"/>
  <c r="U113" i="63"/>
  <c r="Y113" i="63" s="1"/>
  <c r="T113" i="63"/>
  <c r="X113" i="63" s="1"/>
  <c r="T88" i="63"/>
  <c r="X88" i="63" s="1"/>
  <c r="T92" i="63"/>
  <c r="X92" i="63" s="1"/>
  <c r="T99" i="63"/>
  <c r="X99" i="63" s="1"/>
  <c r="T103" i="63"/>
  <c r="X103" i="63" s="1"/>
  <c r="T110" i="63"/>
  <c r="X110" i="63" s="1"/>
  <c r="T114" i="63"/>
  <c r="X114" i="63" s="1"/>
  <c r="T121" i="63"/>
  <c r="X121" i="63" s="1"/>
  <c r="T125" i="63"/>
  <c r="X125" i="63" s="1"/>
  <c r="T85" i="63"/>
  <c r="X85" i="63" s="1"/>
  <c r="T89" i="63"/>
  <c r="X89" i="63" s="1"/>
  <c r="T96" i="63"/>
  <c r="X96" i="63" s="1"/>
  <c r="T100" i="63"/>
  <c r="X100" i="63" s="1"/>
  <c r="T107" i="63"/>
  <c r="X107" i="63" s="1"/>
  <c r="T111" i="63"/>
  <c r="X111" i="63" s="1"/>
  <c r="T118" i="63"/>
  <c r="X118" i="63" s="1"/>
  <c r="T122" i="63"/>
  <c r="X122" i="63" s="1"/>
  <c r="T86" i="63"/>
  <c r="X86" i="63" s="1"/>
  <c r="T90" i="63"/>
  <c r="X90" i="63" s="1"/>
  <c r="T97" i="63"/>
  <c r="X97" i="63" s="1"/>
  <c r="T101" i="63"/>
  <c r="X101" i="63" s="1"/>
  <c r="T108" i="63"/>
  <c r="X108" i="63" s="1"/>
  <c r="T112" i="63"/>
  <c r="X112" i="63" s="1"/>
  <c r="T119" i="63"/>
  <c r="X119" i="63" s="1"/>
  <c r="T123" i="63"/>
  <c r="X123" i="63" s="1"/>
  <c r="T66" i="63"/>
  <c r="X66" i="63" s="1"/>
  <c r="N66" i="63"/>
  <c r="O66" i="63" s="1"/>
  <c r="T74" i="63"/>
  <c r="X74" i="63" s="1"/>
  <c r="N74" i="63"/>
  <c r="O74" i="63" s="1"/>
  <c r="U66" i="63"/>
  <c r="Y66" i="63" s="1"/>
  <c r="U74" i="63"/>
  <c r="Y74" i="63" s="1"/>
  <c r="U79" i="63"/>
  <c r="Y79" i="63" s="1"/>
  <c r="N69" i="63"/>
  <c r="O69" i="63" s="1"/>
  <c r="U69" i="63"/>
  <c r="Y69" i="63" s="1"/>
  <c r="T77" i="63"/>
  <c r="X77" i="63" s="1"/>
  <c r="N77" i="63"/>
  <c r="O77" i="63" s="1"/>
  <c r="U77" i="63"/>
  <c r="Y77" i="63" s="1"/>
  <c r="N80" i="63"/>
  <c r="O80" i="63" s="1"/>
  <c r="U80" i="63"/>
  <c r="Y80" i="63" s="1"/>
  <c r="T80" i="63"/>
  <c r="X80" i="63" s="1"/>
  <c r="U75" i="63"/>
  <c r="Y75" i="63" s="1"/>
  <c r="N65" i="63"/>
  <c r="O65" i="63" s="1"/>
  <c r="T65" i="63"/>
  <c r="X65" i="63" s="1"/>
  <c r="U65" i="63"/>
  <c r="Y65" i="63" s="1"/>
  <c r="T70" i="63"/>
  <c r="X70" i="63" s="1"/>
  <c r="N70" i="63"/>
  <c r="O70" i="63" s="1"/>
  <c r="T78" i="63"/>
  <c r="X78" i="63" s="1"/>
  <c r="N78" i="63"/>
  <c r="O78" i="63" s="1"/>
  <c r="T67" i="63"/>
  <c r="X67" i="63" s="1"/>
  <c r="N67" i="63"/>
  <c r="O67" i="63" s="1"/>
  <c r="U70" i="63"/>
  <c r="Y70" i="63" s="1"/>
  <c r="U78" i="63"/>
  <c r="Y78" i="63" s="1"/>
  <c r="U67" i="63"/>
  <c r="Y67" i="63" s="1"/>
  <c r="N76" i="63"/>
  <c r="O76" i="63" s="1"/>
  <c r="U76" i="63"/>
  <c r="Y76" i="63" s="1"/>
  <c r="T76" i="63"/>
  <c r="X76" i="63" s="1"/>
  <c r="T81" i="63"/>
  <c r="X81" i="63" s="1"/>
  <c r="N81" i="63"/>
  <c r="O81" i="63" s="1"/>
  <c r="T63" i="63"/>
  <c r="X63" i="63" s="1"/>
  <c r="N63" i="63"/>
  <c r="O63" i="63" s="1"/>
  <c r="U63" i="63"/>
  <c r="Y63" i="63" s="1"/>
  <c r="U68" i="63"/>
  <c r="Y68" i="63" s="1"/>
  <c r="T75" i="63"/>
  <c r="X75" i="63" s="1"/>
  <c r="T64" i="63"/>
  <c r="X64" i="63" s="1"/>
  <c r="T79" i="63"/>
  <c r="X79" i="63" s="1"/>
  <c r="T68" i="63"/>
  <c r="X68" i="63" s="1"/>
  <c r="U57" i="63"/>
  <c r="Y57" i="63" s="1"/>
  <c r="N58" i="63"/>
  <c r="O58" i="63" s="1"/>
  <c r="U58" i="63"/>
  <c r="Y58" i="63" s="1"/>
  <c r="T58" i="63"/>
  <c r="X58" i="63" s="1"/>
  <c r="U56" i="63"/>
  <c r="Y56" i="63" s="1"/>
  <c r="U59" i="63"/>
  <c r="Y59" i="63" s="1"/>
  <c r="N54" i="63"/>
  <c r="O54" i="63" s="1"/>
  <c r="U54" i="63"/>
  <c r="Y54" i="63" s="1"/>
  <c r="T54" i="63"/>
  <c r="X54" i="63" s="1"/>
  <c r="T55" i="63"/>
  <c r="X55" i="63" s="1"/>
  <c r="T59" i="63"/>
  <c r="X59" i="63" s="1"/>
  <c r="T52" i="63"/>
  <c r="X52" i="63" s="1"/>
  <c r="T56" i="63"/>
  <c r="X56" i="63" s="1"/>
  <c r="T53" i="63"/>
  <c r="X53" i="63" s="1"/>
  <c r="T57" i="63"/>
  <c r="X57" i="63" s="1"/>
  <c r="N43" i="63"/>
  <c r="O43" i="63" s="1"/>
  <c r="N47" i="63"/>
  <c r="O47" i="63" s="1"/>
  <c r="U47" i="63"/>
  <c r="Y47" i="63" s="1"/>
  <c r="U45" i="63"/>
  <c r="Y45" i="63" s="1"/>
  <c r="U42" i="63"/>
  <c r="Y42" i="63" s="1"/>
  <c r="T48" i="63"/>
  <c r="X48" i="63" s="1"/>
  <c r="U48" i="63"/>
  <c r="Y48" i="63" s="1"/>
  <c r="N44" i="63"/>
  <c r="O44" i="63" s="1"/>
  <c r="T44" i="63"/>
  <c r="X44" i="63" s="1"/>
  <c r="U44" i="63"/>
  <c r="Y44" i="63" s="1"/>
  <c r="U43" i="63"/>
  <c r="Y43" i="63" s="1"/>
  <c r="U46" i="63"/>
  <c r="Y46" i="63" s="1"/>
  <c r="T45" i="63"/>
  <c r="X45" i="63" s="1"/>
  <c r="T42" i="63"/>
  <c r="X42" i="63" s="1"/>
  <c r="T46" i="63"/>
  <c r="X46" i="63" s="1"/>
  <c r="T43" i="63"/>
  <c r="X43" i="63" s="1"/>
  <c r="T47" i="63"/>
  <c r="X47" i="63" s="1"/>
  <c r="N32" i="62"/>
  <c r="O32" i="62" s="1"/>
  <c r="J28" i="62"/>
  <c r="K28" i="62" s="1"/>
  <c r="M28" i="62" s="1"/>
  <c r="N28" i="62" s="1"/>
  <c r="O28" i="62" s="1"/>
  <c r="J25" i="62"/>
  <c r="K25" i="62" s="1"/>
  <c r="M25" i="62" s="1"/>
  <c r="N25" i="62" s="1"/>
  <c r="O25" i="62" s="1"/>
  <c r="U18" i="62"/>
  <c r="Y18" i="62" s="1"/>
  <c r="N24" i="62"/>
  <c r="O24" i="62" s="1"/>
  <c r="U28" i="62"/>
  <c r="Y28" i="62" s="1"/>
  <c r="U32" i="62"/>
  <c r="Y32" i="62" s="1"/>
  <c r="J22" i="62"/>
  <c r="K22" i="62" s="1"/>
  <c r="M22" i="62" s="1"/>
  <c r="U22" i="62" s="1"/>
  <c r="Y22" i="62" s="1"/>
  <c r="J31" i="62"/>
  <c r="K31" i="62" s="1"/>
  <c r="M31" i="62" s="1"/>
  <c r="N31" i="62" s="1"/>
  <c r="O31" i="62" s="1"/>
  <c r="J19" i="62"/>
  <c r="K19" i="62" s="1"/>
  <c r="M19" i="62" s="1"/>
  <c r="N19" i="62" s="1"/>
  <c r="O19" i="62" s="1"/>
  <c r="U30" i="62"/>
  <c r="Y30" i="62" s="1"/>
  <c r="U29" i="62"/>
  <c r="Y29" i="62" s="1"/>
  <c r="J17" i="62"/>
  <c r="K17" i="62" s="1"/>
  <c r="M17" i="62" s="1"/>
  <c r="U24" i="62"/>
  <c r="Y24" i="62" s="1"/>
  <c r="U27" i="62"/>
  <c r="Y27" i="62" s="1"/>
  <c r="N30" i="62"/>
  <c r="O30" i="62" s="1"/>
  <c r="T30" i="62"/>
  <c r="X30" i="62" s="1"/>
  <c r="U20" i="62"/>
  <c r="Y20" i="62" s="1"/>
  <c r="U23" i="62"/>
  <c r="Y23" i="62" s="1"/>
  <c r="T26" i="62"/>
  <c r="X26" i="62" s="1"/>
  <c r="N26" i="62"/>
  <c r="O26" i="62" s="1"/>
  <c r="U21" i="62"/>
  <c r="Y21" i="62" s="1"/>
  <c r="U26" i="62"/>
  <c r="Y26" i="62" s="1"/>
  <c r="N18" i="62"/>
  <c r="O18" i="62" s="1"/>
  <c r="T18" i="62"/>
  <c r="X18" i="62" s="1"/>
  <c r="T20" i="62"/>
  <c r="X20" i="62" s="1"/>
  <c r="T24" i="62"/>
  <c r="X24" i="62" s="1"/>
  <c r="T28" i="62"/>
  <c r="X28" i="62" s="1"/>
  <c r="T32" i="62"/>
  <c r="X32" i="62" s="1"/>
  <c r="T21" i="62"/>
  <c r="X21" i="62" s="1"/>
  <c r="T25" i="62"/>
  <c r="X25" i="62" s="1"/>
  <c r="T29" i="62"/>
  <c r="X29" i="62" s="1"/>
  <c r="T23" i="62"/>
  <c r="X23" i="62" s="1"/>
  <c r="T27" i="62"/>
  <c r="X27" i="62" s="1"/>
  <c r="J38" i="61"/>
  <c r="K38" i="61" s="1"/>
  <c r="M38" i="61" s="1"/>
  <c r="N38" i="61" s="1"/>
  <c r="O38" i="61" s="1"/>
  <c r="K80" i="61"/>
  <c r="M80" i="61" s="1"/>
  <c r="U74" i="61"/>
  <c r="Y74" i="61" s="1"/>
  <c r="K69" i="61"/>
  <c r="M69" i="61" s="1"/>
  <c r="T69" i="61" s="1"/>
  <c r="X69" i="61" s="1"/>
  <c r="K72" i="61"/>
  <c r="M72" i="61" s="1"/>
  <c r="N72" i="61" s="1"/>
  <c r="O72" i="61" s="1"/>
  <c r="K66" i="61"/>
  <c r="M66" i="61" s="1"/>
  <c r="J67" i="61"/>
  <c r="K67" i="61" s="1"/>
  <c r="M67" i="61" s="1"/>
  <c r="N67" i="61" s="1"/>
  <c r="O67" i="61" s="1"/>
  <c r="J70" i="61"/>
  <c r="K70" i="61" s="1"/>
  <c r="M70" i="61" s="1"/>
  <c r="T70" i="61" s="1"/>
  <c r="X70" i="61" s="1"/>
  <c r="J73" i="61"/>
  <c r="K73" i="61" s="1"/>
  <c r="M73" i="61" s="1"/>
  <c r="J76" i="61"/>
  <c r="K76" i="61" s="1"/>
  <c r="M76" i="61" s="1"/>
  <c r="U76" i="61" s="1"/>
  <c r="Y76" i="61" s="1"/>
  <c r="J54" i="61"/>
  <c r="K54" i="61" s="1"/>
  <c r="M54" i="61" s="1"/>
  <c r="J57" i="61"/>
  <c r="K57" i="61" s="1"/>
  <c r="M57" i="61" s="1"/>
  <c r="J60" i="61"/>
  <c r="K60" i="61" s="1"/>
  <c r="M60" i="61" s="1"/>
  <c r="J39" i="61"/>
  <c r="K39" i="61" s="1"/>
  <c r="M39" i="61" s="1"/>
  <c r="N55" i="61"/>
  <c r="O55" i="61" s="1"/>
  <c r="N68" i="61"/>
  <c r="O68" i="61" s="1"/>
  <c r="U60" i="61"/>
  <c r="Y60" i="61" s="1"/>
  <c r="U66" i="61"/>
  <c r="Y66" i="61" s="1"/>
  <c r="U86" i="61"/>
  <c r="Y86" i="61" s="1"/>
  <c r="U46" i="61"/>
  <c r="Y46" i="61" s="1"/>
  <c r="I23" i="61"/>
  <c r="J23" i="61" s="1"/>
  <c r="K23" i="61" s="1"/>
  <c r="M23" i="61" s="1"/>
  <c r="N23" i="61" s="1"/>
  <c r="O23" i="61" s="1"/>
  <c r="N87" i="61"/>
  <c r="O87" i="61" s="1"/>
  <c r="N90" i="61"/>
  <c r="O90" i="61" s="1"/>
  <c r="U41" i="61"/>
  <c r="Y41" i="61" s="1"/>
  <c r="N82" i="61"/>
  <c r="O82" i="61" s="1"/>
  <c r="N45" i="61"/>
  <c r="O45" i="61" s="1"/>
  <c r="N48" i="61"/>
  <c r="O48" i="61" s="1"/>
  <c r="U56" i="61"/>
  <c r="Y56" i="61" s="1"/>
  <c r="U87" i="61"/>
  <c r="Y87" i="61" s="1"/>
  <c r="U90" i="61"/>
  <c r="Y90" i="61" s="1"/>
  <c r="U73" i="61"/>
  <c r="Y73" i="61" s="1"/>
  <c r="U54" i="61"/>
  <c r="Y54" i="61" s="1"/>
  <c r="J33" i="61"/>
  <c r="K33" i="61" s="1"/>
  <c r="M33" i="61" s="1"/>
  <c r="N33" i="61" s="1"/>
  <c r="O33" i="61" s="1"/>
  <c r="N60" i="61"/>
  <c r="O60" i="61" s="1"/>
  <c r="N66" i="61"/>
  <c r="O66" i="61" s="1"/>
  <c r="N74" i="61"/>
  <c r="O74" i="61" s="1"/>
  <c r="U88" i="61"/>
  <c r="Y88" i="61" s="1"/>
  <c r="I27" i="61"/>
  <c r="J27" i="61" s="1"/>
  <c r="K27" i="61" s="1"/>
  <c r="M27" i="61" s="1"/>
  <c r="U27" i="61" s="1"/>
  <c r="Y27" i="61" s="1"/>
  <c r="J30" i="61"/>
  <c r="K30" i="61" s="1"/>
  <c r="M30" i="61" s="1"/>
  <c r="N41" i="61"/>
  <c r="O41" i="61" s="1"/>
  <c r="N80" i="61"/>
  <c r="O80" i="61" s="1"/>
  <c r="N52" i="61"/>
  <c r="O52" i="61" s="1"/>
  <c r="N83" i="61"/>
  <c r="O83" i="61" s="1"/>
  <c r="N86" i="61"/>
  <c r="O86" i="61" s="1"/>
  <c r="U55" i="61"/>
  <c r="Y55" i="61" s="1"/>
  <c r="U58" i="61"/>
  <c r="Y58" i="61" s="1"/>
  <c r="J24" i="61"/>
  <c r="K24" i="61" s="1"/>
  <c r="M24" i="61" s="1"/>
  <c r="T24" i="61" s="1"/>
  <c r="X24" i="61" s="1"/>
  <c r="N70" i="61"/>
  <c r="O70" i="61" s="1"/>
  <c r="N84" i="61"/>
  <c r="O84" i="61" s="1"/>
  <c r="J28" i="61"/>
  <c r="K28" i="61" s="1"/>
  <c r="M28" i="61" s="1"/>
  <c r="U28" i="61" s="1"/>
  <c r="Y28" i="61" s="1"/>
  <c r="T29" i="61"/>
  <c r="X29" i="61" s="1"/>
  <c r="J25" i="61"/>
  <c r="K25" i="61" s="1"/>
  <c r="M25" i="61" s="1"/>
  <c r="U25" i="61" s="1"/>
  <c r="Y25" i="61" s="1"/>
  <c r="J31" i="61"/>
  <c r="K31" i="61" s="1"/>
  <c r="M31" i="61" s="1"/>
  <c r="N31" i="61" s="1"/>
  <c r="O31" i="61" s="1"/>
  <c r="U82" i="61"/>
  <c r="Y82" i="61" s="1"/>
  <c r="N85" i="61"/>
  <c r="O85" i="61" s="1"/>
  <c r="T85" i="61"/>
  <c r="X85" i="61" s="1"/>
  <c r="U85" i="61"/>
  <c r="Y85" i="61" s="1"/>
  <c r="U80" i="61"/>
  <c r="Y80" i="61" s="1"/>
  <c r="U83" i="61"/>
  <c r="Y83" i="61" s="1"/>
  <c r="N89" i="61"/>
  <c r="O89" i="61" s="1"/>
  <c r="U89" i="61"/>
  <c r="Y89" i="61" s="1"/>
  <c r="T89" i="61"/>
  <c r="X89" i="61" s="1"/>
  <c r="N81" i="61"/>
  <c r="O81" i="61" s="1"/>
  <c r="U81" i="61"/>
  <c r="Y81" i="61" s="1"/>
  <c r="T81" i="61"/>
  <c r="X81" i="61" s="1"/>
  <c r="U84" i="61"/>
  <c r="Y84" i="61" s="1"/>
  <c r="T82" i="61"/>
  <c r="X82" i="61" s="1"/>
  <c r="T86" i="61"/>
  <c r="X86" i="61" s="1"/>
  <c r="T90" i="61"/>
  <c r="X90" i="61" s="1"/>
  <c r="T83" i="61"/>
  <c r="X83" i="61" s="1"/>
  <c r="T87" i="61"/>
  <c r="X87" i="61" s="1"/>
  <c r="T80" i="61"/>
  <c r="X80" i="61" s="1"/>
  <c r="T84" i="61"/>
  <c r="X84" i="61" s="1"/>
  <c r="T88" i="61"/>
  <c r="X88" i="61" s="1"/>
  <c r="U72" i="61"/>
  <c r="Y72" i="61" s="1"/>
  <c r="T67" i="61"/>
  <c r="X67" i="61" s="1"/>
  <c r="U67" i="61"/>
  <c r="Y67" i="61" s="1"/>
  <c r="U70" i="61"/>
  <c r="Y70" i="61" s="1"/>
  <c r="T73" i="61"/>
  <c r="X73" i="61" s="1"/>
  <c r="N73" i="61"/>
  <c r="O73" i="61" s="1"/>
  <c r="N69" i="61"/>
  <c r="O69" i="61" s="1"/>
  <c r="U68" i="61"/>
  <c r="Y68" i="61" s="1"/>
  <c r="U69" i="61"/>
  <c r="Y69" i="61" s="1"/>
  <c r="N71" i="61"/>
  <c r="O71" i="61" s="1"/>
  <c r="U71" i="61"/>
  <c r="Y71" i="61" s="1"/>
  <c r="T71" i="61"/>
  <c r="X71" i="61" s="1"/>
  <c r="T68" i="61"/>
  <c r="X68" i="61" s="1"/>
  <c r="T72" i="61"/>
  <c r="X72" i="61" s="1"/>
  <c r="T76" i="61"/>
  <c r="X76" i="61" s="1"/>
  <c r="T66" i="61"/>
  <c r="X66" i="61" s="1"/>
  <c r="T74" i="61"/>
  <c r="X74" i="61" s="1"/>
  <c r="U52" i="61"/>
  <c r="Y52" i="61" s="1"/>
  <c r="T58" i="61"/>
  <c r="X58" i="61" s="1"/>
  <c r="N58" i="61"/>
  <c r="O58" i="61" s="1"/>
  <c r="N53" i="61"/>
  <c r="O53" i="61" s="1"/>
  <c r="U53" i="61"/>
  <c r="Y53" i="61" s="1"/>
  <c r="T53" i="61"/>
  <c r="X53" i="61" s="1"/>
  <c r="T62" i="61"/>
  <c r="X62" i="61" s="1"/>
  <c r="N62" i="61"/>
  <c r="O62" i="61" s="1"/>
  <c r="U59" i="61"/>
  <c r="Y59" i="61" s="1"/>
  <c r="U62" i="61"/>
  <c r="Y62" i="61" s="1"/>
  <c r="T54" i="61"/>
  <c r="X54" i="61" s="1"/>
  <c r="N54" i="61"/>
  <c r="O54" i="61" s="1"/>
  <c r="N57" i="61"/>
  <c r="O57" i="61" s="1"/>
  <c r="U57" i="61"/>
  <c r="Y57" i="61" s="1"/>
  <c r="T57" i="61"/>
  <c r="X57" i="61" s="1"/>
  <c r="T55" i="61"/>
  <c r="X55" i="61" s="1"/>
  <c r="T59" i="61"/>
  <c r="X59" i="61" s="1"/>
  <c r="T52" i="61"/>
  <c r="X52" i="61" s="1"/>
  <c r="T56" i="61"/>
  <c r="X56" i="61" s="1"/>
  <c r="T60" i="61"/>
  <c r="X60" i="61" s="1"/>
  <c r="U44" i="61"/>
  <c r="Y44" i="61" s="1"/>
  <c r="N47" i="61"/>
  <c r="O47" i="61" s="1"/>
  <c r="T47" i="61"/>
  <c r="X47" i="61" s="1"/>
  <c r="U47" i="61"/>
  <c r="Y47" i="61" s="1"/>
  <c r="T42" i="61"/>
  <c r="X42" i="61" s="1"/>
  <c r="N42" i="61"/>
  <c r="O42" i="61" s="1"/>
  <c r="U42" i="61"/>
  <c r="Y42" i="61" s="1"/>
  <c r="N40" i="61"/>
  <c r="O40" i="61" s="1"/>
  <c r="T40" i="61"/>
  <c r="X40" i="61" s="1"/>
  <c r="U40" i="61"/>
  <c r="Y40" i="61" s="1"/>
  <c r="U45" i="61"/>
  <c r="Y45" i="61" s="1"/>
  <c r="N43" i="61"/>
  <c r="O43" i="61" s="1"/>
  <c r="T43" i="61"/>
  <c r="X43" i="61" s="1"/>
  <c r="U43" i="61"/>
  <c r="Y43" i="61" s="1"/>
  <c r="U48" i="61"/>
  <c r="Y48" i="61" s="1"/>
  <c r="N39" i="61"/>
  <c r="O39" i="61" s="1"/>
  <c r="T39" i="61"/>
  <c r="X39" i="61" s="1"/>
  <c r="U39" i="61"/>
  <c r="Y39" i="61" s="1"/>
  <c r="N44" i="61"/>
  <c r="O44" i="61" s="1"/>
  <c r="T44" i="61"/>
  <c r="X44" i="61" s="1"/>
  <c r="T46" i="61"/>
  <c r="X46" i="61" s="1"/>
  <c r="N46" i="61"/>
  <c r="O46" i="61" s="1"/>
  <c r="T48" i="61"/>
  <c r="X48" i="61" s="1"/>
  <c r="T41" i="61"/>
  <c r="X41" i="61" s="1"/>
  <c r="T45" i="61"/>
  <c r="X45" i="61" s="1"/>
  <c r="N29" i="61"/>
  <c r="O29" i="61" s="1"/>
  <c r="U23" i="61"/>
  <c r="Y23" i="61" s="1"/>
  <c r="U33" i="61"/>
  <c r="Y33" i="61" s="1"/>
  <c r="N28" i="61"/>
  <c r="O28" i="61" s="1"/>
  <c r="T28" i="61"/>
  <c r="X28" i="61" s="1"/>
  <c r="U31" i="61"/>
  <c r="Y31" i="61" s="1"/>
  <c r="N26" i="61"/>
  <c r="O26" i="61" s="1"/>
  <c r="U26" i="61"/>
  <c r="Y26" i="61" s="1"/>
  <c r="T26" i="61"/>
  <c r="X26" i="61" s="1"/>
  <c r="N30" i="61"/>
  <c r="O30" i="61" s="1"/>
  <c r="T30" i="61"/>
  <c r="X30" i="61" s="1"/>
  <c r="U30" i="61"/>
  <c r="Y30" i="61" s="1"/>
  <c r="U32" i="61"/>
  <c r="Y32" i="61" s="1"/>
  <c r="N32" i="61"/>
  <c r="O32" i="61" s="1"/>
  <c r="T32" i="61"/>
  <c r="X32" i="61" s="1"/>
  <c r="U29" i="61"/>
  <c r="Y29" i="61" s="1"/>
  <c r="T23" i="61"/>
  <c r="X23" i="61" s="1"/>
  <c r="T31" i="61"/>
  <c r="X31" i="61" s="1"/>
  <c r="T25" i="61"/>
  <c r="X25" i="61" s="1"/>
  <c r="T33" i="61"/>
  <c r="X33" i="61" s="1"/>
  <c r="J21" i="60"/>
  <c r="K21" i="60" s="1"/>
  <c r="M21" i="60" s="1"/>
  <c r="J17" i="60"/>
  <c r="K17" i="60" s="1"/>
  <c r="M17" i="60" s="1"/>
  <c r="I18" i="60"/>
  <c r="J18" i="60" s="1"/>
  <c r="K18" i="60" s="1"/>
  <c r="M18" i="60" s="1"/>
  <c r="J19" i="60"/>
  <c r="K19" i="60" s="1"/>
  <c r="M19" i="60" s="1"/>
  <c r="T19" i="60" s="1"/>
  <c r="X19" i="60" s="1"/>
  <c r="U22" i="60"/>
  <c r="Y22" i="60" s="1"/>
  <c r="T22" i="60"/>
  <c r="X22" i="60" s="1"/>
  <c r="N22" i="60"/>
  <c r="O22" i="60" s="1"/>
  <c r="T20" i="60"/>
  <c r="X20" i="60" s="1"/>
  <c r="N20" i="60"/>
  <c r="O20" i="60" s="1"/>
  <c r="U20" i="60"/>
  <c r="Y20" i="60" s="1"/>
  <c r="U18" i="60"/>
  <c r="Y18" i="60" s="1"/>
  <c r="T18" i="60"/>
  <c r="X18" i="60" s="1"/>
  <c r="N18" i="60"/>
  <c r="O18" i="60" s="1"/>
  <c r="U23" i="60"/>
  <c r="Y23" i="60" s="1"/>
  <c r="N23" i="60"/>
  <c r="O23" i="60" s="1"/>
  <c r="T23" i="60"/>
  <c r="X23" i="60" s="1"/>
  <c r="U21" i="60"/>
  <c r="Y21" i="60" s="1"/>
  <c r="T21" i="60"/>
  <c r="X21" i="60" s="1"/>
  <c r="N21" i="60"/>
  <c r="O21" i="60" s="1"/>
  <c r="U17" i="60"/>
  <c r="Y17" i="60" s="1"/>
  <c r="T17" i="60"/>
  <c r="X17" i="60" s="1"/>
  <c r="N26" i="59"/>
  <c r="O26" i="59" s="1"/>
  <c r="U26" i="59"/>
  <c r="Y26" i="59" s="1"/>
  <c r="T28" i="59"/>
  <c r="X28" i="59" s="1"/>
  <c r="U28" i="59"/>
  <c r="Y28" i="59" s="1"/>
  <c r="N28" i="59"/>
  <c r="O28" i="59" s="1"/>
  <c r="N22" i="59"/>
  <c r="O22" i="59" s="1"/>
  <c r="U22" i="59"/>
  <c r="Y22" i="59" s="1"/>
  <c r="T22" i="59"/>
  <c r="X22" i="59" s="1"/>
  <c r="N21" i="59"/>
  <c r="O21" i="59" s="1"/>
  <c r="T21" i="59"/>
  <c r="X21" i="59" s="1"/>
  <c r="U19" i="59"/>
  <c r="Y19" i="59" s="1"/>
  <c r="N19" i="59"/>
  <c r="O19" i="59" s="1"/>
  <c r="T19" i="59"/>
  <c r="X19" i="59" s="1"/>
  <c r="T18" i="59"/>
  <c r="X18" i="59" s="1"/>
  <c r="T27" i="59"/>
  <c r="X27" i="59" s="1"/>
  <c r="U27" i="59"/>
  <c r="Y27" i="59" s="1"/>
  <c r="N27" i="59"/>
  <c r="O27" i="59" s="1"/>
  <c r="T20" i="59"/>
  <c r="X20" i="59" s="1"/>
  <c r="N20" i="59"/>
  <c r="O20" i="59" s="1"/>
  <c r="U20" i="59"/>
  <c r="Y20" i="59" s="1"/>
  <c r="T25" i="59"/>
  <c r="X25" i="59" s="1"/>
  <c r="N25" i="59"/>
  <c r="O25" i="59" s="1"/>
  <c r="N23" i="59"/>
  <c r="O23" i="59" s="1"/>
  <c r="T23" i="59"/>
  <c r="X23" i="59" s="1"/>
  <c r="U23" i="59"/>
  <c r="Y23" i="59" s="1"/>
  <c r="T24" i="59"/>
  <c r="X24" i="59" s="1"/>
  <c r="U24" i="59"/>
  <c r="Y24" i="59" s="1"/>
  <c r="N24" i="59"/>
  <c r="O24" i="59" s="1"/>
  <c r="N18" i="59"/>
  <c r="O18" i="59" s="1"/>
  <c r="U18" i="59"/>
  <c r="Y18" i="59" s="1"/>
  <c r="K17" i="59"/>
  <c r="M17" i="59"/>
  <c r="U17" i="59" s="1"/>
  <c r="Y17" i="59" s="1"/>
  <c r="J17" i="58"/>
  <c r="K17" i="58" s="1"/>
  <c r="M17" i="58" s="1"/>
  <c r="T17" i="58" s="1"/>
  <c r="X17" i="58" s="1"/>
  <c r="I31" i="58"/>
  <c r="J31" i="58" s="1"/>
  <c r="K31" i="58" s="1"/>
  <c r="M31" i="58" s="1"/>
  <c r="I26" i="58"/>
  <c r="J26" i="58" s="1"/>
  <c r="K26" i="58" s="1"/>
  <c r="M26" i="58" s="1"/>
  <c r="N26" i="58" s="1"/>
  <c r="O26" i="58" s="1"/>
  <c r="I25" i="58"/>
  <c r="J25" i="58" s="1"/>
  <c r="K25" i="58" s="1"/>
  <c r="M25" i="58" s="1"/>
  <c r="T25" i="58" s="1"/>
  <c r="X25" i="58" s="1"/>
  <c r="I24" i="58"/>
  <c r="J24" i="58" s="1"/>
  <c r="K24" i="58" s="1"/>
  <c r="M24" i="58" s="1"/>
  <c r="N24" i="58" s="1"/>
  <c r="O24" i="58" s="1"/>
  <c r="I23" i="58"/>
  <c r="J23" i="58" s="1"/>
  <c r="K23" i="58" s="1"/>
  <c r="M23" i="58" s="1"/>
  <c r="I18" i="58"/>
  <c r="J18" i="58" s="1"/>
  <c r="K18" i="58" s="1"/>
  <c r="M18" i="58" s="1"/>
  <c r="U18" i="58" s="1"/>
  <c r="Y18" i="58" s="1"/>
  <c r="U36" i="58"/>
  <c r="Y36" i="58" s="1"/>
  <c r="T36" i="58"/>
  <c r="X36" i="58" s="1"/>
  <c r="N36" i="58"/>
  <c r="O36" i="58" s="1"/>
  <c r="N18" i="58"/>
  <c r="O18" i="58" s="1"/>
  <c r="N28" i="58"/>
  <c r="O28" i="58" s="1"/>
  <c r="U32" i="58"/>
  <c r="Y32" i="58" s="1"/>
  <c r="T33" i="58"/>
  <c r="X33" i="58" s="1"/>
  <c r="T31" i="58"/>
  <c r="X31" i="58" s="1"/>
  <c r="U30" i="58"/>
  <c r="Y30" i="58" s="1"/>
  <c r="U24" i="58"/>
  <c r="Y24" i="58" s="1"/>
  <c r="T19" i="58"/>
  <c r="X19" i="58" s="1"/>
  <c r="U35" i="58"/>
  <c r="Y35" i="58" s="1"/>
  <c r="U20" i="58"/>
  <c r="Y20" i="58" s="1"/>
  <c r="T21" i="58"/>
  <c r="X21" i="58" s="1"/>
  <c r="U23" i="58"/>
  <c r="Y23" i="58" s="1"/>
  <c r="N23" i="58"/>
  <c r="O23" i="58" s="1"/>
  <c r="U28" i="58"/>
  <c r="Y28" i="58" s="1"/>
  <c r="T29" i="58"/>
  <c r="X29" i="58" s="1"/>
  <c r="N31" i="58"/>
  <c r="O31" i="58" s="1"/>
  <c r="U31" i="58"/>
  <c r="Y31" i="58" s="1"/>
  <c r="U19" i="58"/>
  <c r="Y19" i="58" s="1"/>
  <c r="N19" i="58"/>
  <c r="O19" i="58" s="1"/>
  <c r="N27" i="58"/>
  <c r="O27" i="58" s="1"/>
  <c r="U27" i="58"/>
  <c r="Y27" i="58" s="1"/>
  <c r="T18" i="58"/>
  <c r="X18" i="58" s="1"/>
  <c r="N21" i="58"/>
  <c r="O21" i="58" s="1"/>
  <c r="U21" i="58"/>
  <c r="Y21" i="58" s="1"/>
  <c r="T27" i="58"/>
  <c r="X27" i="58" s="1"/>
  <c r="N29" i="58"/>
  <c r="O29" i="58" s="1"/>
  <c r="U29" i="58"/>
  <c r="Y29" i="58" s="1"/>
  <c r="U34" i="58"/>
  <c r="Y34" i="58" s="1"/>
  <c r="U17" i="58"/>
  <c r="Y17" i="58" s="1"/>
  <c r="T22" i="58"/>
  <c r="X22" i="58" s="1"/>
  <c r="T23" i="58"/>
  <c r="X23" i="58" s="1"/>
  <c r="U25" i="58"/>
  <c r="Y25" i="58" s="1"/>
  <c r="N33" i="58"/>
  <c r="O33" i="58" s="1"/>
  <c r="U33" i="58"/>
  <c r="Y33" i="58" s="1"/>
  <c r="T30" i="58"/>
  <c r="X30" i="58" s="1"/>
  <c r="T34" i="58"/>
  <c r="X34" i="58" s="1"/>
  <c r="U22" i="58"/>
  <c r="Y22" i="58" s="1"/>
  <c r="U26" i="58"/>
  <c r="Y26" i="58" s="1"/>
  <c r="T20" i="58"/>
  <c r="X20" i="58" s="1"/>
  <c r="T24" i="58"/>
  <c r="X24" i="58" s="1"/>
  <c r="T28" i="58"/>
  <c r="X28" i="58" s="1"/>
  <c r="T32" i="58"/>
  <c r="X32" i="58" s="1"/>
  <c r="T35" i="58"/>
  <c r="X35" i="58" s="1"/>
  <c r="T19" i="65" l="1"/>
  <c r="X19" i="65" s="1"/>
  <c r="U17" i="65"/>
  <c r="Y17" i="65" s="1"/>
  <c r="T19" i="64"/>
  <c r="X19" i="64" s="1"/>
  <c r="U28" i="64"/>
  <c r="Y28" i="64" s="1"/>
  <c r="T28" i="64"/>
  <c r="X28" i="64" s="1"/>
  <c r="T31" i="64"/>
  <c r="X31" i="64" s="1"/>
  <c r="U31" i="64"/>
  <c r="Y31" i="64" s="1"/>
  <c r="U19" i="64"/>
  <c r="Y19" i="64" s="1"/>
  <c r="T17" i="64"/>
  <c r="X17" i="64" s="1"/>
  <c r="U17" i="64"/>
  <c r="Y17" i="64" s="1"/>
  <c r="N41" i="63"/>
  <c r="O41" i="63" s="1"/>
  <c r="U41" i="63"/>
  <c r="Y41" i="63" s="1"/>
  <c r="T41" i="63"/>
  <c r="X41" i="63" s="1"/>
  <c r="N22" i="62"/>
  <c r="O22" i="62" s="1"/>
  <c r="U25" i="62"/>
  <c r="Y25" i="62" s="1"/>
  <c r="T19" i="62"/>
  <c r="X19" i="62" s="1"/>
  <c r="T31" i="62"/>
  <c r="X31" i="62" s="1"/>
  <c r="T22" i="62"/>
  <c r="X22" i="62" s="1"/>
  <c r="U19" i="62"/>
  <c r="Y19" i="62" s="1"/>
  <c r="U31" i="62"/>
  <c r="Y31" i="62" s="1"/>
  <c r="U17" i="62"/>
  <c r="Y17" i="62" s="1"/>
  <c r="T17" i="62"/>
  <c r="X17" i="62" s="1"/>
  <c r="U38" i="61"/>
  <c r="Y38" i="61" s="1"/>
  <c r="T38" i="61"/>
  <c r="X38" i="61" s="1"/>
  <c r="N76" i="61"/>
  <c r="O76" i="61" s="1"/>
  <c r="U24" i="61"/>
  <c r="Y24" i="61" s="1"/>
  <c r="N24" i="61"/>
  <c r="O24" i="61" s="1"/>
  <c r="N27" i="61"/>
  <c r="O27" i="61" s="1"/>
  <c r="T27" i="61"/>
  <c r="X27" i="61" s="1"/>
  <c r="N25" i="61"/>
  <c r="O25" i="61" s="1"/>
  <c r="U19" i="60"/>
  <c r="Y19" i="60" s="1"/>
  <c r="N19" i="60"/>
  <c r="O19" i="60" s="1"/>
  <c r="T17" i="59"/>
  <c r="X17" i="59" s="1"/>
  <c r="N25" i="58"/>
  <c r="O25" i="58" s="1"/>
  <c r="T26" i="58"/>
  <c r="X26" i="58" s="1"/>
  <c r="H41" i="57" l="1"/>
  <c r="G41" i="57"/>
  <c r="F41" i="57"/>
  <c r="E41" i="57"/>
  <c r="D41" i="57"/>
  <c r="C41" i="57"/>
  <c r="B41" i="57"/>
  <c r="A41" i="57"/>
  <c r="H40" i="57"/>
  <c r="G40" i="57"/>
  <c r="F40" i="57"/>
  <c r="E40" i="57"/>
  <c r="D40" i="57"/>
  <c r="C40" i="57"/>
  <c r="B40" i="57"/>
  <c r="A40" i="57"/>
  <c r="H39" i="57"/>
  <c r="G39" i="57"/>
  <c r="F39" i="57"/>
  <c r="E39" i="57"/>
  <c r="D39" i="57"/>
  <c r="C39" i="57"/>
  <c r="B39" i="57"/>
  <c r="A39" i="57"/>
  <c r="H38" i="57"/>
  <c r="G38" i="57"/>
  <c r="F38" i="57"/>
  <c r="E38" i="57"/>
  <c r="D38" i="57"/>
  <c r="C38" i="57"/>
  <c r="B38" i="57"/>
  <c r="A38" i="57"/>
  <c r="H37" i="57"/>
  <c r="G37" i="57"/>
  <c r="F37" i="57"/>
  <c r="E37" i="57"/>
  <c r="D37" i="57"/>
  <c r="C37" i="57"/>
  <c r="B37" i="57"/>
  <c r="A37" i="57"/>
  <c r="H36" i="57"/>
  <c r="G36" i="57"/>
  <c r="F36" i="57"/>
  <c r="E36" i="57"/>
  <c r="D36" i="57"/>
  <c r="C36" i="57"/>
  <c r="B36" i="57"/>
  <c r="A36" i="57"/>
  <c r="H35" i="57"/>
  <c r="G35" i="57"/>
  <c r="F35" i="57"/>
  <c r="E35" i="57"/>
  <c r="D35" i="57"/>
  <c r="C35" i="57"/>
  <c r="B35" i="57"/>
  <c r="A35" i="57"/>
  <c r="H34" i="57"/>
  <c r="G34" i="57"/>
  <c r="F34" i="57"/>
  <c r="E34" i="57"/>
  <c r="D34" i="57"/>
  <c r="C34" i="57"/>
  <c r="B34" i="57"/>
  <c r="A34" i="57"/>
  <c r="H33" i="57"/>
  <c r="G33" i="57"/>
  <c r="F33" i="57"/>
  <c r="E33" i="57"/>
  <c r="D33" i="57"/>
  <c r="C33" i="57"/>
  <c r="B33" i="57"/>
  <c r="A33" i="57"/>
  <c r="H32" i="57"/>
  <c r="G32" i="57"/>
  <c r="F32" i="57"/>
  <c r="E32" i="57"/>
  <c r="D32" i="57"/>
  <c r="C32" i="57"/>
  <c r="B32" i="57"/>
  <c r="A32" i="57"/>
  <c r="H31" i="57"/>
  <c r="G31" i="57"/>
  <c r="F31" i="57"/>
  <c r="E31" i="57"/>
  <c r="D31" i="57"/>
  <c r="C31" i="57"/>
  <c r="B31" i="57"/>
  <c r="A31" i="57"/>
  <c r="H30" i="57"/>
  <c r="G30" i="57"/>
  <c r="F30" i="57"/>
  <c r="E30" i="57"/>
  <c r="D30" i="57"/>
  <c r="C30" i="57"/>
  <c r="B30" i="57"/>
  <c r="A30" i="57"/>
  <c r="H29" i="57"/>
  <c r="G29" i="57"/>
  <c r="F29" i="57"/>
  <c r="E29" i="57"/>
  <c r="D29" i="57"/>
  <c r="C29" i="57"/>
  <c r="B29" i="57"/>
  <c r="A29" i="57"/>
  <c r="H28" i="57"/>
  <c r="G28" i="57"/>
  <c r="F28" i="57"/>
  <c r="E28" i="57"/>
  <c r="D28" i="57"/>
  <c r="C28" i="57"/>
  <c r="B28" i="57"/>
  <c r="A28" i="57"/>
  <c r="H27" i="57"/>
  <c r="G27" i="57"/>
  <c r="F27" i="57"/>
  <c r="E27" i="57"/>
  <c r="D27" i="57"/>
  <c r="C27" i="57"/>
  <c r="B27" i="57"/>
  <c r="A27" i="57"/>
  <c r="H26" i="57"/>
  <c r="G26" i="57"/>
  <c r="F26" i="57"/>
  <c r="E26" i="57"/>
  <c r="D26" i="57"/>
  <c r="C26" i="57"/>
  <c r="B26" i="57"/>
  <c r="A26" i="57"/>
  <c r="H25" i="57"/>
  <c r="G25" i="57"/>
  <c r="F25" i="57"/>
  <c r="E25" i="57"/>
  <c r="D25" i="57"/>
  <c r="C25" i="57"/>
  <c r="B25" i="57"/>
  <c r="A25" i="57"/>
  <c r="H24" i="57"/>
  <c r="G24" i="57"/>
  <c r="F24" i="57"/>
  <c r="E24" i="57"/>
  <c r="D24" i="57"/>
  <c r="C24" i="57"/>
  <c r="B24" i="57"/>
  <c r="A24" i="57"/>
  <c r="H23" i="57"/>
  <c r="G23" i="57"/>
  <c r="F23" i="57"/>
  <c r="E23" i="57"/>
  <c r="D23" i="57"/>
  <c r="C23" i="57"/>
  <c r="B23" i="57"/>
  <c r="A23" i="57"/>
  <c r="H22" i="57"/>
  <c r="G22" i="57"/>
  <c r="F22" i="57"/>
  <c r="E22" i="57"/>
  <c r="D22" i="57"/>
  <c r="C22" i="57"/>
  <c r="B22" i="57"/>
  <c r="A22" i="57"/>
  <c r="H21" i="57"/>
  <c r="G21" i="57"/>
  <c r="F21" i="57"/>
  <c r="E21" i="57"/>
  <c r="D21" i="57"/>
  <c r="C21" i="57"/>
  <c r="B21" i="57"/>
  <c r="A21" i="57"/>
  <c r="H20" i="57"/>
  <c r="G20" i="57"/>
  <c r="F20" i="57"/>
  <c r="E20" i="57"/>
  <c r="D20" i="57"/>
  <c r="C20" i="57"/>
  <c r="B20" i="57"/>
  <c r="A20" i="57"/>
  <c r="H19" i="57"/>
  <c r="G19" i="57"/>
  <c r="F19" i="57"/>
  <c r="E19" i="57"/>
  <c r="D19" i="57"/>
  <c r="C19" i="57"/>
  <c r="B19" i="57"/>
  <c r="A19" i="57"/>
  <c r="H18" i="57"/>
  <c r="G18" i="57"/>
  <c r="F18" i="57"/>
  <c r="E18" i="57"/>
  <c r="D18" i="57"/>
  <c r="C18" i="57"/>
  <c r="B18" i="57"/>
  <c r="A18" i="57"/>
  <c r="H17" i="57"/>
  <c r="G17" i="57"/>
  <c r="F17" i="57"/>
  <c r="E17" i="57"/>
  <c r="D17" i="57"/>
  <c r="C17" i="57"/>
  <c r="B17" i="57"/>
  <c r="A17" i="57"/>
  <c r="W41" i="57"/>
  <c r="V41" i="57"/>
  <c r="I41" i="57"/>
  <c r="W40" i="57"/>
  <c r="V40" i="57"/>
  <c r="I40" i="57"/>
  <c r="J40" i="57" s="1"/>
  <c r="K40" i="57" s="1"/>
  <c r="W39" i="57"/>
  <c r="V39" i="57"/>
  <c r="I39" i="57"/>
  <c r="L39" i="57"/>
  <c r="W38" i="57"/>
  <c r="V38" i="57"/>
  <c r="L38" i="57"/>
  <c r="I38" i="57"/>
  <c r="J38" i="57" s="1"/>
  <c r="W37" i="57"/>
  <c r="V37" i="57"/>
  <c r="I37" i="57"/>
  <c r="W36" i="57"/>
  <c r="V36" i="57"/>
  <c r="I36" i="57"/>
  <c r="W35" i="57"/>
  <c r="V35" i="57"/>
  <c r="I35" i="57"/>
  <c r="L35" i="57"/>
  <c r="W34" i="57"/>
  <c r="V34" i="57"/>
  <c r="L34" i="57"/>
  <c r="I34" i="57"/>
  <c r="W33" i="57"/>
  <c r="V33" i="57"/>
  <c r="I33" i="57"/>
  <c r="W32" i="57"/>
  <c r="V32" i="57"/>
  <c r="I32" i="57"/>
  <c r="L32" i="57"/>
  <c r="W31" i="57"/>
  <c r="V31" i="57"/>
  <c r="L31" i="57"/>
  <c r="I31" i="57"/>
  <c r="J31" i="57" s="1"/>
  <c r="W30" i="57"/>
  <c r="V30" i="57"/>
  <c r="L30" i="57"/>
  <c r="I30" i="57"/>
  <c r="W29" i="57"/>
  <c r="V29" i="57"/>
  <c r="I29" i="57"/>
  <c r="J29" i="57" s="1"/>
  <c r="K29" i="57" s="1"/>
  <c r="W28" i="57"/>
  <c r="V28" i="57"/>
  <c r="I28" i="57"/>
  <c r="J28" i="57" s="1"/>
  <c r="L28" i="57"/>
  <c r="W27" i="57"/>
  <c r="V27" i="57"/>
  <c r="L27" i="57"/>
  <c r="I27" i="57"/>
  <c r="W26" i="57"/>
  <c r="V26" i="57"/>
  <c r="L26" i="57"/>
  <c r="I26" i="57"/>
  <c r="W25" i="57"/>
  <c r="V25" i="57"/>
  <c r="I25" i="57"/>
  <c r="W24" i="57"/>
  <c r="V24" i="57"/>
  <c r="I24" i="57"/>
  <c r="L24" i="57"/>
  <c r="W23" i="57"/>
  <c r="V23" i="57"/>
  <c r="L23" i="57"/>
  <c r="I23" i="57"/>
  <c r="W22" i="57"/>
  <c r="V22" i="57"/>
  <c r="I22" i="57"/>
  <c r="W21" i="57"/>
  <c r="V21" i="57"/>
  <c r="I21" i="57"/>
  <c r="W20" i="57"/>
  <c r="V20" i="57"/>
  <c r="I20" i="57"/>
  <c r="L20" i="57"/>
  <c r="W19" i="57"/>
  <c r="V19" i="57"/>
  <c r="L19" i="57"/>
  <c r="I19" i="57"/>
  <c r="J19" i="57" s="1"/>
  <c r="K19" i="57" s="1"/>
  <c r="W18" i="57"/>
  <c r="V18" i="57"/>
  <c r="L18" i="57"/>
  <c r="I18" i="57"/>
  <c r="W17" i="57"/>
  <c r="V17" i="57"/>
  <c r="I17" i="57"/>
  <c r="J17" i="57" s="1"/>
  <c r="K17" i="57" s="1"/>
  <c r="H25" i="56"/>
  <c r="G25" i="56"/>
  <c r="F25" i="56"/>
  <c r="E25" i="56"/>
  <c r="D25" i="56"/>
  <c r="C25" i="56"/>
  <c r="B25" i="56"/>
  <c r="A25" i="56"/>
  <c r="H24" i="56"/>
  <c r="G24" i="56"/>
  <c r="F24" i="56"/>
  <c r="E24" i="56"/>
  <c r="D24" i="56"/>
  <c r="C24" i="56"/>
  <c r="B24" i="56"/>
  <c r="A24" i="56"/>
  <c r="H23" i="56"/>
  <c r="G23" i="56"/>
  <c r="F23" i="56"/>
  <c r="E23" i="56"/>
  <c r="D23" i="56"/>
  <c r="C23" i="56"/>
  <c r="B23" i="56"/>
  <c r="A23" i="56"/>
  <c r="H22" i="56"/>
  <c r="G22" i="56"/>
  <c r="F22" i="56"/>
  <c r="E22" i="56"/>
  <c r="D22" i="56"/>
  <c r="C22" i="56"/>
  <c r="B22" i="56"/>
  <c r="A22" i="56"/>
  <c r="H21" i="56"/>
  <c r="G21" i="56"/>
  <c r="F21" i="56"/>
  <c r="E21" i="56"/>
  <c r="D21" i="56"/>
  <c r="C21" i="56"/>
  <c r="B21" i="56"/>
  <c r="A21" i="56"/>
  <c r="H20" i="56"/>
  <c r="G20" i="56"/>
  <c r="F20" i="56"/>
  <c r="E20" i="56"/>
  <c r="D20" i="56"/>
  <c r="C20" i="56"/>
  <c r="B20" i="56"/>
  <c r="A20" i="56"/>
  <c r="H19" i="56"/>
  <c r="G19" i="56"/>
  <c r="F19" i="56"/>
  <c r="E19" i="56"/>
  <c r="D19" i="56"/>
  <c r="C19" i="56"/>
  <c r="B19" i="56"/>
  <c r="A19" i="56"/>
  <c r="H18" i="56"/>
  <c r="G18" i="56"/>
  <c r="F18" i="56"/>
  <c r="E18" i="56"/>
  <c r="D18" i="56"/>
  <c r="C18" i="56"/>
  <c r="B18" i="56"/>
  <c r="A18" i="56"/>
  <c r="H17" i="56"/>
  <c r="G17" i="56"/>
  <c r="F17" i="56"/>
  <c r="E17" i="56"/>
  <c r="D17" i="56"/>
  <c r="C17" i="56"/>
  <c r="B17" i="56"/>
  <c r="A17" i="56"/>
  <c r="W25" i="56"/>
  <c r="V25" i="56"/>
  <c r="L25" i="56"/>
  <c r="I25" i="56"/>
  <c r="W24" i="56"/>
  <c r="V24" i="56"/>
  <c r="L24" i="56"/>
  <c r="I24" i="56"/>
  <c r="J24" i="56" s="1"/>
  <c r="K24" i="56" s="1"/>
  <c r="M24" i="56" s="1"/>
  <c r="W23" i="56"/>
  <c r="V23" i="56"/>
  <c r="L23" i="56"/>
  <c r="I23" i="56"/>
  <c r="J23" i="56" s="1"/>
  <c r="K23" i="56" s="1"/>
  <c r="M23" i="56" s="1"/>
  <c r="W22" i="56"/>
  <c r="V22" i="56"/>
  <c r="L22" i="56"/>
  <c r="I22" i="56"/>
  <c r="J22" i="56" s="1"/>
  <c r="K22" i="56" s="1"/>
  <c r="M22" i="56" s="1"/>
  <c r="N22" i="56" s="1"/>
  <c r="O22" i="56" s="1"/>
  <c r="W21" i="56"/>
  <c r="V21" i="56"/>
  <c r="L21" i="56"/>
  <c r="I21" i="56"/>
  <c r="W20" i="56"/>
  <c r="V20" i="56"/>
  <c r="L20" i="56"/>
  <c r="I20" i="56"/>
  <c r="J20" i="56" s="1"/>
  <c r="K20" i="56" s="1"/>
  <c r="M20" i="56" s="1"/>
  <c r="N20" i="56" s="1"/>
  <c r="O20" i="56" s="1"/>
  <c r="W19" i="56"/>
  <c r="V19" i="56"/>
  <c r="L19" i="56"/>
  <c r="I19" i="56"/>
  <c r="W18" i="56"/>
  <c r="V18" i="56"/>
  <c r="L18" i="56"/>
  <c r="I18" i="56"/>
  <c r="W17" i="56"/>
  <c r="V17" i="56"/>
  <c r="L17" i="56"/>
  <c r="I17" i="56"/>
  <c r="H28" i="54"/>
  <c r="G28" i="54"/>
  <c r="F28" i="54"/>
  <c r="E28" i="54"/>
  <c r="D28" i="54"/>
  <c r="C28" i="54"/>
  <c r="B28" i="54"/>
  <c r="A28" i="54"/>
  <c r="H27" i="54"/>
  <c r="G27" i="54"/>
  <c r="F27" i="54"/>
  <c r="E27" i="54"/>
  <c r="D27" i="54"/>
  <c r="C27" i="54"/>
  <c r="B27" i="54"/>
  <c r="A27" i="54"/>
  <c r="H26" i="54"/>
  <c r="G26" i="54"/>
  <c r="F26" i="54"/>
  <c r="E26" i="54"/>
  <c r="D26" i="54"/>
  <c r="C26" i="54"/>
  <c r="B26" i="54"/>
  <c r="A26" i="54"/>
  <c r="H25" i="54"/>
  <c r="G25" i="54"/>
  <c r="F25" i="54"/>
  <c r="E25" i="54"/>
  <c r="D25" i="54"/>
  <c r="C25" i="54"/>
  <c r="B25" i="54"/>
  <c r="A25" i="54"/>
  <c r="H24" i="54"/>
  <c r="G24" i="54"/>
  <c r="F24" i="54"/>
  <c r="E24" i="54"/>
  <c r="D24" i="54"/>
  <c r="C24" i="54"/>
  <c r="B24" i="54"/>
  <c r="A24" i="54"/>
  <c r="H23" i="54"/>
  <c r="G23" i="54"/>
  <c r="F23" i="54"/>
  <c r="E23" i="54"/>
  <c r="D23" i="54"/>
  <c r="C23" i="54"/>
  <c r="B23" i="54"/>
  <c r="A23" i="54"/>
  <c r="H22" i="54"/>
  <c r="G22" i="54"/>
  <c r="F22" i="54"/>
  <c r="E22" i="54"/>
  <c r="D22" i="54"/>
  <c r="C22" i="54"/>
  <c r="B22" i="54"/>
  <c r="A22" i="54"/>
  <c r="H21" i="54"/>
  <c r="G21" i="54"/>
  <c r="F21" i="54"/>
  <c r="E21" i="54"/>
  <c r="J21" i="54" s="1"/>
  <c r="K21" i="54" s="1"/>
  <c r="M21" i="54" s="1"/>
  <c r="D21" i="54"/>
  <c r="C21" i="54"/>
  <c r="B21" i="54"/>
  <c r="A21" i="54"/>
  <c r="H20" i="54"/>
  <c r="G20" i="54"/>
  <c r="F20" i="54"/>
  <c r="E20" i="54"/>
  <c r="D20" i="54"/>
  <c r="C20" i="54"/>
  <c r="B20" i="54"/>
  <c r="A20" i="54"/>
  <c r="H19" i="54"/>
  <c r="G19" i="54"/>
  <c r="F19" i="54"/>
  <c r="E19" i="54"/>
  <c r="D19" i="54"/>
  <c r="C19" i="54"/>
  <c r="B19" i="54"/>
  <c r="A19" i="54"/>
  <c r="H18" i="54"/>
  <c r="G18" i="54"/>
  <c r="F18" i="54"/>
  <c r="E18" i="54"/>
  <c r="D18" i="54"/>
  <c r="C18" i="54"/>
  <c r="B18" i="54"/>
  <c r="A18" i="54"/>
  <c r="H17" i="54"/>
  <c r="I17" i="54" s="1"/>
  <c r="G17" i="54"/>
  <c r="F17" i="54"/>
  <c r="E17" i="54"/>
  <c r="C17" i="54"/>
  <c r="D17" i="54"/>
  <c r="L17" i="54"/>
  <c r="B17" i="54"/>
  <c r="A17" i="54"/>
  <c r="W28" i="54"/>
  <c r="V28" i="54"/>
  <c r="L28" i="54"/>
  <c r="I28" i="54"/>
  <c r="J28" i="54" s="1"/>
  <c r="K28" i="54" s="1"/>
  <c r="M28" i="54" s="1"/>
  <c r="W27" i="54"/>
  <c r="V27" i="54"/>
  <c r="L27" i="54"/>
  <c r="J27" i="54"/>
  <c r="K27" i="54" s="1"/>
  <c r="M27" i="54" s="1"/>
  <c r="I27" i="54"/>
  <c r="W26" i="54"/>
  <c r="V26" i="54"/>
  <c r="L26" i="54"/>
  <c r="J26" i="54"/>
  <c r="K26" i="54" s="1"/>
  <c r="M26" i="54" s="1"/>
  <c r="I26" i="54"/>
  <c r="W25" i="54"/>
  <c r="V25" i="54"/>
  <c r="L25" i="54"/>
  <c r="I25" i="54"/>
  <c r="J25" i="54" s="1"/>
  <c r="K25" i="54" s="1"/>
  <c r="M25" i="54" s="1"/>
  <c r="W24" i="54"/>
  <c r="V24" i="54"/>
  <c r="L24" i="54"/>
  <c r="I24" i="54"/>
  <c r="W23" i="54"/>
  <c r="V23" i="54"/>
  <c r="L23" i="54"/>
  <c r="I23" i="54"/>
  <c r="J23" i="54" s="1"/>
  <c r="K23" i="54" s="1"/>
  <c r="M23" i="54" s="1"/>
  <c r="N23" i="54" s="1"/>
  <c r="O23" i="54" s="1"/>
  <c r="W22" i="54"/>
  <c r="V22" i="54"/>
  <c r="L22" i="54"/>
  <c r="J22" i="54"/>
  <c r="K22" i="54" s="1"/>
  <c r="M22" i="54" s="1"/>
  <c r="I22" i="54"/>
  <c r="W21" i="54"/>
  <c r="V21" i="54"/>
  <c r="L21" i="54"/>
  <c r="I21" i="54"/>
  <c r="W20" i="54"/>
  <c r="V20" i="54"/>
  <c r="L20" i="54"/>
  <c r="I20" i="54"/>
  <c r="W19" i="54"/>
  <c r="V19" i="54"/>
  <c r="L19" i="54"/>
  <c r="I19" i="54"/>
  <c r="J19" i="54" s="1"/>
  <c r="K19" i="54" s="1"/>
  <c r="M19" i="54" s="1"/>
  <c r="W18" i="54"/>
  <c r="V18" i="54"/>
  <c r="L18" i="54"/>
  <c r="I18" i="54"/>
  <c r="W17" i="54"/>
  <c r="V17" i="54"/>
  <c r="H28" i="53"/>
  <c r="G28" i="53"/>
  <c r="F28" i="53"/>
  <c r="E28" i="53"/>
  <c r="D28" i="53"/>
  <c r="C28" i="53"/>
  <c r="B28" i="53"/>
  <c r="A28" i="53"/>
  <c r="H27" i="53"/>
  <c r="G27" i="53"/>
  <c r="F27" i="53"/>
  <c r="E27" i="53"/>
  <c r="D27" i="53"/>
  <c r="C27" i="53"/>
  <c r="B27" i="53"/>
  <c r="A27" i="53"/>
  <c r="H26" i="53"/>
  <c r="G26" i="53"/>
  <c r="F26" i="53"/>
  <c r="E26" i="53"/>
  <c r="D26" i="53"/>
  <c r="C26" i="53"/>
  <c r="B26" i="53"/>
  <c r="A26" i="53"/>
  <c r="H25" i="53"/>
  <c r="G25" i="53"/>
  <c r="F25" i="53"/>
  <c r="E25" i="53"/>
  <c r="D25" i="53"/>
  <c r="C25" i="53"/>
  <c r="B25" i="53"/>
  <c r="A25" i="53"/>
  <c r="H24" i="53"/>
  <c r="G24" i="53"/>
  <c r="F24" i="53"/>
  <c r="E24" i="53"/>
  <c r="D24" i="53"/>
  <c r="C24" i="53"/>
  <c r="B24" i="53"/>
  <c r="A24" i="53"/>
  <c r="H23" i="53"/>
  <c r="G23" i="53"/>
  <c r="F23" i="53"/>
  <c r="E23" i="53"/>
  <c r="D23" i="53"/>
  <c r="C23" i="53"/>
  <c r="B23" i="53"/>
  <c r="A23" i="53"/>
  <c r="H22" i="53"/>
  <c r="G22" i="53"/>
  <c r="F22" i="53"/>
  <c r="E22" i="53"/>
  <c r="D22" i="53"/>
  <c r="C22" i="53"/>
  <c r="B22" i="53"/>
  <c r="A22" i="53"/>
  <c r="H21" i="53"/>
  <c r="G21" i="53"/>
  <c r="F21" i="53"/>
  <c r="E21" i="53"/>
  <c r="D21" i="53"/>
  <c r="C21" i="53"/>
  <c r="B21" i="53"/>
  <c r="A21" i="53"/>
  <c r="H20" i="53"/>
  <c r="G20" i="53"/>
  <c r="F20" i="53"/>
  <c r="E20" i="53"/>
  <c r="D20" i="53"/>
  <c r="C20" i="53"/>
  <c r="B20" i="53"/>
  <c r="A20" i="53"/>
  <c r="H19" i="53"/>
  <c r="G19" i="53"/>
  <c r="F19" i="53"/>
  <c r="E19" i="53"/>
  <c r="D19" i="53"/>
  <c r="C19" i="53"/>
  <c r="B19" i="53"/>
  <c r="A19" i="53"/>
  <c r="H18" i="53"/>
  <c r="G18" i="53"/>
  <c r="F18" i="53"/>
  <c r="E18" i="53"/>
  <c r="D18" i="53"/>
  <c r="C18" i="53"/>
  <c r="B18" i="53"/>
  <c r="A18" i="53"/>
  <c r="H17" i="53"/>
  <c r="G17" i="53"/>
  <c r="I17" i="53" s="1"/>
  <c r="F17" i="53"/>
  <c r="E17" i="53"/>
  <c r="D17" i="53"/>
  <c r="C17" i="53"/>
  <c r="B17" i="53"/>
  <c r="A17" i="53"/>
  <c r="W28" i="53"/>
  <c r="V28" i="53"/>
  <c r="L28" i="53"/>
  <c r="I28" i="53"/>
  <c r="W27" i="53"/>
  <c r="V27" i="53"/>
  <c r="L27" i="53"/>
  <c r="I27" i="53"/>
  <c r="W26" i="53"/>
  <c r="V26" i="53"/>
  <c r="L26" i="53"/>
  <c r="I26" i="53"/>
  <c r="W25" i="53"/>
  <c r="V25" i="53"/>
  <c r="L25" i="53"/>
  <c r="I25" i="53"/>
  <c r="W24" i="53"/>
  <c r="V24" i="53"/>
  <c r="L24" i="53"/>
  <c r="I24" i="53"/>
  <c r="W23" i="53"/>
  <c r="V23" i="53"/>
  <c r="L23" i="53"/>
  <c r="I23" i="53"/>
  <c r="J23" i="53" s="1"/>
  <c r="K23" i="53" s="1"/>
  <c r="M23" i="53" s="1"/>
  <c r="N23" i="53" s="1"/>
  <c r="O23" i="53" s="1"/>
  <c r="W22" i="53"/>
  <c r="V22" i="53"/>
  <c r="L22" i="53"/>
  <c r="I22" i="53"/>
  <c r="J22" i="53" s="1"/>
  <c r="K22" i="53" s="1"/>
  <c r="M22" i="53" s="1"/>
  <c r="W21" i="53"/>
  <c r="V21" i="53"/>
  <c r="L21" i="53"/>
  <c r="I21" i="53"/>
  <c r="J21" i="53" s="1"/>
  <c r="K21" i="53" s="1"/>
  <c r="M21" i="53" s="1"/>
  <c r="N21" i="53" s="1"/>
  <c r="O21" i="53" s="1"/>
  <c r="W20" i="53"/>
  <c r="V20" i="53"/>
  <c r="L20" i="53"/>
  <c r="I20" i="53"/>
  <c r="J20" i="53" s="1"/>
  <c r="K20" i="53" s="1"/>
  <c r="M20" i="53" s="1"/>
  <c r="N20" i="53" s="1"/>
  <c r="O20" i="53" s="1"/>
  <c r="W19" i="53"/>
  <c r="V19" i="53"/>
  <c r="L19" i="53"/>
  <c r="J19" i="53"/>
  <c r="K19" i="53" s="1"/>
  <c r="M19" i="53" s="1"/>
  <c r="N19" i="53" s="1"/>
  <c r="O19" i="53" s="1"/>
  <c r="I19" i="53"/>
  <c r="W18" i="53"/>
  <c r="V18" i="53"/>
  <c r="L18" i="53"/>
  <c r="I18" i="53"/>
  <c r="W17" i="53"/>
  <c r="V17" i="53"/>
  <c r="L17" i="53"/>
  <c r="A40" i="52"/>
  <c r="C40" i="52"/>
  <c r="L40" i="52" s="1"/>
  <c r="D40" i="52"/>
  <c r="E40" i="52"/>
  <c r="F40" i="52"/>
  <c r="G40" i="52"/>
  <c r="H40" i="52"/>
  <c r="I40" i="52" s="1"/>
  <c r="J40" i="52" s="1"/>
  <c r="K40" i="52" s="1"/>
  <c r="M40" i="52" s="1"/>
  <c r="N40" i="52" s="1"/>
  <c r="O40" i="52" s="1"/>
  <c r="A41" i="52"/>
  <c r="C41" i="52"/>
  <c r="D41" i="52"/>
  <c r="E41" i="52"/>
  <c r="F41" i="52"/>
  <c r="K41" i="52" s="1"/>
  <c r="M41" i="52" s="1"/>
  <c r="G41" i="52"/>
  <c r="H41" i="52"/>
  <c r="I41" i="52" s="1"/>
  <c r="J41" i="52" s="1"/>
  <c r="A42" i="52"/>
  <c r="C42" i="52"/>
  <c r="L42" i="52" s="1"/>
  <c r="D42" i="52"/>
  <c r="E42" i="52"/>
  <c r="F42" i="52"/>
  <c r="G42" i="52"/>
  <c r="H42" i="52"/>
  <c r="A43" i="52"/>
  <c r="C43" i="52"/>
  <c r="L43" i="52" s="1"/>
  <c r="D43" i="52"/>
  <c r="E43" i="52"/>
  <c r="F43" i="52"/>
  <c r="G43" i="52"/>
  <c r="H43" i="52"/>
  <c r="I43" i="52" s="1"/>
  <c r="J43" i="52" s="1"/>
  <c r="K43" i="52" s="1"/>
  <c r="M43" i="52" s="1"/>
  <c r="A44" i="52"/>
  <c r="C44" i="52"/>
  <c r="L44" i="52" s="1"/>
  <c r="D44" i="52"/>
  <c r="E44" i="52"/>
  <c r="F44" i="52"/>
  <c r="G44" i="52"/>
  <c r="H44" i="52"/>
  <c r="I44" i="52" s="1"/>
  <c r="J44" i="52" s="1"/>
  <c r="K44" i="52" s="1"/>
  <c r="M44" i="52" s="1"/>
  <c r="N44" i="52" s="1"/>
  <c r="O44" i="52" s="1"/>
  <c r="A45" i="52"/>
  <c r="C45" i="52"/>
  <c r="D45" i="52"/>
  <c r="E45" i="52"/>
  <c r="F45" i="52"/>
  <c r="K45" i="52" s="1"/>
  <c r="M45" i="52" s="1"/>
  <c r="G45" i="52"/>
  <c r="H45" i="52"/>
  <c r="I45" i="52" s="1"/>
  <c r="J45" i="52" s="1"/>
  <c r="A46" i="52"/>
  <c r="C46" i="52"/>
  <c r="L46" i="52" s="1"/>
  <c r="D46" i="52"/>
  <c r="E46" i="52"/>
  <c r="F46" i="52"/>
  <c r="G46" i="52"/>
  <c r="H46" i="52"/>
  <c r="H39" i="52"/>
  <c r="G39" i="52"/>
  <c r="I39" i="52" s="1"/>
  <c r="J39" i="52" s="1"/>
  <c r="F39" i="52"/>
  <c r="E39" i="52"/>
  <c r="D39" i="52"/>
  <c r="C39" i="52"/>
  <c r="A39" i="52"/>
  <c r="W46" i="52"/>
  <c r="V46" i="52"/>
  <c r="I46" i="52"/>
  <c r="J46" i="52" s="1"/>
  <c r="K46" i="52" s="1"/>
  <c r="M46" i="52" s="1"/>
  <c r="W45" i="52"/>
  <c r="V45" i="52"/>
  <c r="L45" i="52"/>
  <c r="W44" i="52"/>
  <c r="V44" i="52"/>
  <c r="W43" i="52"/>
  <c r="V43" i="52"/>
  <c r="W42" i="52"/>
  <c r="V42" i="52"/>
  <c r="I42" i="52"/>
  <c r="J42" i="52" s="1"/>
  <c r="K42" i="52" s="1"/>
  <c r="M42" i="52" s="1"/>
  <c r="W41" i="52"/>
  <c r="V41" i="52"/>
  <c r="L41" i="52"/>
  <c r="W40" i="52"/>
  <c r="V40" i="52"/>
  <c r="W39" i="52"/>
  <c r="V39" i="52"/>
  <c r="L39" i="52"/>
  <c r="E35" i="52"/>
  <c r="A35" i="52"/>
  <c r="H34" i="52"/>
  <c r="D34" i="52"/>
  <c r="A34" i="52"/>
  <c r="A33" i="52"/>
  <c r="F32" i="52"/>
  <c r="A32" i="52"/>
  <c r="E31" i="52"/>
  <c r="A31" i="52"/>
  <c r="H30" i="52"/>
  <c r="D30" i="52"/>
  <c r="A30" i="52"/>
  <c r="A29" i="52"/>
  <c r="F28" i="52"/>
  <c r="A28" i="52"/>
  <c r="E24" i="52"/>
  <c r="A24" i="52"/>
  <c r="A23" i="52"/>
  <c r="G22" i="52"/>
  <c r="C22" i="52"/>
  <c r="L22" i="52" s="1"/>
  <c r="A22" i="52"/>
  <c r="F21" i="52"/>
  <c r="A21" i="52"/>
  <c r="E20" i="52"/>
  <c r="A20" i="52"/>
  <c r="A19" i="52"/>
  <c r="G18" i="52"/>
  <c r="I18" i="52" s="1"/>
  <c r="C18" i="52"/>
  <c r="L18" i="52" s="1"/>
  <c r="A18" i="52"/>
  <c r="F17" i="52"/>
  <c r="A17" i="52"/>
  <c r="L93" i="52"/>
  <c r="K93" i="52"/>
  <c r="J93" i="52"/>
  <c r="N93" i="52" s="1"/>
  <c r="I93" i="52"/>
  <c r="L92" i="52"/>
  <c r="K92" i="52"/>
  <c r="J92" i="52"/>
  <c r="N92" i="52" s="1"/>
  <c r="I92" i="52"/>
  <c r="M92" i="52" s="1"/>
  <c r="L91" i="52"/>
  <c r="K91" i="52"/>
  <c r="J91" i="52"/>
  <c r="N91" i="52" s="1"/>
  <c r="I91" i="52"/>
  <c r="L90" i="52"/>
  <c r="K90" i="52"/>
  <c r="J90" i="52"/>
  <c r="N90" i="52" s="1"/>
  <c r="I90" i="52"/>
  <c r="M90" i="52" s="1"/>
  <c r="L89" i="52"/>
  <c r="K89" i="52"/>
  <c r="J89" i="52"/>
  <c r="N89" i="52" s="1"/>
  <c r="I89" i="52"/>
  <c r="L88" i="52"/>
  <c r="K88" i="52"/>
  <c r="J88" i="52"/>
  <c r="N88" i="52" s="1"/>
  <c r="I88" i="52"/>
  <c r="M88" i="52" s="1"/>
  <c r="L87" i="52"/>
  <c r="K87" i="52"/>
  <c r="J87" i="52"/>
  <c r="N87" i="52" s="1"/>
  <c r="I87" i="52"/>
  <c r="L86" i="52"/>
  <c r="K86" i="52"/>
  <c r="J86" i="52"/>
  <c r="N86" i="52" s="1"/>
  <c r="I86" i="52"/>
  <c r="M86" i="52" s="1"/>
  <c r="L78" i="52"/>
  <c r="F35" i="52" s="1"/>
  <c r="K78" i="52"/>
  <c r="J78" i="52"/>
  <c r="N78" i="52" s="1"/>
  <c r="H35" i="52" s="1"/>
  <c r="I78" i="52"/>
  <c r="C35" i="52" s="1"/>
  <c r="L35" i="52" s="1"/>
  <c r="L77" i="52"/>
  <c r="F34" i="52" s="1"/>
  <c r="K77" i="52"/>
  <c r="E34" i="52" s="1"/>
  <c r="J77" i="52"/>
  <c r="N77" i="52" s="1"/>
  <c r="I77" i="52"/>
  <c r="M77" i="52" s="1"/>
  <c r="G34" i="52" s="1"/>
  <c r="L76" i="52"/>
  <c r="F33" i="52" s="1"/>
  <c r="K76" i="52"/>
  <c r="J76" i="52"/>
  <c r="N76" i="52" s="1"/>
  <c r="H33" i="52" s="1"/>
  <c r="I76" i="52"/>
  <c r="C33" i="52" s="1"/>
  <c r="L33" i="52" s="1"/>
  <c r="L75" i="52"/>
  <c r="K75" i="52"/>
  <c r="E32" i="52" s="1"/>
  <c r="J75" i="52"/>
  <c r="N75" i="52" s="1"/>
  <c r="H32" i="52" s="1"/>
  <c r="I75" i="52"/>
  <c r="M75" i="52" s="1"/>
  <c r="G32" i="52" s="1"/>
  <c r="I32" i="52" s="1"/>
  <c r="L74" i="52"/>
  <c r="F31" i="52" s="1"/>
  <c r="K74" i="52"/>
  <c r="J74" i="52"/>
  <c r="N74" i="52" s="1"/>
  <c r="H31" i="52" s="1"/>
  <c r="I74" i="52"/>
  <c r="C31" i="52" s="1"/>
  <c r="L31" i="52" s="1"/>
  <c r="L73" i="52"/>
  <c r="F30" i="52" s="1"/>
  <c r="K73" i="52"/>
  <c r="E30" i="52" s="1"/>
  <c r="J73" i="52"/>
  <c r="N73" i="52" s="1"/>
  <c r="I73" i="52"/>
  <c r="M73" i="52" s="1"/>
  <c r="G30" i="52" s="1"/>
  <c r="L72" i="52"/>
  <c r="F29" i="52" s="1"/>
  <c r="K72" i="52"/>
  <c r="J72" i="52"/>
  <c r="N72" i="52" s="1"/>
  <c r="H29" i="52" s="1"/>
  <c r="I72" i="52"/>
  <c r="C29" i="52" s="1"/>
  <c r="L29" i="52" s="1"/>
  <c r="L71" i="52"/>
  <c r="K71" i="52"/>
  <c r="E28" i="52" s="1"/>
  <c r="J71" i="52"/>
  <c r="N71" i="52" s="1"/>
  <c r="H28" i="52" s="1"/>
  <c r="I71" i="52"/>
  <c r="M71" i="52" s="1"/>
  <c r="G28" i="52" s="1"/>
  <c r="I28" i="52" s="1"/>
  <c r="L63" i="52"/>
  <c r="F24" i="52" s="1"/>
  <c r="K63" i="52"/>
  <c r="J63" i="52"/>
  <c r="N63" i="52" s="1"/>
  <c r="H24" i="52" s="1"/>
  <c r="I63" i="52"/>
  <c r="C24" i="52" s="1"/>
  <c r="L24" i="52" s="1"/>
  <c r="L62" i="52"/>
  <c r="F23" i="52" s="1"/>
  <c r="K62" i="52"/>
  <c r="M62" i="52" s="1"/>
  <c r="G23" i="52" s="1"/>
  <c r="I23" i="52" s="1"/>
  <c r="J62" i="52"/>
  <c r="N62" i="52" s="1"/>
  <c r="H23" i="52" s="1"/>
  <c r="I62" i="52"/>
  <c r="C23" i="52" s="1"/>
  <c r="L23" i="52" s="1"/>
  <c r="L61" i="52"/>
  <c r="F22" i="52" s="1"/>
  <c r="K61" i="52"/>
  <c r="M61" i="52" s="1"/>
  <c r="J61" i="52"/>
  <c r="N61" i="52" s="1"/>
  <c r="H22" i="52" s="1"/>
  <c r="I61" i="52"/>
  <c r="L60" i="52"/>
  <c r="K60" i="52"/>
  <c r="E21" i="52" s="1"/>
  <c r="J60" i="52"/>
  <c r="N60" i="52" s="1"/>
  <c r="H21" i="52" s="1"/>
  <c r="I60" i="52"/>
  <c r="C21" i="52" s="1"/>
  <c r="L21" i="52" s="1"/>
  <c r="L59" i="52"/>
  <c r="F20" i="52" s="1"/>
  <c r="K59" i="52"/>
  <c r="M59" i="52" s="1"/>
  <c r="G20" i="52" s="1"/>
  <c r="I20" i="52" s="1"/>
  <c r="J59" i="52"/>
  <c r="N59" i="52" s="1"/>
  <c r="H20" i="52" s="1"/>
  <c r="I59" i="52"/>
  <c r="C20" i="52" s="1"/>
  <c r="L20" i="52" s="1"/>
  <c r="L58" i="52"/>
  <c r="F19" i="52" s="1"/>
  <c r="K58" i="52"/>
  <c r="E19" i="52" s="1"/>
  <c r="J58" i="52"/>
  <c r="N58" i="52" s="1"/>
  <c r="H19" i="52" s="1"/>
  <c r="I58" i="52"/>
  <c r="L57" i="52"/>
  <c r="F18" i="52" s="1"/>
  <c r="K57" i="52"/>
  <c r="M57" i="52" s="1"/>
  <c r="J57" i="52"/>
  <c r="N57" i="52" s="1"/>
  <c r="H18" i="52" s="1"/>
  <c r="I57" i="52"/>
  <c r="L56" i="52"/>
  <c r="K56" i="52"/>
  <c r="E17" i="52" s="1"/>
  <c r="J56" i="52"/>
  <c r="N56" i="52" s="1"/>
  <c r="H17" i="52" s="1"/>
  <c r="I56" i="52"/>
  <c r="C17" i="52" s="1"/>
  <c r="L17" i="52" s="1"/>
  <c r="W35" i="52"/>
  <c r="V35" i="52"/>
  <c r="W34" i="52"/>
  <c r="V34" i="52"/>
  <c r="W33" i="52"/>
  <c r="V33" i="52"/>
  <c r="W32" i="52"/>
  <c r="V32" i="52"/>
  <c r="W31" i="52"/>
  <c r="V31" i="52"/>
  <c r="W30" i="52"/>
  <c r="V30" i="52"/>
  <c r="W29" i="52"/>
  <c r="V29" i="52"/>
  <c r="W28" i="52"/>
  <c r="V28" i="52"/>
  <c r="W24" i="52"/>
  <c r="V24" i="52"/>
  <c r="W23" i="52"/>
  <c r="V23" i="52"/>
  <c r="W22" i="52"/>
  <c r="V22" i="52"/>
  <c r="W21" i="52"/>
  <c r="V21" i="52"/>
  <c r="W20" i="52"/>
  <c r="V20" i="52"/>
  <c r="W19" i="52"/>
  <c r="V19" i="52"/>
  <c r="W18" i="52"/>
  <c r="V18" i="52"/>
  <c r="W17" i="52"/>
  <c r="V17" i="52"/>
  <c r="W66" i="48"/>
  <c r="V66" i="48"/>
  <c r="L66" i="48"/>
  <c r="U66" i="48" s="1"/>
  <c r="Y66" i="48" s="1"/>
  <c r="H66" i="48"/>
  <c r="G66" i="48"/>
  <c r="I66" i="48" s="1"/>
  <c r="J66" i="48" s="1"/>
  <c r="K66" i="48" s="1"/>
  <c r="M66" i="48" s="1"/>
  <c r="N66" i="48" s="1"/>
  <c r="O66" i="48" s="1"/>
  <c r="F66" i="48"/>
  <c r="E66" i="48"/>
  <c r="D66" i="48"/>
  <c r="C66" i="48"/>
  <c r="B66" i="48"/>
  <c r="A66" i="48"/>
  <c r="W65" i="48"/>
  <c r="V65" i="48"/>
  <c r="I65" i="48"/>
  <c r="J65" i="48" s="1"/>
  <c r="K65" i="48" s="1"/>
  <c r="H65" i="48"/>
  <c r="G65" i="48"/>
  <c r="F65" i="48"/>
  <c r="E65" i="48"/>
  <c r="D65" i="48"/>
  <c r="C65" i="48"/>
  <c r="B65" i="48"/>
  <c r="A65" i="48"/>
  <c r="W64" i="48"/>
  <c r="V64" i="48"/>
  <c r="L64" i="48"/>
  <c r="H64" i="48"/>
  <c r="I64" i="48" s="1"/>
  <c r="J64" i="48" s="1"/>
  <c r="K64" i="48" s="1"/>
  <c r="M64" i="48" s="1"/>
  <c r="N64" i="48" s="1"/>
  <c r="O64" i="48" s="1"/>
  <c r="G64" i="48"/>
  <c r="F64" i="48"/>
  <c r="E64" i="48"/>
  <c r="D64" i="48"/>
  <c r="C64" i="48"/>
  <c r="B64" i="48"/>
  <c r="A64" i="48"/>
  <c r="W63" i="48"/>
  <c r="V63" i="48"/>
  <c r="L63" i="48"/>
  <c r="I63" i="48"/>
  <c r="J63" i="48" s="1"/>
  <c r="K63" i="48" s="1"/>
  <c r="M63" i="48" s="1"/>
  <c r="N63" i="48" s="1"/>
  <c r="O63" i="48" s="1"/>
  <c r="H63" i="48"/>
  <c r="G63" i="48"/>
  <c r="F63" i="48"/>
  <c r="E63" i="48"/>
  <c r="D63" i="48"/>
  <c r="C63" i="48"/>
  <c r="B63" i="48"/>
  <c r="A63" i="48"/>
  <c r="W62" i="48"/>
  <c r="V62" i="48"/>
  <c r="L62" i="48"/>
  <c r="H62" i="48"/>
  <c r="I62" i="48" s="1"/>
  <c r="J62" i="48" s="1"/>
  <c r="G62" i="48"/>
  <c r="F62" i="48"/>
  <c r="K62" i="48" s="1"/>
  <c r="M62" i="48" s="1"/>
  <c r="N62" i="48" s="1"/>
  <c r="O62" i="48" s="1"/>
  <c r="E62" i="48"/>
  <c r="D62" i="48"/>
  <c r="C62" i="48"/>
  <c r="B62" i="48"/>
  <c r="A62" i="48"/>
  <c r="W61" i="48"/>
  <c r="V61" i="48"/>
  <c r="L61" i="48"/>
  <c r="T61" i="48" s="1"/>
  <c r="X61" i="48" s="1"/>
  <c r="H61" i="48"/>
  <c r="G61" i="48"/>
  <c r="I61" i="48" s="1"/>
  <c r="J61" i="48" s="1"/>
  <c r="K61" i="48" s="1"/>
  <c r="M61" i="48" s="1"/>
  <c r="F61" i="48"/>
  <c r="E61" i="48"/>
  <c r="D61" i="48"/>
  <c r="C61" i="48"/>
  <c r="B61" i="48"/>
  <c r="A61" i="48"/>
  <c r="W60" i="48"/>
  <c r="V60" i="48"/>
  <c r="L60" i="48"/>
  <c r="H60" i="48"/>
  <c r="G60" i="48"/>
  <c r="I60" i="48" s="1"/>
  <c r="J60" i="48" s="1"/>
  <c r="F60" i="48"/>
  <c r="K60" i="48" s="1"/>
  <c r="M60" i="48" s="1"/>
  <c r="E60" i="48"/>
  <c r="D60" i="48"/>
  <c r="C60" i="48"/>
  <c r="B60" i="48"/>
  <c r="A60" i="48"/>
  <c r="W59" i="48"/>
  <c r="V59" i="48"/>
  <c r="I59" i="48"/>
  <c r="J59" i="48" s="1"/>
  <c r="H59" i="48"/>
  <c r="G59" i="48"/>
  <c r="F59" i="48"/>
  <c r="K59" i="48" s="1"/>
  <c r="E59" i="48"/>
  <c r="D59" i="48"/>
  <c r="C59" i="48"/>
  <c r="M59" i="48" s="1"/>
  <c r="B59" i="48"/>
  <c r="A59" i="48"/>
  <c r="W58" i="48"/>
  <c r="V58" i="48"/>
  <c r="H58" i="48"/>
  <c r="G58" i="48"/>
  <c r="I58" i="48" s="1"/>
  <c r="J58" i="48" s="1"/>
  <c r="F58" i="48"/>
  <c r="K58" i="48" s="1"/>
  <c r="E58" i="48"/>
  <c r="D58" i="48"/>
  <c r="C58" i="48"/>
  <c r="M58" i="48" s="1"/>
  <c r="B58" i="48"/>
  <c r="A58" i="48"/>
  <c r="W57" i="48"/>
  <c r="V57" i="48"/>
  <c r="H57" i="48"/>
  <c r="G57" i="48"/>
  <c r="I57" i="48" s="1"/>
  <c r="J57" i="48" s="1"/>
  <c r="F57" i="48"/>
  <c r="K57" i="48" s="1"/>
  <c r="E57" i="48"/>
  <c r="D57" i="48"/>
  <c r="C57" i="48"/>
  <c r="B57" i="48"/>
  <c r="A57" i="48"/>
  <c r="W56" i="48"/>
  <c r="V56" i="48"/>
  <c r="L56" i="48"/>
  <c r="H56" i="48"/>
  <c r="G56" i="48"/>
  <c r="I56" i="48" s="1"/>
  <c r="J56" i="48" s="1"/>
  <c r="F56" i="48"/>
  <c r="K56" i="48" s="1"/>
  <c r="E56" i="48"/>
  <c r="D56" i="48"/>
  <c r="C56" i="48"/>
  <c r="B56" i="48"/>
  <c r="A56" i="48"/>
  <c r="W55" i="48"/>
  <c r="V55" i="48"/>
  <c r="H55" i="48"/>
  <c r="G55" i="48"/>
  <c r="I55" i="48" s="1"/>
  <c r="J55" i="48" s="1"/>
  <c r="K55" i="48" s="1"/>
  <c r="M55" i="48" s="1"/>
  <c r="N55" i="48" s="1"/>
  <c r="O55" i="48" s="1"/>
  <c r="F55" i="48"/>
  <c r="E55" i="48"/>
  <c r="D55" i="48"/>
  <c r="C55" i="48"/>
  <c r="L55" i="48" s="1"/>
  <c r="B55" i="48"/>
  <c r="A55" i="48"/>
  <c r="W54" i="48"/>
  <c r="V54" i="48"/>
  <c r="L54" i="48"/>
  <c r="H54" i="48"/>
  <c r="G54" i="48"/>
  <c r="I54" i="48" s="1"/>
  <c r="J54" i="48" s="1"/>
  <c r="F54" i="48"/>
  <c r="K54" i="48" s="1"/>
  <c r="M54" i="48" s="1"/>
  <c r="N54" i="48" s="1"/>
  <c r="O54" i="48" s="1"/>
  <c r="E54" i="48"/>
  <c r="D54" i="48"/>
  <c r="C54" i="48"/>
  <c r="B54" i="48"/>
  <c r="A54" i="48"/>
  <c r="W53" i="48"/>
  <c r="V53" i="48"/>
  <c r="I53" i="48"/>
  <c r="J53" i="48" s="1"/>
  <c r="K53" i="48" s="1"/>
  <c r="H53" i="48"/>
  <c r="G53" i="48"/>
  <c r="F53" i="48"/>
  <c r="E53" i="48"/>
  <c r="D53" i="48"/>
  <c r="C53" i="48"/>
  <c r="M53" i="48" s="1"/>
  <c r="B53" i="48"/>
  <c r="A53" i="48"/>
  <c r="W52" i="48"/>
  <c r="V52" i="48"/>
  <c r="L52" i="48"/>
  <c r="H52" i="48"/>
  <c r="G52" i="48"/>
  <c r="I52" i="48" s="1"/>
  <c r="J52" i="48" s="1"/>
  <c r="K52" i="48" s="1"/>
  <c r="M52" i="48" s="1"/>
  <c r="N52" i="48" s="1"/>
  <c r="O52" i="48" s="1"/>
  <c r="F52" i="48"/>
  <c r="E52" i="48"/>
  <c r="D52" i="48"/>
  <c r="C52" i="48"/>
  <c r="B52" i="48"/>
  <c r="A52" i="48"/>
  <c r="W48" i="48"/>
  <c r="V48" i="48"/>
  <c r="H48" i="48"/>
  <c r="I48" i="48" s="1"/>
  <c r="J48" i="48" s="1"/>
  <c r="K48" i="48" s="1"/>
  <c r="M48" i="48" s="1"/>
  <c r="G48" i="48"/>
  <c r="F48" i="48"/>
  <c r="E48" i="48"/>
  <c r="D48" i="48"/>
  <c r="C48" i="48"/>
  <c r="L48" i="48" s="1"/>
  <c r="B48" i="48"/>
  <c r="A48" i="48"/>
  <c r="W47" i="48"/>
  <c r="V47" i="48"/>
  <c r="L47" i="48"/>
  <c r="I47" i="48"/>
  <c r="J47" i="48" s="1"/>
  <c r="H47" i="48"/>
  <c r="G47" i="48"/>
  <c r="F47" i="48"/>
  <c r="E47" i="48"/>
  <c r="D47" i="48"/>
  <c r="C47" i="48"/>
  <c r="B47" i="48"/>
  <c r="A47" i="48"/>
  <c r="W46" i="48"/>
  <c r="V46" i="48"/>
  <c r="L46" i="48"/>
  <c r="U46" i="48" s="1"/>
  <c r="Y46" i="48" s="1"/>
  <c r="H46" i="48"/>
  <c r="G46" i="48"/>
  <c r="I46" i="48" s="1"/>
  <c r="J46" i="48" s="1"/>
  <c r="K46" i="48" s="1"/>
  <c r="M46" i="48" s="1"/>
  <c r="N46" i="48" s="1"/>
  <c r="O46" i="48" s="1"/>
  <c r="F46" i="48"/>
  <c r="E46" i="48"/>
  <c r="D46" i="48"/>
  <c r="C46" i="48"/>
  <c r="B46" i="48"/>
  <c r="A46" i="48"/>
  <c r="W45" i="48"/>
  <c r="V45" i="48"/>
  <c r="L45" i="48"/>
  <c r="H45" i="48"/>
  <c r="G45" i="48"/>
  <c r="I45" i="48" s="1"/>
  <c r="J45" i="48" s="1"/>
  <c r="K45" i="48" s="1"/>
  <c r="M45" i="48" s="1"/>
  <c r="N45" i="48" s="1"/>
  <c r="O45" i="48" s="1"/>
  <c r="F45" i="48"/>
  <c r="E45" i="48"/>
  <c r="D45" i="48"/>
  <c r="C45" i="48"/>
  <c r="B45" i="48"/>
  <c r="A45" i="48"/>
  <c r="W44" i="48"/>
  <c r="V44" i="48"/>
  <c r="L44" i="48"/>
  <c r="I44" i="48"/>
  <c r="J44" i="48" s="1"/>
  <c r="H44" i="48"/>
  <c r="G44" i="48"/>
  <c r="F44" i="48"/>
  <c r="E44" i="48"/>
  <c r="D44" i="48"/>
  <c r="C44" i="48"/>
  <c r="B44" i="48"/>
  <c r="A44" i="48"/>
  <c r="W43" i="48"/>
  <c r="V43" i="48"/>
  <c r="L43" i="48"/>
  <c r="H43" i="48"/>
  <c r="I43" i="48" s="1"/>
  <c r="J43" i="48" s="1"/>
  <c r="K43" i="48" s="1"/>
  <c r="M43" i="48" s="1"/>
  <c r="G43" i="48"/>
  <c r="F43" i="48"/>
  <c r="E43" i="48"/>
  <c r="D43" i="48"/>
  <c r="C43" i="48"/>
  <c r="B43" i="48"/>
  <c r="A43" i="48"/>
  <c r="W42" i="48"/>
  <c r="V42" i="48"/>
  <c r="L42" i="48"/>
  <c r="H42" i="48"/>
  <c r="G42" i="48"/>
  <c r="I42" i="48" s="1"/>
  <c r="J42" i="48" s="1"/>
  <c r="K42" i="48" s="1"/>
  <c r="M42" i="48" s="1"/>
  <c r="F42" i="48"/>
  <c r="E42" i="48"/>
  <c r="D42" i="48"/>
  <c r="C42" i="48"/>
  <c r="B42" i="48"/>
  <c r="A42" i="48"/>
  <c r="W41" i="48"/>
  <c r="V41" i="48"/>
  <c r="I41" i="48"/>
  <c r="J41" i="48" s="1"/>
  <c r="H41" i="48"/>
  <c r="G41" i="48"/>
  <c r="F41" i="48"/>
  <c r="E41" i="48"/>
  <c r="D41" i="48"/>
  <c r="C41" i="48"/>
  <c r="B41" i="48"/>
  <c r="A41" i="48"/>
  <c r="W40" i="48"/>
  <c r="V40" i="48"/>
  <c r="L40" i="48"/>
  <c r="H40" i="48"/>
  <c r="I40" i="48" s="1"/>
  <c r="J40" i="48" s="1"/>
  <c r="G40" i="48"/>
  <c r="F40" i="48"/>
  <c r="E40" i="48"/>
  <c r="D40" i="48"/>
  <c r="C40" i="48"/>
  <c r="B40" i="48"/>
  <c r="A40" i="48"/>
  <c r="W39" i="48"/>
  <c r="V39" i="48"/>
  <c r="L39" i="48"/>
  <c r="H39" i="48"/>
  <c r="G39" i="48"/>
  <c r="I39" i="48" s="1"/>
  <c r="J39" i="48" s="1"/>
  <c r="F39" i="48"/>
  <c r="E39" i="48"/>
  <c r="D39" i="48"/>
  <c r="C39" i="48"/>
  <c r="B39" i="48"/>
  <c r="A39" i="48"/>
  <c r="W38" i="48"/>
  <c r="V38" i="48"/>
  <c r="H38" i="48"/>
  <c r="G38" i="48"/>
  <c r="I38" i="48" s="1"/>
  <c r="J38" i="48" s="1"/>
  <c r="F38" i="48"/>
  <c r="K38" i="48" s="1"/>
  <c r="E38" i="48"/>
  <c r="D38" i="48"/>
  <c r="C38" i="48"/>
  <c r="B38" i="48"/>
  <c r="A38" i="48"/>
  <c r="W37" i="48"/>
  <c r="V37" i="48"/>
  <c r="H37" i="48"/>
  <c r="G37" i="48"/>
  <c r="I37" i="48" s="1"/>
  <c r="J37" i="48" s="1"/>
  <c r="K37" i="48" s="1"/>
  <c r="F37" i="48"/>
  <c r="E37" i="48"/>
  <c r="D37" i="48"/>
  <c r="C37" i="48"/>
  <c r="M37" i="48" s="1"/>
  <c r="B37" i="48"/>
  <c r="A37" i="48"/>
  <c r="W36" i="48"/>
  <c r="V36" i="48"/>
  <c r="H36" i="48"/>
  <c r="G36" i="48"/>
  <c r="I36" i="48" s="1"/>
  <c r="J36" i="48" s="1"/>
  <c r="F36" i="48"/>
  <c r="E36" i="48"/>
  <c r="D36" i="48"/>
  <c r="C36" i="48"/>
  <c r="L36" i="48" s="1"/>
  <c r="B36" i="48"/>
  <c r="A36" i="48"/>
  <c r="W35" i="48"/>
  <c r="V35" i="48"/>
  <c r="L35" i="48"/>
  <c r="I35" i="48"/>
  <c r="J35" i="48" s="1"/>
  <c r="H35" i="48"/>
  <c r="G35" i="48"/>
  <c r="F35" i="48"/>
  <c r="E35" i="48"/>
  <c r="D35" i="48"/>
  <c r="C35" i="48"/>
  <c r="B35" i="48"/>
  <c r="A35" i="48"/>
  <c r="W34" i="48"/>
  <c r="V34" i="48"/>
  <c r="L34" i="48"/>
  <c r="H34" i="48"/>
  <c r="G34" i="48"/>
  <c r="I34" i="48" s="1"/>
  <c r="J34" i="48" s="1"/>
  <c r="K34" i="48" s="1"/>
  <c r="F34" i="48"/>
  <c r="E34" i="48"/>
  <c r="D34" i="48"/>
  <c r="C34" i="48"/>
  <c r="B34" i="48"/>
  <c r="A34" i="48"/>
  <c r="B18" i="48"/>
  <c r="B19" i="48"/>
  <c r="B20" i="48"/>
  <c r="B21" i="48"/>
  <c r="B22" i="48"/>
  <c r="B23" i="48"/>
  <c r="B24" i="48"/>
  <c r="B25" i="48"/>
  <c r="B26" i="48"/>
  <c r="B27" i="48"/>
  <c r="B28" i="48"/>
  <c r="B29" i="48"/>
  <c r="B30" i="48"/>
  <c r="B17" i="48"/>
  <c r="I25" i="48"/>
  <c r="J25" i="48" s="1"/>
  <c r="K25" i="48" s="1"/>
  <c r="M25" i="48" s="1"/>
  <c r="N25" i="48" s="1"/>
  <c r="O25" i="48" s="1"/>
  <c r="L25" i="48"/>
  <c r="T25" i="48" s="1"/>
  <c r="X25" i="48" s="1"/>
  <c r="V25" i="48"/>
  <c r="W25" i="48"/>
  <c r="I26" i="48"/>
  <c r="J26" i="48" s="1"/>
  <c r="K26" i="48" s="1"/>
  <c r="M26" i="48" s="1"/>
  <c r="L26" i="48"/>
  <c r="V26" i="48"/>
  <c r="W26" i="48"/>
  <c r="I27" i="48"/>
  <c r="J27" i="48" s="1"/>
  <c r="K27" i="48" s="1"/>
  <c r="M27" i="48" s="1"/>
  <c r="N27" i="48" s="1"/>
  <c r="O27" i="48" s="1"/>
  <c r="L27" i="48"/>
  <c r="T27" i="48" s="1"/>
  <c r="X27" i="48" s="1"/>
  <c r="V27" i="48"/>
  <c r="W27" i="48"/>
  <c r="I28" i="48"/>
  <c r="J28" i="48"/>
  <c r="K28" i="48" s="1"/>
  <c r="M28" i="48" s="1"/>
  <c r="N28" i="48" s="1"/>
  <c r="O28" i="48" s="1"/>
  <c r="L28" i="48"/>
  <c r="T28" i="48" s="1"/>
  <c r="X28" i="48" s="1"/>
  <c r="V28" i="48"/>
  <c r="W28" i="48"/>
  <c r="I29" i="48"/>
  <c r="J29" i="48" s="1"/>
  <c r="K29" i="48" s="1"/>
  <c r="M29" i="48" s="1"/>
  <c r="N29" i="48" s="1"/>
  <c r="O29" i="48" s="1"/>
  <c r="L29" i="48"/>
  <c r="U29" i="48" s="1"/>
  <c r="Y29" i="48" s="1"/>
  <c r="V29" i="48"/>
  <c r="W29" i="48"/>
  <c r="I30" i="48"/>
  <c r="J30" i="48" s="1"/>
  <c r="K30" i="48" s="1"/>
  <c r="M30" i="48" s="1"/>
  <c r="L30" i="48"/>
  <c r="V30" i="48"/>
  <c r="W30" i="48"/>
  <c r="C18" i="48"/>
  <c r="D18" i="48"/>
  <c r="E18" i="48"/>
  <c r="F18" i="48"/>
  <c r="G18" i="48"/>
  <c r="H18" i="48"/>
  <c r="C19" i="48"/>
  <c r="L19" i="48" s="1"/>
  <c r="D19" i="48"/>
  <c r="E19" i="48"/>
  <c r="F19" i="48"/>
  <c r="G19" i="48"/>
  <c r="I19" i="48" s="1"/>
  <c r="J19" i="48" s="1"/>
  <c r="K19" i="48" s="1"/>
  <c r="H19" i="48"/>
  <c r="C20" i="48"/>
  <c r="D20" i="48"/>
  <c r="E20" i="48"/>
  <c r="F20" i="48"/>
  <c r="G20" i="48"/>
  <c r="H20" i="48"/>
  <c r="C21" i="48"/>
  <c r="D21" i="48"/>
  <c r="E21" i="48"/>
  <c r="F21" i="48"/>
  <c r="G21" i="48"/>
  <c r="I21" i="48" s="1"/>
  <c r="J21" i="48" s="1"/>
  <c r="K21" i="48" s="1"/>
  <c r="M21" i="48" s="1"/>
  <c r="N21" i="48" s="1"/>
  <c r="O21" i="48" s="1"/>
  <c r="H21" i="48"/>
  <c r="C22" i="48"/>
  <c r="D22" i="48"/>
  <c r="E22" i="48"/>
  <c r="F22" i="48"/>
  <c r="G22" i="48"/>
  <c r="H22" i="48"/>
  <c r="C23" i="48"/>
  <c r="D23" i="48"/>
  <c r="E23" i="48"/>
  <c r="F23" i="48"/>
  <c r="G23" i="48"/>
  <c r="I23" i="48" s="1"/>
  <c r="J23" i="48" s="1"/>
  <c r="K23" i="48" s="1"/>
  <c r="H23" i="48"/>
  <c r="C24" i="48"/>
  <c r="D24" i="48"/>
  <c r="E24" i="48"/>
  <c r="F24" i="48"/>
  <c r="G24" i="48"/>
  <c r="H24" i="48"/>
  <c r="C25" i="48"/>
  <c r="D25" i="48"/>
  <c r="E25" i="48"/>
  <c r="F25" i="48"/>
  <c r="G25" i="48"/>
  <c r="H25" i="48"/>
  <c r="C26" i="48"/>
  <c r="D26" i="48"/>
  <c r="E26" i="48"/>
  <c r="F26" i="48"/>
  <c r="G26" i="48"/>
  <c r="H26" i="48"/>
  <c r="C27" i="48"/>
  <c r="D27" i="48"/>
  <c r="E27" i="48"/>
  <c r="F27" i="48"/>
  <c r="G27" i="48"/>
  <c r="H27" i="48"/>
  <c r="C28" i="48"/>
  <c r="D28" i="48"/>
  <c r="E28" i="48"/>
  <c r="F28" i="48"/>
  <c r="G28" i="48"/>
  <c r="H28" i="48"/>
  <c r="C29" i="48"/>
  <c r="D29" i="48"/>
  <c r="E29" i="48"/>
  <c r="F29" i="48"/>
  <c r="G29" i="48"/>
  <c r="H29" i="48"/>
  <c r="C30" i="48"/>
  <c r="D30" i="48"/>
  <c r="E30" i="48"/>
  <c r="F30" i="48"/>
  <c r="G30" i="48"/>
  <c r="H30" i="48"/>
  <c r="H17" i="48"/>
  <c r="D17" i="48"/>
  <c r="E17" i="48"/>
  <c r="F17" i="48"/>
  <c r="G17" i="48"/>
  <c r="C17" i="48"/>
  <c r="A18" i="48"/>
  <c r="A19" i="48"/>
  <c r="A20" i="48"/>
  <c r="A21" i="48"/>
  <c r="A22" i="48"/>
  <c r="A23" i="48"/>
  <c r="A24" i="48"/>
  <c r="A25" i="48"/>
  <c r="A26" i="48"/>
  <c r="A27" i="48"/>
  <c r="A28" i="48"/>
  <c r="A29" i="48"/>
  <c r="A30" i="48"/>
  <c r="A17" i="48"/>
  <c r="W24" i="48"/>
  <c r="V24" i="48"/>
  <c r="I24" i="48"/>
  <c r="J24" i="48" s="1"/>
  <c r="L24" i="48"/>
  <c r="W23" i="48"/>
  <c r="V23" i="48"/>
  <c r="L23" i="48"/>
  <c r="W22" i="48"/>
  <c r="V22" i="48"/>
  <c r="L22" i="48"/>
  <c r="I22" i="48"/>
  <c r="J22" i="48" s="1"/>
  <c r="K22" i="48" s="1"/>
  <c r="M22" i="48" s="1"/>
  <c r="N22" i="48" s="1"/>
  <c r="O22" i="48" s="1"/>
  <c r="W21" i="48"/>
  <c r="V21" i="48"/>
  <c r="L21" i="48"/>
  <c r="W20" i="48"/>
  <c r="V20" i="48"/>
  <c r="I20" i="48"/>
  <c r="J20" i="48" s="1"/>
  <c r="W19" i="48"/>
  <c r="V19" i="48"/>
  <c r="W18" i="48"/>
  <c r="V18" i="48"/>
  <c r="I18" i="48"/>
  <c r="J18" i="48" s="1"/>
  <c r="K18" i="48" s="1"/>
  <c r="M18" i="48" s="1"/>
  <c r="L18" i="48"/>
  <c r="W17" i="48"/>
  <c r="V17" i="48"/>
  <c r="L17" i="48"/>
  <c r="S30" i="57" l="1"/>
  <c r="R35" i="57"/>
  <c r="J32" i="57"/>
  <c r="K32" i="57" s="1"/>
  <c r="M32" i="57" s="1"/>
  <c r="N32" i="57" s="1"/>
  <c r="O32" i="57" s="1"/>
  <c r="S31" i="57"/>
  <c r="M19" i="57"/>
  <c r="S19" i="57" s="1"/>
  <c r="U19" i="57" s="1"/>
  <c r="Y19" i="57" s="1"/>
  <c r="S20" i="57"/>
  <c r="R32" i="57"/>
  <c r="S34" i="57"/>
  <c r="K31" i="57"/>
  <c r="M31" i="57" s="1"/>
  <c r="R31" i="57" s="1"/>
  <c r="T31" i="57" s="1"/>
  <c r="X31" i="57" s="1"/>
  <c r="K38" i="57"/>
  <c r="M38" i="57" s="1"/>
  <c r="N38" i="57" s="1"/>
  <c r="O38" i="57" s="1"/>
  <c r="R19" i="57"/>
  <c r="T19" i="57" s="1"/>
  <c r="X19" i="57" s="1"/>
  <c r="S24" i="57"/>
  <c r="U24" i="57" s="1"/>
  <c r="Y24" i="57" s="1"/>
  <c r="R27" i="57"/>
  <c r="R38" i="57"/>
  <c r="S38" i="57"/>
  <c r="K28" i="57"/>
  <c r="J26" i="57"/>
  <c r="K26" i="57" s="1"/>
  <c r="M26" i="57" s="1"/>
  <c r="J20" i="57"/>
  <c r="K20" i="57" s="1"/>
  <c r="M20" i="57" s="1"/>
  <c r="R20" i="57" s="1"/>
  <c r="J34" i="57"/>
  <c r="K34" i="57" s="1"/>
  <c r="J36" i="57"/>
  <c r="J23" i="57"/>
  <c r="K23" i="57" s="1"/>
  <c r="J25" i="57"/>
  <c r="K25" i="57" s="1"/>
  <c r="J27" i="57"/>
  <c r="K27" i="57" s="1"/>
  <c r="M27" i="57" s="1"/>
  <c r="N27" i="57" s="1"/>
  <c r="O27" i="57" s="1"/>
  <c r="J33" i="57"/>
  <c r="K33" i="57" s="1"/>
  <c r="J22" i="57"/>
  <c r="K22" i="57" s="1"/>
  <c r="J24" i="57"/>
  <c r="J30" i="57"/>
  <c r="K30" i="57" s="1"/>
  <c r="M30" i="57" s="1"/>
  <c r="R30" i="57" s="1"/>
  <c r="J35" i="57"/>
  <c r="K35" i="57" s="1"/>
  <c r="M35" i="57" s="1"/>
  <c r="S35" i="57" s="1"/>
  <c r="L37" i="57"/>
  <c r="J37" i="57"/>
  <c r="K37" i="57" s="1"/>
  <c r="U38" i="57"/>
  <c r="Y38" i="57" s="1"/>
  <c r="J39" i="57"/>
  <c r="K36" i="57"/>
  <c r="T38" i="57"/>
  <c r="X38" i="57" s="1"/>
  <c r="K39" i="57"/>
  <c r="M39" i="57" s="1"/>
  <c r="N39" i="57" s="1"/>
  <c r="O39" i="57" s="1"/>
  <c r="L41" i="57"/>
  <c r="J41" i="57"/>
  <c r="K41" i="57" s="1"/>
  <c r="L36" i="57"/>
  <c r="L40" i="57"/>
  <c r="M23" i="57"/>
  <c r="M34" i="57"/>
  <c r="N34" i="57" s="1"/>
  <c r="O34" i="57" s="1"/>
  <c r="T32" i="57"/>
  <c r="X32" i="57" s="1"/>
  <c r="U31" i="57"/>
  <c r="Y31" i="57" s="1"/>
  <c r="N31" i="57"/>
  <c r="O31" i="57" s="1"/>
  <c r="M28" i="57"/>
  <c r="N28" i="57" s="1"/>
  <c r="O28" i="57" s="1"/>
  <c r="L29" i="57"/>
  <c r="L33" i="57"/>
  <c r="J18" i="57"/>
  <c r="K18" i="57" s="1"/>
  <c r="M18" i="57" s="1"/>
  <c r="N18" i="57" s="1"/>
  <c r="O18" i="57" s="1"/>
  <c r="J21" i="57"/>
  <c r="K21" i="57" s="1"/>
  <c r="L22" i="57"/>
  <c r="K24" i="57"/>
  <c r="M24" i="57" s="1"/>
  <c r="R24" i="57" s="1"/>
  <c r="T24" i="57" s="1"/>
  <c r="X24" i="57" s="1"/>
  <c r="N24" i="57"/>
  <c r="O24" i="57" s="1"/>
  <c r="N19" i="57"/>
  <c r="O19" i="57" s="1"/>
  <c r="L17" i="57"/>
  <c r="L21" i="57"/>
  <c r="L25" i="57"/>
  <c r="J18" i="56"/>
  <c r="K18" i="56" s="1"/>
  <c r="M18" i="56" s="1"/>
  <c r="N18" i="56" s="1"/>
  <c r="O18" i="56" s="1"/>
  <c r="J19" i="56"/>
  <c r="K19" i="56" s="1"/>
  <c r="M19" i="56" s="1"/>
  <c r="N19" i="56" s="1"/>
  <c r="O19" i="56" s="1"/>
  <c r="J25" i="56"/>
  <c r="K25" i="56" s="1"/>
  <c r="M25" i="56" s="1"/>
  <c r="J21" i="56"/>
  <c r="K21" i="56" s="1"/>
  <c r="M21" i="56" s="1"/>
  <c r="N21" i="56" s="1"/>
  <c r="O21" i="56" s="1"/>
  <c r="J17" i="56"/>
  <c r="K17" i="56" s="1"/>
  <c r="M17" i="56" s="1"/>
  <c r="U23" i="56"/>
  <c r="Y23" i="56" s="1"/>
  <c r="N23" i="56"/>
  <c r="O23" i="56" s="1"/>
  <c r="U19" i="56"/>
  <c r="Y19" i="56" s="1"/>
  <c r="T22" i="56"/>
  <c r="X22" i="56" s="1"/>
  <c r="N24" i="56"/>
  <c r="O24" i="56" s="1"/>
  <c r="T24" i="56"/>
  <c r="X24" i="56" s="1"/>
  <c r="N25" i="56"/>
  <c r="O25" i="56" s="1"/>
  <c r="T25" i="56"/>
  <c r="X25" i="56" s="1"/>
  <c r="T17" i="56"/>
  <c r="X17" i="56" s="1"/>
  <c r="U18" i="56"/>
  <c r="Y18" i="56" s="1"/>
  <c r="U25" i="56"/>
  <c r="Y25" i="56" s="1"/>
  <c r="T20" i="56"/>
  <c r="X20" i="56" s="1"/>
  <c r="T23" i="56"/>
  <c r="X23" i="56" s="1"/>
  <c r="U20" i="56"/>
  <c r="Y20" i="56" s="1"/>
  <c r="U24" i="56"/>
  <c r="Y24" i="56" s="1"/>
  <c r="U22" i="56"/>
  <c r="Y22" i="56" s="1"/>
  <c r="T19" i="56"/>
  <c r="X19" i="56" s="1"/>
  <c r="U25" i="54"/>
  <c r="Y25" i="54" s="1"/>
  <c r="J18" i="54"/>
  <c r="K18" i="54" s="1"/>
  <c r="M18" i="54" s="1"/>
  <c r="N18" i="54" s="1"/>
  <c r="O18" i="54" s="1"/>
  <c r="J20" i="54"/>
  <c r="K20" i="54" s="1"/>
  <c r="M20" i="54" s="1"/>
  <c r="N20" i="54" s="1"/>
  <c r="O20" i="54" s="1"/>
  <c r="J24" i="54"/>
  <c r="K24" i="54" s="1"/>
  <c r="M24" i="54" s="1"/>
  <c r="N24" i="54" s="1"/>
  <c r="O24" i="54" s="1"/>
  <c r="U27" i="54"/>
  <c r="Y27" i="54" s="1"/>
  <c r="T23" i="54"/>
  <c r="X23" i="54" s="1"/>
  <c r="T28" i="54"/>
  <c r="X28" i="54" s="1"/>
  <c r="J17" i="54"/>
  <c r="K17" i="54" s="1"/>
  <c r="M17" i="54" s="1"/>
  <c r="N21" i="54"/>
  <c r="O21" i="54" s="1"/>
  <c r="T21" i="54"/>
  <c r="X21" i="54" s="1"/>
  <c r="N26" i="54"/>
  <c r="O26" i="54" s="1"/>
  <c r="U26" i="54"/>
  <c r="Y26" i="54" s="1"/>
  <c r="U21" i="54"/>
  <c r="Y21" i="54" s="1"/>
  <c r="U18" i="54"/>
  <c r="Y18" i="54" s="1"/>
  <c r="N22" i="54"/>
  <c r="O22" i="54" s="1"/>
  <c r="U22" i="54"/>
  <c r="Y22" i="54" s="1"/>
  <c r="N19" i="54"/>
  <c r="O19" i="54" s="1"/>
  <c r="T19" i="54"/>
  <c r="X19" i="54" s="1"/>
  <c r="T25" i="54"/>
  <c r="X25" i="54" s="1"/>
  <c r="N25" i="54"/>
  <c r="O25" i="54" s="1"/>
  <c r="T18" i="54"/>
  <c r="X18" i="54" s="1"/>
  <c r="U28" i="54"/>
  <c r="Y28" i="54" s="1"/>
  <c r="N27" i="54"/>
  <c r="O27" i="54" s="1"/>
  <c r="U19" i="54"/>
  <c r="Y19" i="54" s="1"/>
  <c r="T26" i="54"/>
  <c r="X26" i="54" s="1"/>
  <c r="T22" i="54"/>
  <c r="X22" i="54" s="1"/>
  <c r="N28" i="54"/>
  <c r="O28" i="54" s="1"/>
  <c r="U23" i="54"/>
  <c r="Y23" i="54" s="1"/>
  <c r="T27" i="54"/>
  <c r="X27" i="54" s="1"/>
  <c r="J27" i="53"/>
  <c r="K27" i="53" s="1"/>
  <c r="M27" i="53" s="1"/>
  <c r="N27" i="53" s="1"/>
  <c r="O27" i="53" s="1"/>
  <c r="J17" i="53"/>
  <c r="K17" i="53" s="1"/>
  <c r="M17" i="53" s="1"/>
  <c r="J24" i="53"/>
  <c r="K24" i="53" s="1"/>
  <c r="M24" i="53" s="1"/>
  <c r="N24" i="53" s="1"/>
  <c r="O24" i="53" s="1"/>
  <c r="J25" i="53"/>
  <c r="K25" i="53" s="1"/>
  <c r="M25" i="53" s="1"/>
  <c r="N25" i="53" s="1"/>
  <c r="O25" i="53" s="1"/>
  <c r="J26" i="53"/>
  <c r="K26" i="53" s="1"/>
  <c r="M26" i="53" s="1"/>
  <c r="T26" i="53" s="1"/>
  <c r="X26" i="53" s="1"/>
  <c r="U23" i="53"/>
  <c r="Y23" i="53" s="1"/>
  <c r="U24" i="53"/>
  <c r="Y24" i="53" s="1"/>
  <c r="J28" i="53"/>
  <c r="K28" i="53" s="1"/>
  <c r="M28" i="53" s="1"/>
  <c r="N28" i="53" s="1"/>
  <c r="O28" i="53" s="1"/>
  <c r="J18" i="53"/>
  <c r="K18" i="53" s="1"/>
  <c r="M18" i="53" s="1"/>
  <c r="T18" i="53" s="1"/>
  <c r="X18" i="53" s="1"/>
  <c r="U27" i="53"/>
  <c r="Y27" i="53" s="1"/>
  <c r="U28" i="53"/>
  <c r="Y28" i="53" s="1"/>
  <c r="T17" i="53"/>
  <c r="X17" i="53" s="1"/>
  <c r="U17" i="53"/>
  <c r="Y17" i="53" s="1"/>
  <c r="N22" i="53"/>
  <c r="O22" i="53" s="1"/>
  <c r="U22" i="53"/>
  <c r="Y22" i="53" s="1"/>
  <c r="U19" i="53"/>
  <c r="Y19" i="53" s="1"/>
  <c r="U20" i="53"/>
  <c r="Y20" i="53" s="1"/>
  <c r="T21" i="53"/>
  <c r="X21" i="53" s="1"/>
  <c r="T22" i="53"/>
  <c r="X22" i="53" s="1"/>
  <c r="N26" i="53"/>
  <c r="O26" i="53" s="1"/>
  <c r="U26" i="53"/>
  <c r="Y26" i="53" s="1"/>
  <c r="U18" i="53"/>
  <c r="Y18" i="53" s="1"/>
  <c r="N18" i="53"/>
  <c r="O18" i="53" s="1"/>
  <c r="T20" i="53"/>
  <c r="X20" i="53" s="1"/>
  <c r="U21" i="53"/>
  <c r="Y21" i="53" s="1"/>
  <c r="T24" i="53"/>
  <c r="X24" i="53" s="1"/>
  <c r="T28" i="53"/>
  <c r="X28" i="53" s="1"/>
  <c r="T19" i="53"/>
  <c r="X19" i="53" s="1"/>
  <c r="T23" i="53"/>
  <c r="X23" i="53" s="1"/>
  <c r="T27" i="53"/>
  <c r="X27" i="53" s="1"/>
  <c r="T43" i="52"/>
  <c r="X43" i="52" s="1"/>
  <c r="N42" i="52"/>
  <c r="O42" i="52" s="1"/>
  <c r="K39" i="52"/>
  <c r="M39" i="52" s="1"/>
  <c r="U39" i="52" s="1"/>
  <c r="Y39" i="52" s="1"/>
  <c r="T39" i="52"/>
  <c r="X39" i="52" s="1"/>
  <c r="N46" i="52"/>
  <c r="O46" i="52" s="1"/>
  <c r="T46" i="52"/>
  <c r="X46" i="52" s="1"/>
  <c r="U46" i="52"/>
  <c r="Y46" i="52" s="1"/>
  <c r="U41" i="52"/>
  <c r="Y41" i="52" s="1"/>
  <c r="N41" i="52"/>
  <c r="O41" i="52" s="1"/>
  <c r="U45" i="52"/>
  <c r="Y45" i="52" s="1"/>
  <c r="N45" i="52"/>
  <c r="O45" i="52" s="1"/>
  <c r="U42" i="52"/>
  <c r="Y42" i="52" s="1"/>
  <c r="U40" i="52"/>
  <c r="Y40" i="52" s="1"/>
  <c r="T41" i="52"/>
  <c r="X41" i="52" s="1"/>
  <c r="T44" i="52"/>
  <c r="X44" i="52" s="1"/>
  <c r="T45" i="52"/>
  <c r="X45" i="52" s="1"/>
  <c r="U43" i="52"/>
  <c r="Y43" i="52" s="1"/>
  <c r="N43" i="52"/>
  <c r="O43" i="52" s="1"/>
  <c r="T40" i="52"/>
  <c r="X40" i="52" s="1"/>
  <c r="T42" i="52"/>
  <c r="X42" i="52" s="1"/>
  <c r="U44" i="52"/>
  <c r="Y44" i="52" s="1"/>
  <c r="J20" i="52"/>
  <c r="J23" i="52"/>
  <c r="K23" i="52" s="1"/>
  <c r="M23" i="52" s="1"/>
  <c r="N23" i="52" s="1"/>
  <c r="O23" i="52" s="1"/>
  <c r="D18" i="52"/>
  <c r="D22" i="52"/>
  <c r="E23" i="52"/>
  <c r="C28" i="52"/>
  <c r="L28" i="52" s="1"/>
  <c r="D29" i="52"/>
  <c r="C32" i="52"/>
  <c r="L32" i="52" s="1"/>
  <c r="D33" i="52"/>
  <c r="D23" i="52"/>
  <c r="I30" i="52"/>
  <c r="I34" i="52"/>
  <c r="M63" i="52"/>
  <c r="G24" i="52" s="1"/>
  <c r="I24" i="52" s="1"/>
  <c r="J24" i="52" s="1"/>
  <c r="K24" i="52" s="1"/>
  <c r="M24" i="52" s="1"/>
  <c r="M72" i="52"/>
  <c r="G29" i="52" s="1"/>
  <c r="I29" i="52" s="1"/>
  <c r="J29" i="52" s="1"/>
  <c r="K29" i="52" s="1"/>
  <c r="M29" i="52" s="1"/>
  <c r="N29" i="52" s="1"/>
  <c r="O29" i="52" s="1"/>
  <c r="M74" i="52"/>
  <c r="G31" i="52" s="1"/>
  <c r="I31" i="52" s="1"/>
  <c r="M76" i="52"/>
  <c r="G33" i="52" s="1"/>
  <c r="I33" i="52" s="1"/>
  <c r="M78" i="52"/>
  <c r="G35" i="52" s="1"/>
  <c r="I35" i="52" s="1"/>
  <c r="M87" i="52"/>
  <c r="M89" i="52"/>
  <c r="M91" i="52"/>
  <c r="M93" i="52"/>
  <c r="D17" i="52"/>
  <c r="E18" i="52"/>
  <c r="J18" i="52" s="1"/>
  <c r="K18" i="52" s="1"/>
  <c r="M18" i="52" s="1"/>
  <c r="D21" i="52"/>
  <c r="E22" i="52"/>
  <c r="D28" i="52"/>
  <c r="E29" i="52"/>
  <c r="D32" i="52"/>
  <c r="E33" i="52"/>
  <c r="D19" i="52"/>
  <c r="M56" i="52"/>
  <c r="G17" i="52" s="1"/>
  <c r="I17" i="52" s="1"/>
  <c r="J17" i="52" s="1"/>
  <c r="K17" i="52" s="1"/>
  <c r="M17" i="52" s="1"/>
  <c r="M58" i="52"/>
  <c r="G19" i="52" s="1"/>
  <c r="I19" i="52" s="1"/>
  <c r="M60" i="52"/>
  <c r="G21" i="52" s="1"/>
  <c r="I21" i="52" s="1"/>
  <c r="J21" i="52" s="1"/>
  <c r="C19" i="52"/>
  <c r="L19" i="52" s="1"/>
  <c r="D20" i="52"/>
  <c r="D24" i="52"/>
  <c r="C30" i="52"/>
  <c r="L30" i="52" s="1"/>
  <c r="D31" i="52"/>
  <c r="C34" i="52"/>
  <c r="L34" i="52" s="1"/>
  <c r="D35" i="52"/>
  <c r="J35" i="52"/>
  <c r="K35" i="52" s="1"/>
  <c r="M35" i="52" s="1"/>
  <c r="T35" i="52" s="1"/>
  <c r="X35" i="52" s="1"/>
  <c r="J31" i="52"/>
  <c r="K31" i="52" s="1"/>
  <c r="M31" i="52" s="1"/>
  <c r="N31" i="52" s="1"/>
  <c r="O31" i="52" s="1"/>
  <c r="K21" i="52"/>
  <c r="M21" i="52" s="1"/>
  <c r="N21" i="52" s="1"/>
  <c r="O21" i="52" s="1"/>
  <c r="I22" i="52"/>
  <c r="J22" i="52" s="1"/>
  <c r="K22" i="52" s="1"/>
  <c r="M22" i="52" s="1"/>
  <c r="N22" i="52" s="1"/>
  <c r="O22" i="52" s="1"/>
  <c r="K20" i="52"/>
  <c r="M20" i="52" s="1"/>
  <c r="T20" i="52" s="1"/>
  <c r="X20" i="52" s="1"/>
  <c r="U17" i="52"/>
  <c r="Y17" i="52" s="1"/>
  <c r="U23" i="52"/>
  <c r="Y23" i="52" s="1"/>
  <c r="T24" i="52"/>
  <c r="X24" i="52" s="1"/>
  <c r="N24" i="52"/>
  <c r="O24" i="52" s="1"/>
  <c r="U24" i="52"/>
  <c r="Y24" i="52" s="1"/>
  <c r="N20" i="52"/>
  <c r="O20" i="52" s="1"/>
  <c r="U20" i="52"/>
  <c r="Y20" i="52" s="1"/>
  <c r="T17" i="52"/>
  <c r="X17" i="52" s="1"/>
  <c r="U35" i="52"/>
  <c r="Y35" i="52" s="1"/>
  <c r="T54" i="48"/>
  <c r="X54" i="48" s="1"/>
  <c r="T60" i="48"/>
  <c r="X60" i="48" s="1"/>
  <c r="N60" i="48"/>
  <c r="O60" i="48" s="1"/>
  <c r="U61" i="48"/>
  <c r="Y61" i="48" s="1"/>
  <c r="N61" i="48"/>
  <c r="O61" i="48" s="1"/>
  <c r="U64" i="48"/>
  <c r="Y64" i="48" s="1"/>
  <c r="U62" i="48"/>
  <c r="Y62" i="48" s="1"/>
  <c r="U63" i="48"/>
  <c r="Y63" i="48" s="1"/>
  <c r="N59" i="48"/>
  <c r="O59" i="48" s="1"/>
  <c r="U52" i="48"/>
  <c r="Y52" i="48" s="1"/>
  <c r="M57" i="48"/>
  <c r="M56" i="48"/>
  <c r="N56" i="48" s="1"/>
  <c r="O56" i="48" s="1"/>
  <c r="U60" i="48"/>
  <c r="Y60" i="48" s="1"/>
  <c r="U55" i="48"/>
  <c r="Y55" i="48" s="1"/>
  <c r="T55" i="48"/>
  <c r="X55" i="48" s="1"/>
  <c r="M65" i="48"/>
  <c r="L53" i="48"/>
  <c r="L65" i="48"/>
  <c r="T56" i="48"/>
  <c r="X56" i="48" s="1"/>
  <c r="T66" i="48"/>
  <c r="X66" i="48" s="1"/>
  <c r="U54" i="48"/>
  <c r="Y54" i="48" s="1"/>
  <c r="T52" i="48"/>
  <c r="X52" i="48" s="1"/>
  <c r="T64" i="48"/>
  <c r="X64" i="48" s="1"/>
  <c r="L59" i="48"/>
  <c r="T63" i="48"/>
  <c r="X63" i="48" s="1"/>
  <c r="L58" i="48"/>
  <c r="T62" i="48"/>
  <c r="X62" i="48" s="1"/>
  <c r="L57" i="48"/>
  <c r="U48" i="48"/>
  <c r="Y48" i="48" s="1"/>
  <c r="T48" i="48"/>
  <c r="X48" i="48" s="1"/>
  <c r="N48" i="48"/>
  <c r="O48" i="48" s="1"/>
  <c r="K41" i="48"/>
  <c r="T42" i="48"/>
  <c r="X42" i="48" s="1"/>
  <c r="N42" i="48"/>
  <c r="O42" i="48" s="1"/>
  <c r="U43" i="48"/>
  <c r="Y43" i="48" s="1"/>
  <c r="N43" i="48"/>
  <c r="O43" i="48" s="1"/>
  <c r="U45" i="48"/>
  <c r="Y45" i="48" s="1"/>
  <c r="M38" i="48"/>
  <c r="K40" i="48"/>
  <c r="M40" i="48" s="1"/>
  <c r="T43" i="48"/>
  <c r="X43" i="48" s="1"/>
  <c r="K39" i="48"/>
  <c r="M39" i="48" s="1"/>
  <c r="U42" i="48"/>
  <c r="Y42" i="48" s="1"/>
  <c r="K47" i="48"/>
  <c r="K35" i="48"/>
  <c r="K36" i="48"/>
  <c r="M36" i="48" s="1"/>
  <c r="N36" i="48" s="1"/>
  <c r="O36" i="48" s="1"/>
  <c r="M47" i="48"/>
  <c r="N47" i="48" s="1"/>
  <c r="O47" i="48" s="1"/>
  <c r="M35" i="48"/>
  <c r="N35" i="48" s="1"/>
  <c r="O35" i="48" s="1"/>
  <c r="U36" i="48"/>
  <c r="Y36" i="48" s="1"/>
  <c r="T36" i="48"/>
  <c r="X36" i="48" s="1"/>
  <c r="M34" i="48"/>
  <c r="N34" i="48" s="1"/>
  <c r="O34" i="48" s="1"/>
  <c r="M41" i="48"/>
  <c r="K44" i="48"/>
  <c r="M44" i="48" s="1"/>
  <c r="N44" i="48" s="1"/>
  <c r="O44" i="48" s="1"/>
  <c r="T34" i="48"/>
  <c r="X34" i="48" s="1"/>
  <c r="T46" i="48"/>
  <c r="X46" i="48" s="1"/>
  <c r="L41" i="48"/>
  <c r="T45" i="48"/>
  <c r="X45" i="48" s="1"/>
  <c r="T44" i="48"/>
  <c r="X44" i="48" s="1"/>
  <c r="L38" i="48"/>
  <c r="L37" i="48"/>
  <c r="N30" i="48"/>
  <c r="O30" i="48" s="1"/>
  <c r="T30" i="48"/>
  <c r="X30" i="48" s="1"/>
  <c r="U30" i="48"/>
  <c r="Y30" i="48" s="1"/>
  <c r="N26" i="48"/>
  <c r="O26" i="48" s="1"/>
  <c r="T26" i="48"/>
  <c r="X26" i="48" s="1"/>
  <c r="U26" i="48"/>
  <c r="Y26" i="48" s="1"/>
  <c r="U25" i="48"/>
  <c r="Y25" i="48" s="1"/>
  <c r="T29" i="48"/>
  <c r="X29" i="48" s="1"/>
  <c r="U28" i="48"/>
  <c r="Y28" i="48" s="1"/>
  <c r="U27" i="48"/>
  <c r="Y27" i="48" s="1"/>
  <c r="N18" i="48"/>
  <c r="O18" i="48" s="1"/>
  <c r="I17" i="48"/>
  <c r="J17" i="48" s="1"/>
  <c r="K17" i="48" s="1"/>
  <c r="K20" i="48"/>
  <c r="M20" i="48" s="1"/>
  <c r="N20" i="48" s="1"/>
  <c r="O20" i="48" s="1"/>
  <c r="U22" i="48"/>
  <c r="Y22" i="48" s="1"/>
  <c r="T21" i="48"/>
  <c r="X21" i="48" s="1"/>
  <c r="U18" i="48"/>
  <c r="Y18" i="48" s="1"/>
  <c r="T18" i="48"/>
  <c r="X18" i="48" s="1"/>
  <c r="M23" i="48"/>
  <c r="N23" i="48" s="1"/>
  <c r="O23" i="48" s="1"/>
  <c r="K24" i="48"/>
  <c r="M24" i="48" s="1"/>
  <c r="N24" i="48" s="1"/>
  <c r="O24" i="48" s="1"/>
  <c r="M19" i="48"/>
  <c r="N19" i="48" s="1"/>
  <c r="O19" i="48" s="1"/>
  <c r="U21" i="48"/>
  <c r="Y21" i="48" s="1"/>
  <c r="M17" i="48"/>
  <c r="L20" i="48"/>
  <c r="T22" i="48"/>
  <c r="X22" i="48" s="1"/>
  <c r="N26" i="57" l="1"/>
  <c r="O26" i="57" s="1"/>
  <c r="R26" i="57"/>
  <c r="S26" i="57"/>
  <c r="S37" i="57"/>
  <c r="U37" i="57" s="1"/>
  <c r="Y37" i="57" s="1"/>
  <c r="S27" i="57"/>
  <c r="U27" i="57" s="1"/>
  <c r="Y27" i="57" s="1"/>
  <c r="R34" i="57"/>
  <c r="S18" i="57"/>
  <c r="M25" i="57"/>
  <c r="S25" i="57" s="1"/>
  <c r="U25" i="57" s="1"/>
  <c r="Y25" i="57" s="1"/>
  <c r="M17" i="57"/>
  <c r="N17" i="57" s="1"/>
  <c r="O17" i="57" s="1"/>
  <c r="M40" i="57"/>
  <c r="N40" i="57" s="1"/>
  <c r="O40" i="57" s="1"/>
  <c r="R40" i="57"/>
  <c r="T40" i="57" s="1"/>
  <c r="X40" i="57" s="1"/>
  <c r="R39" i="57"/>
  <c r="S32" i="57"/>
  <c r="U32" i="57" s="1"/>
  <c r="Y32" i="57" s="1"/>
  <c r="R18" i="57"/>
  <c r="R23" i="57"/>
  <c r="T23" i="57" s="1"/>
  <c r="X23" i="57" s="1"/>
  <c r="S28" i="57"/>
  <c r="M29" i="57"/>
  <c r="N29" i="57" s="1"/>
  <c r="O29" i="57" s="1"/>
  <c r="S36" i="57"/>
  <c r="M37" i="57"/>
  <c r="N37" i="57" s="1"/>
  <c r="O37" i="57" s="1"/>
  <c r="T20" i="57"/>
  <c r="X20" i="57" s="1"/>
  <c r="S39" i="57"/>
  <c r="S23" i="57"/>
  <c r="U23" i="57" s="1"/>
  <c r="Y23" i="57" s="1"/>
  <c r="R28" i="57"/>
  <c r="T28" i="57" s="1"/>
  <c r="X28" i="57" s="1"/>
  <c r="N35" i="57"/>
  <c r="O35" i="57" s="1"/>
  <c r="T35" i="57"/>
  <c r="X35" i="57" s="1"/>
  <c r="U35" i="57"/>
  <c r="Y35" i="57" s="1"/>
  <c r="N30" i="57"/>
  <c r="O30" i="57" s="1"/>
  <c r="T30" i="57"/>
  <c r="X30" i="57" s="1"/>
  <c r="U26" i="57"/>
  <c r="Y26" i="57" s="1"/>
  <c r="T27" i="57"/>
  <c r="X27" i="57" s="1"/>
  <c r="M36" i="57"/>
  <c r="N36" i="57" s="1"/>
  <c r="O36" i="57" s="1"/>
  <c r="N23" i="57"/>
  <c r="O23" i="57" s="1"/>
  <c r="T34" i="57"/>
  <c r="X34" i="57" s="1"/>
  <c r="T26" i="57"/>
  <c r="X26" i="57" s="1"/>
  <c r="T39" i="57"/>
  <c r="X39" i="57" s="1"/>
  <c r="U34" i="57"/>
  <c r="Y34" i="57" s="1"/>
  <c r="U20" i="57"/>
  <c r="Y20" i="57" s="1"/>
  <c r="M41" i="57"/>
  <c r="N41" i="57" s="1"/>
  <c r="O41" i="57" s="1"/>
  <c r="U39" i="57"/>
  <c r="Y39" i="57" s="1"/>
  <c r="U30" i="57"/>
  <c r="Y30" i="57" s="1"/>
  <c r="M21" i="57"/>
  <c r="S21" i="57" s="1"/>
  <c r="U21" i="57" s="1"/>
  <c r="Y21" i="57" s="1"/>
  <c r="N20" i="57"/>
  <c r="O20" i="57" s="1"/>
  <c r="M33" i="57"/>
  <c r="N33" i="57" s="1"/>
  <c r="O33" i="57" s="1"/>
  <c r="U28" i="57"/>
  <c r="Y28" i="57" s="1"/>
  <c r="M22" i="57"/>
  <c r="R22" i="57" s="1"/>
  <c r="N21" i="57"/>
  <c r="O21" i="57" s="1"/>
  <c r="T18" i="57"/>
  <c r="X18" i="57" s="1"/>
  <c r="U18" i="57"/>
  <c r="Y18" i="57" s="1"/>
  <c r="N25" i="57"/>
  <c r="O25" i="57" s="1"/>
  <c r="T18" i="56"/>
  <c r="X18" i="56" s="1"/>
  <c r="U17" i="56"/>
  <c r="Y17" i="56" s="1"/>
  <c r="T21" i="56"/>
  <c r="X21" i="56" s="1"/>
  <c r="U21" i="56"/>
  <c r="Y21" i="56" s="1"/>
  <c r="U24" i="54"/>
  <c r="Y24" i="54" s="1"/>
  <c r="T20" i="54"/>
  <c r="X20" i="54" s="1"/>
  <c r="U20" i="54"/>
  <c r="Y20" i="54" s="1"/>
  <c r="T24" i="54"/>
  <c r="X24" i="54" s="1"/>
  <c r="T17" i="54"/>
  <c r="X17" i="54" s="1"/>
  <c r="U17" i="54"/>
  <c r="Y17" i="54" s="1"/>
  <c r="U25" i="53"/>
  <c r="Y25" i="53" s="1"/>
  <c r="T25" i="53"/>
  <c r="X25" i="53" s="1"/>
  <c r="N39" i="52"/>
  <c r="O39" i="52" s="1"/>
  <c r="T22" i="52"/>
  <c r="X22" i="52" s="1"/>
  <c r="U18" i="52"/>
  <c r="Y18" i="52" s="1"/>
  <c r="T18" i="52"/>
  <c r="X18" i="52" s="1"/>
  <c r="N18" i="52"/>
  <c r="O18" i="52" s="1"/>
  <c r="T29" i="52"/>
  <c r="X29" i="52" s="1"/>
  <c r="J28" i="52"/>
  <c r="K28" i="52" s="1"/>
  <c r="M28" i="52" s="1"/>
  <c r="U28" i="52" s="1"/>
  <c r="Y28" i="52" s="1"/>
  <c r="T23" i="52"/>
  <c r="X23" i="52" s="1"/>
  <c r="N35" i="52"/>
  <c r="O35" i="52" s="1"/>
  <c r="U29" i="52"/>
  <c r="Y29" i="52" s="1"/>
  <c r="J19" i="52"/>
  <c r="K19" i="52" s="1"/>
  <c r="M19" i="52" s="1"/>
  <c r="T19" i="52" s="1"/>
  <c r="X19" i="52" s="1"/>
  <c r="J33" i="52"/>
  <c r="K33" i="52" s="1"/>
  <c r="M33" i="52" s="1"/>
  <c r="J34" i="52"/>
  <c r="K34" i="52" s="1"/>
  <c r="M34" i="52" s="1"/>
  <c r="J32" i="52"/>
  <c r="K32" i="52" s="1"/>
  <c r="M32" i="52" s="1"/>
  <c r="J30" i="52"/>
  <c r="K30" i="52" s="1"/>
  <c r="M30" i="52" s="1"/>
  <c r="T28" i="52"/>
  <c r="X28" i="52" s="1"/>
  <c r="T31" i="52"/>
  <c r="X31" i="52" s="1"/>
  <c r="U31" i="52"/>
  <c r="Y31" i="52" s="1"/>
  <c r="U21" i="52"/>
  <c r="Y21" i="52" s="1"/>
  <c r="U22" i="52"/>
  <c r="Y22" i="52" s="1"/>
  <c r="T21" i="52"/>
  <c r="X21" i="52" s="1"/>
  <c r="U65" i="48"/>
  <c r="Y65" i="48" s="1"/>
  <c r="T65" i="48"/>
  <c r="X65" i="48" s="1"/>
  <c r="U53" i="48"/>
  <c r="Y53" i="48" s="1"/>
  <c r="T53" i="48"/>
  <c r="X53" i="48" s="1"/>
  <c r="U57" i="48"/>
  <c r="Y57" i="48" s="1"/>
  <c r="T57" i="48"/>
  <c r="X57" i="48" s="1"/>
  <c r="N53" i="48"/>
  <c r="O53" i="48" s="1"/>
  <c r="N65" i="48"/>
  <c r="O65" i="48" s="1"/>
  <c r="T58" i="48"/>
  <c r="X58" i="48" s="1"/>
  <c r="U58" i="48"/>
  <c r="Y58" i="48" s="1"/>
  <c r="T59" i="48"/>
  <c r="X59" i="48" s="1"/>
  <c r="U59" i="48"/>
  <c r="Y59" i="48" s="1"/>
  <c r="N58" i="48"/>
  <c r="O58" i="48" s="1"/>
  <c r="N57" i="48"/>
  <c r="O57" i="48" s="1"/>
  <c r="U56" i="48"/>
  <c r="Y56" i="48" s="1"/>
  <c r="U37" i="48"/>
  <c r="Y37" i="48" s="1"/>
  <c r="T37" i="48"/>
  <c r="X37" i="48" s="1"/>
  <c r="N40" i="48"/>
  <c r="O40" i="48" s="1"/>
  <c r="U40" i="48"/>
  <c r="Y40" i="48" s="1"/>
  <c r="N38" i="48"/>
  <c r="O38" i="48" s="1"/>
  <c r="U38" i="48"/>
  <c r="Y38" i="48" s="1"/>
  <c r="T38" i="48"/>
  <c r="X38" i="48" s="1"/>
  <c r="U41" i="48"/>
  <c r="Y41" i="48" s="1"/>
  <c r="T41" i="48"/>
  <c r="X41" i="48" s="1"/>
  <c r="T40" i="48"/>
  <c r="X40" i="48" s="1"/>
  <c r="N37" i="48"/>
  <c r="O37" i="48" s="1"/>
  <c r="T47" i="48"/>
  <c r="X47" i="48" s="1"/>
  <c r="T35" i="48"/>
  <c r="X35" i="48" s="1"/>
  <c r="U35" i="48"/>
  <c r="Y35" i="48" s="1"/>
  <c r="N41" i="48"/>
  <c r="O41" i="48" s="1"/>
  <c r="N39" i="48"/>
  <c r="O39" i="48" s="1"/>
  <c r="T39" i="48"/>
  <c r="X39" i="48" s="1"/>
  <c r="U39" i="48"/>
  <c r="Y39" i="48" s="1"/>
  <c r="U34" i="48"/>
  <c r="Y34" i="48" s="1"/>
  <c r="U44" i="48"/>
  <c r="Y44" i="48" s="1"/>
  <c r="U47" i="48"/>
  <c r="Y47" i="48" s="1"/>
  <c r="T24" i="48"/>
  <c r="X24" i="48" s="1"/>
  <c r="U24" i="48"/>
  <c r="Y24" i="48" s="1"/>
  <c r="U20" i="48"/>
  <c r="Y20" i="48" s="1"/>
  <c r="T20" i="48"/>
  <c r="X20" i="48" s="1"/>
  <c r="U23" i="48"/>
  <c r="Y23" i="48" s="1"/>
  <c r="T19" i="48"/>
  <c r="X19" i="48" s="1"/>
  <c r="U19" i="48"/>
  <c r="Y19" i="48" s="1"/>
  <c r="U17" i="48"/>
  <c r="Y17" i="48" s="1"/>
  <c r="T17" i="48"/>
  <c r="X17" i="48" s="1"/>
  <c r="T23" i="48"/>
  <c r="X23" i="48" s="1"/>
  <c r="S33" i="57" l="1"/>
  <c r="R36" i="57"/>
  <c r="S22" i="57"/>
  <c r="S40" i="57"/>
  <c r="U40" i="57" s="1"/>
  <c r="Y40" i="57" s="1"/>
  <c r="R17" i="57"/>
  <c r="T17" i="57" s="1"/>
  <c r="X17" i="57" s="1"/>
  <c r="R25" i="57"/>
  <c r="T25" i="57" s="1"/>
  <c r="X25" i="57" s="1"/>
  <c r="R21" i="57"/>
  <c r="T21" i="57" s="1"/>
  <c r="X21" i="57" s="1"/>
  <c r="S41" i="57"/>
  <c r="U41" i="57" s="1"/>
  <c r="Y41" i="57" s="1"/>
  <c r="R29" i="57"/>
  <c r="T29" i="57" s="1"/>
  <c r="X29" i="57" s="1"/>
  <c r="S17" i="57"/>
  <c r="U17" i="57" s="1"/>
  <c r="Y17" i="57" s="1"/>
  <c r="S29" i="57"/>
  <c r="U29" i="57" s="1"/>
  <c r="Y29" i="57" s="1"/>
  <c r="R33" i="57"/>
  <c r="T33" i="57" s="1"/>
  <c r="X33" i="57" s="1"/>
  <c r="R41" i="57"/>
  <c r="R37" i="57"/>
  <c r="T37" i="57" s="1"/>
  <c r="X37" i="57" s="1"/>
  <c r="T36" i="57"/>
  <c r="X36" i="57" s="1"/>
  <c r="T41" i="57"/>
  <c r="X41" i="57" s="1"/>
  <c r="U36" i="57"/>
  <c r="Y36" i="57" s="1"/>
  <c r="U33" i="57"/>
  <c r="Y33" i="57" s="1"/>
  <c r="N22" i="57"/>
  <c r="O22" i="57" s="1"/>
  <c r="U22" i="57"/>
  <c r="Y22" i="57" s="1"/>
  <c r="T22" i="57"/>
  <c r="X22" i="57" s="1"/>
  <c r="N28" i="52"/>
  <c r="O28" i="52" s="1"/>
  <c r="N30" i="52"/>
  <c r="O30" i="52" s="1"/>
  <c r="T30" i="52"/>
  <c r="X30" i="52" s="1"/>
  <c r="U30" i="52"/>
  <c r="Y30" i="52" s="1"/>
  <c r="N19" i="52"/>
  <c r="O19" i="52" s="1"/>
  <c r="U19" i="52"/>
  <c r="Y19" i="52" s="1"/>
  <c r="U34" i="52"/>
  <c r="Y34" i="52" s="1"/>
  <c r="N34" i="52"/>
  <c r="O34" i="52" s="1"/>
  <c r="T34" i="52"/>
  <c r="X34" i="52" s="1"/>
  <c r="N33" i="52"/>
  <c r="O33" i="52" s="1"/>
  <c r="U33" i="52"/>
  <c r="Y33" i="52" s="1"/>
  <c r="T33" i="52"/>
  <c r="X33" i="52" s="1"/>
  <c r="U32" i="52"/>
  <c r="Y32" i="52" s="1"/>
  <c r="T32" i="52"/>
  <c r="X32" i="52" s="1"/>
  <c r="N32" i="52"/>
  <c r="O32" i="52" s="1"/>
  <c r="C18" i="46"/>
  <c r="D18" i="46"/>
  <c r="E18" i="46"/>
  <c r="F18" i="46"/>
  <c r="G18" i="46"/>
  <c r="H18" i="46"/>
  <c r="C19" i="46"/>
  <c r="D19" i="46"/>
  <c r="E19" i="46"/>
  <c r="F19" i="46"/>
  <c r="G19" i="46"/>
  <c r="H19" i="46"/>
  <c r="C20" i="46"/>
  <c r="D20" i="46"/>
  <c r="E20" i="46"/>
  <c r="F20" i="46"/>
  <c r="G20" i="46"/>
  <c r="H20" i="46"/>
  <c r="C21" i="46"/>
  <c r="D21" i="46"/>
  <c r="E21" i="46"/>
  <c r="F21" i="46"/>
  <c r="G21" i="46"/>
  <c r="H21" i="46"/>
  <c r="C22" i="46"/>
  <c r="D22" i="46"/>
  <c r="E22" i="46"/>
  <c r="F22" i="46"/>
  <c r="G22" i="46"/>
  <c r="H22" i="46"/>
  <c r="C23" i="46"/>
  <c r="D23" i="46"/>
  <c r="E23" i="46"/>
  <c r="F23" i="46"/>
  <c r="G23" i="46"/>
  <c r="H23" i="46"/>
  <c r="C24" i="46"/>
  <c r="D24" i="46"/>
  <c r="E24" i="46"/>
  <c r="F24" i="46"/>
  <c r="G24" i="46"/>
  <c r="H24" i="46"/>
  <c r="D17" i="46"/>
  <c r="F17" i="46"/>
  <c r="M12" i="46" s="1"/>
  <c r="G17" i="46"/>
  <c r="H17" i="46"/>
  <c r="A18" i="46"/>
  <c r="A19" i="46"/>
  <c r="A20" i="46"/>
  <c r="A21" i="46"/>
  <c r="A22" i="46"/>
  <c r="A23" i="46"/>
  <c r="A24" i="46"/>
  <c r="A17" i="46"/>
  <c r="W37" i="47" l="1"/>
  <c r="V37" i="47"/>
  <c r="L37" i="47"/>
  <c r="I37" i="47"/>
  <c r="J37" i="47" s="1"/>
  <c r="K37" i="47" s="1"/>
  <c r="M37" i="47" s="1"/>
  <c r="N37" i="47" s="1"/>
  <c r="O37" i="47" s="1"/>
  <c r="W36" i="47"/>
  <c r="V36" i="47"/>
  <c r="L36" i="47"/>
  <c r="K36" i="47"/>
  <c r="M36" i="47" s="1"/>
  <c r="N36" i="47" s="1"/>
  <c r="O36" i="47" s="1"/>
  <c r="I36" i="47"/>
  <c r="J36" i="47" s="1"/>
  <c r="W35" i="47"/>
  <c r="V35" i="47"/>
  <c r="M35" i="47"/>
  <c r="N35" i="47" s="1"/>
  <c r="O35" i="47" s="1"/>
  <c r="L35" i="47"/>
  <c r="K35" i="47"/>
  <c r="I35" i="47"/>
  <c r="J35" i="47" s="1"/>
  <c r="W34" i="47"/>
  <c r="V34" i="47"/>
  <c r="I34" i="47"/>
  <c r="J34" i="47" s="1"/>
  <c r="K34" i="47" s="1"/>
  <c r="M34" i="47" s="1"/>
  <c r="N34" i="47" s="1"/>
  <c r="O34" i="47" s="1"/>
  <c r="L34" i="47"/>
  <c r="W33" i="47"/>
  <c r="V33" i="47"/>
  <c r="I33" i="47"/>
  <c r="J33" i="47" s="1"/>
  <c r="K33" i="47" s="1"/>
  <c r="M33" i="47" s="1"/>
  <c r="W32" i="47"/>
  <c r="V32" i="47"/>
  <c r="I32" i="47"/>
  <c r="J32" i="47" s="1"/>
  <c r="K32" i="47" s="1"/>
  <c r="M32" i="47" s="1"/>
  <c r="W31" i="47"/>
  <c r="V31" i="47"/>
  <c r="L31" i="47"/>
  <c r="I31" i="47"/>
  <c r="J31" i="47" s="1"/>
  <c r="K31" i="47" s="1"/>
  <c r="M31" i="47" s="1"/>
  <c r="N31" i="47" s="1"/>
  <c r="O31" i="47" s="1"/>
  <c r="W30" i="47"/>
  <c r="V30" i="47"/>
  <c r="I30" i="47"/>
  <c r="W29" i="47"/>
  <c r="V29" i="47"/>
  <c r="I29" i="47"/>
  <c r="J29" i="47" s="1"/>
  <c r="K29" i="47" s="1"/>
  <c r="M29" i="47" s="1"/>
  <c r="L29" i="47"/>
  <c r="W28" i="47"/>
  <c r="V28" i="47"/>
  <c r="I28" i="47"/>
  <c r="J28" i="47" s="1"/>
  <c r="K28" i="47" s="1"/>
  <c r="M28" i="47" s="1"/>
  <c r="L28" i="47"/>
  <c r="W27" i="47"/>
  <c r="V27" i="47"/>
  <c r="I27" i="47"/>
  <c r="J27" i="47" s="1"/>
  <c r="K27" i="47" s="1"/>
  <c r="M27" i="47" s="1"/>
  <c r="W26" i="47"/>
  <c r="V26" i="47"/>
  <c r="I26" i="47"/>
  <c r="J26" i="47" s="1"/>
  <c r="K26" i="47" s="1"/>
  <c r="M26" i="47" s="1"/>
  <c r="L26" i="47"/>
  <c r="W25" i="47"/>
  <c r="V25" i="47"/>
  <c r="I25" i="47"/>
  <c r="J25" i="47" s="1"/>
  <c r="K25" i="47" s="1"/>
  <c r="M25" i="47"/>
  <c r="W24" i="47"/>
  <c r="V24" i="47"/>
  <c r="I24" i="47"/>
  <c r="J24" i="47" s="1"/>
  <c r="K24" i="47" s="1"/>
  <c r="W23" i="47"/>
  <c r="V23" i="47"/>
  <c r="L23" i="47"/>
  <c r="I23" i="47"/>
  <c r="J23" i="47" s="1"/>
  <c r="K23" i="47" s="1"/>
  <c r="M23" i="47" s="1"/>
  <c r="W22" i="47"/>
  <c r="V22" i="47"/>
  <c r="I22" i="47"/>
  <c r="J22" i="47" s="1"/>
  <c r="K22" i="47" s="1"/>
  <c r="M22" i="47" s="1"/>
  <c r="N22" i="47" s="1"/>
  <c r="O22" i="47" s="1"/>
  <c r="L22" i="47"/>
  <c r="W21" i="47"/>
  <c r="V21" i="47"/>
  <c r="I21" i="47"/>
  <c r="J21" i="47" s="1"/>
  <c r="K21" i="47" s="1"/>
  <c r="W20" i="47"/>
  <c r="V20" i="47"/>
  <c r="I20" i="47"/>
  <c r="J20" i="47" s="1"/>
  <c r="K20" i="47" s="1"/>
  <c r="M20" i="47" s="1"/>
  <c r="L20" i="47"/>
  <c r="W19" i="47"/>
  <c r="V19" i="47"/>
  <c r="I19" i="47"/>
  <c r="J19" i="47" s="1"/>
  <c r="K19" i="47" s="1"/>
  <c r="M19" i="47"/>
  <c r="W18" i="47"/>
  <c r="V18" i="47"/>
  <c r="I18" i="47"/>
  <c r="J18" i="47" s="1"/>
  <c r="K18" i="47" s="1"/>
  <c r="M18" i="47" s="1"/>
  <c r="W17" i="47"/>
  <c r="V17" i="47"/>
  <c r="L17" i="47"/>
  <c r="I17" i="47"/>
  <c r="J17" i="47" s="1"/>
  <c r="K17" i="47" s="1"/>
  <c r="M17" i="47" s="1"/>
  <c r="W24" i="46"/>
  <c r="V24" i="46"/>
  <c r="W23" i="46"/>
  <c r="V23" i="46"/>
  <c r="L23" i="46"/>
  <c r="W22" i="46"/>
  <c r="V22" i="46"/>
  <c r="L22" i="46"/>
  <c r="W21" i="46"/>
  <c r="V21" i="46"/>
  <c r="I21" i="46"/>
  <c r="J21" i="46" s="1"/>
  <c r="K21" i="46" s="1"/>
  <c r="W20" i="46"/>
  <c r="V20" i="46"/>
  <c r="I20" i="46"/>
  <c r="W19" i="46"/>
  <c r="V19" i="46"/>
  <c r="I19" i="46"/>
  <c r="L19" i="46"/>
  <c r="W18" i="46"/>
  <c r="V18" i="46"/>
  <c r="W17" i="46"/>
  <c r="V17" i="46"/>
  <c r="I17" i="46"/>
  <c r="J17" i="46" s="1"/>
  <c r="L17" i="46"/>
  <c r="J20" i="46" l="1"/>
  <c r="K20" i="46" s="1"/>
  <c r="I24" i="46"/>
  <c r="J24" i="46" s="1"/>
  <c r="K24" i="46" s="1"/>
  <c r="J19" i="46"/>
  <c r="K19" i="46" s="1"/>
  <c r="M19" i="46" s="1"/>
  <c r="N19" i="46" s="1"/>
  <c r="O19" i="46" s="1"/>
  <c r="I23" i="46"/>
  <c r="J23" i="46" s="1"/>
  <c r="K23" i="46" s="1"/>
  <c r="M23" i="46" s="1"/>
  <c r="R23" i="46" s="1"/>
  <c r="I18" i="46"/>
  <c r="J18" i="46" s="1"/>
  <c r="K18" i="46" s="1"/>
  <c r="I22" i="46"/>
  <c r="J22" i="46" s="1"/>
  <c r="K22" i="46" s="1"/>
  <c r="M22" i="46" s="1"/>
  <c r="N26" i="47"/>
  <c r="O26" i="47" s="1"/>
  <c r="U36" i="47"/>
  <c r="Y36" i="47" s="1"/>
  <c r="U35" i="47"/>
  <c r="Y35" i="47" s="1"/>
  <c r="U37" i="47"/>
  <c r="Y37" i="47" s="1"/>
  <c r="T31" i="47"/>
  <c r="X31" i="47" s="1"/>
  <c r="U31" i="47"/>
  <c r="Y31" i="47" s="1"/>
  <c r="U34" i="47"/>
  <c r="Y34" i="47" s="1"/>
  <c r="T34" i="47"/>
  <c r="X34" i="47" s="1"/>
  <c r="T37" i="47"/>
  <c r="X37" i="47" s="1"/>
  <c r="T36" i="47"/>
  <c r="X36" i="47" s="1"/>
  <c r="L33" i="47"/>
  <c r="T35" i="47"/>
  <c r="X35" i="47" s="1"/>
  <c r="L32" i="47"/>
  <c r="N28" i="47"/>
  <c r="O28" i="47" s="1"/>
  <c r="N29" i="47"/>
  <c r="O29" i="47" s="1"/>
  <c r="U29" i="47"/>
  <c r="Y29" i="47" s="1"/>
  <c r="T29" i="47"/>
  <c r="X29" i="47" s="1"/>
  <c r="U28" i="47"/>
  <c r="Y28" i="47" s="1"/>
  <c r="T28" i="47"/>
  <c r="X28" i="47" s="1"/>
  <c r="J30" i="47"/>
  <c r="K30" i="47" s="1"/>
  <c r="M30" i="47" s="1"/>
  <c r="L30" i="47"/>
  <c r="L27" i="47"/>
  <c r="N27" i="47" s="1"/>
  <c r="O27" i="47" s="1"/>
  <c r="N17" i="47"/>
  <c r="O17" i="47" s="1"/>
  <c r="U23" i="47"/>
  <c r="Y23" i="47" s="1"/>
  <c r="T23" i="47"/>
  <c r="X23" i="47" s="1"/>
  <c r="U20" i="47"/>
  <c r="Y20" i="47" s="1"/>
  <c r="T20" i="47"/>
  <c r="X20" i="47" s="1"/>
  <c r="N20" i="47"/>
  <c r="O20" i="47" s="1"/>
  <c r="M24" i="47"/>
  <c r="U22" i="47"/>
  <c r="Y22" i="47" s="1"/>
  <c r="T22" i="47"/>
  <c r="X22" i="47" s="1"/>
  <c r="M21" i="47"/>
  <c r="U26" i="47"/>
  <c r="Y26" i="47" s="1"/>
  <c r="T26" i="47"/>
  <c r="X26" i="47" s="1"/>
  <c r="U17" i="47"/>
  <c r="Y17" i="47" s="1"/>
  <c r="T17" i="47"/>
  <c r="X17" i="47" s="1"/>
  <c r="N23" i="47"/>
  <c r="O23" i="47" s="1"/>
  <c r="L21" i="47"/>
  <c r="L19" i="47"/>
  <c r="L25" i="47"/>
  <c r="N25" i="47" s="1"/>
  <c r="O25" i="47" s="1"/>
  <c r="L18" i="47"/>
  <c r="L24" i="47"/>
  <c r="K17" i="46"/>
  <c r="M17" i="46" s="1"/>
  <c r="M20" i="46"/>
  <c r="L21" i="46"/>
  <c r="L20" i="46"/>
  <c r="L18" i="46"/>
  <c r="L24" i="46"/>
  <c r="S17" i="43"/>
  <c r="R17" i="43"/>
  <c r="N22" i="46" l="1"/>
  <c r="O22" i="46" s="1"/>
  <c r="R22" i="46"/>
  <c r="T22" i="46" s="1"/>
  <c r="X22" i="46" s="1"/>
  <c r="S22" i="46"/>
  <c r="S23" i="46"/>
  <c r="M24" i="46"/>
  <c r="R24" i="46" s="1"/>
  <c r="T24" i="46" s="1"/>
  <c r="X24" i="46" s="1"/>
  <c r="S24" i="46"/>
  <c r="S19" i="46"/>
  <c r="U19" i="46" s="1"/>
  <c r="Y19" i="46" s="1"/>
  <c r="S20" i="46"/>
  <c r="R20" i="46"/>
  <c r="M18" i="46"/>
  <c r="S18" i="46" s="1"/>
  <c r="U18" i="46" s="1"/>
  <c r="Y18" i="46" s="1"/>
  <c r="R19" i="46"/>
  <c r="T19" i="46" s="1"/>
  <c r="X19" i="46" s="1"/>
  <c r="N17" i="46"/>
  <c r="O17" i="46" s="1"/>
  <c r="R17" i="46"/>
  <c r="T17" i="46" s="1"/>
  <c r="X17" i="46" s="1"/>
  <c r="S17" i="46"/>
  <c r="U17" i="46" s="1"/>
  <c r="Y17" i="46" s="1"/>
  <c r="N23" i="46"/>
  <c r="O23" i="46" s="1"/>
  <c r="T23" i="46"/>
  <c r="X23" i="46" s="1"/>
  <c r="U23" i="46"/>
  <c r="Y23" i="46" s="1"/>
  <c r="M21" i="46"/>
  <c r="N21" i="46" s="1"/>
  <c r="O21" i="46" s="1"/>
  <c r="N18" i="46"/>
  <c r="O18" i="46" s="1"/>
  <c r="N30" i="47"/>
  <c r="O30" i="47" s="1"/>
  <c r="U32" i="47"/>
  <c r="Y32" i="47" s="1"/>
  <c r="T32" i="47"/>
  <c r="X32" i="47" s="1"/>
  <c r="U33" i="47"/>
  <c r="Y33" i="47" s="1"/>
  <c r="T33" i="47"/>
  <c r="X33" i="47" s="1"/>
  <c r="N32" i="47"/>
  <c r="O32" i="47" s="1"/>
  <c r="N33" i="47"/>
  <c r="O33" i="47" s="1"/>
  <c r="U30" i="47"/>
  <c r="Y30" i="47" s="1"/>
  <c r="T30" i="47"/>
  <c r="X30" i="47" s="1"/>
  <c r="U27" i="47"/>
  <c r="Y27" i="47" s="1"/>
  <c r="T27" i="47"/>
  <c r="X27" i="47" s="1"/>
  <c r="U18" i="47"/>
  <c r="Y18" i="47" s="1"/>
  <c r="T18" i="47"/>
  <c r="X18" i="47" s="1"/>
  <c r="U24" i="47"/>
  <c r="Y24" i="47" s="1"/>
  <c r="T24" i="47"/>
  <c r="X24" i="47" s="1"/>
  <c r="N24" i="47"/>
  <c r="O24" i="47" s="1"/>
  <c r="T25" i="47"/>
  <c r="X25" i="47" s="1"/>
  <c r="U25" i="47"/>
  <c r="Y25" i="47" s="1"/>
  <c r="U19" i="47"/>
  <c r="Y19" i="47" s="1"/>
  <c r="T19" i="47"/>
  <c r="X19" i="47" s="1"/>
  <c r="N19" i="47"/>
  <c r="O19" i="47" s="1"/>
  <c r="N21" i="47"/>
  <c r="O21" i="47" s="1"/>
  <c r="U21" i="47"/>
  <c r="Y21" i="47" s="1"/>
  <c r="T21" i="47"/>
  <c r="X21" i="47" s="1"/>
  <c r="N18" i="47"/>
  <c r="O18" i="47" s="1"/>
  <c r="U20" i="46"/>
  <c r="Y20" i="46" s="1"/>
  <c r="T20" i="46"/>
  <c r="X20" i="46" s="1"/>
  <c r="U24" i="46"/>
  <c r="Y24" i="46" s="1"/>
  <c r="U22" i="46"/>
  <c r="Y22" i="46" s="1"/>
  <c r="N24" i="46"/>
  <c r="O24" i="46" s="1"/>
  <c r="N20" i="46"/>
  <c r="O20" i="46" s="1"/>
  <c r="B7" i="44"/>
  <c r="C7" i="44" s="1"/>
  <c r="B29" i="44" s="1"/>
  <c r="D7" i="44"/>
  <c r="E7" i="44" s="1"/>
  <c r="B8" i="44"/>
  <c r="C8" i="44" s="1"/>
  <c r="B30" i="44" s="1"/>
  <c r="D8" i="44"/>
  <c r="E8" i="44"/>
  <c r="B9" i="44"/>
  <c r="E31" i="44" s="1"/>
  <c r="H31" i="44" s="1"/>
  <c r="D9" i="44"/>
  <c r="I31" i="44" s="1"/>
  <c r="B10" i="44"/>
  <c r="C10" i="44"/>
  <c r="B32" i="44" s="1"/>
  <c r="D10" i="44"/>
  <c r="E10" i="44" s="1"/>
  <c r="B11" i="44"/>
  <c r="C11" i="44"/>
  <c r="B33" i="44" s="1"/>
  <c r="D11" i="44"/>
  <c r="E11" i="44"/>
  <c r="B12" i="44"/>
  <c r="C12" i="44"/>
  <c r="D12" i="44"/>
  <c r="E12" i="44"/>
  <c r="B13" i="44"/>
  <c r="E35" i="44" s="1"/>
  <c r="H35" i="44" s="1"/>
  <c r="C13" i="44"/>
  <c r="D13" i="44"/>
  <c r="E13" i="44" s="1"/>
  <c r="B14" i="44"/>
  <c r="C14" i="44"/>
  <c r="D14" i="44"/>
  <c r="E14" i="44"/>
  <c r="B15" i="44"/>
  <c r="C15" i="44"/>
  <c r="D15" i="44"/>
  <c r="I37" i="44" s="1"/>
  <c r="E15" i="44"/>
  <c r="B16" i="44"/>
  <c r="E38" i="44" s="1"/>
  <c r="C16" i="44"/>
  <c r="B38" i="44" s="1"/>
  <c r="B17" i="44"/>
  <c r="C17" i="44" s="1"/>
  <c r="B39" i="44" s="1"/>
  <c r="D17" i="44"/>
  <c r="E17" i="44"/>
  <c r="D18" i="44"/>
  <c r="E18" i="44"/>
  <c r="G29" i="44"/>
  <c r="E30" i="44"/>
  <c r="H30" i="44" s="1"/>
  <c r="G30" i="44"/>
  <c r="I30" i="44"/>
  <c r="G31" i="44"/>
  <c r="E32" i="44"/>
  <c r="G32" i="44"/>
  <c r="H32" i="44"/>
  <c r="E33" i="44"/>
  <c r="G33" i="44"/>
  <c r="H33" i="44"/>
  <c r="I33" i="44"/>
  <c r="B34" i="44"/>
  <c r="E34" i="44"/>
  <c r="G34" i="44"/>
  <c r="H34" i="44"/>
  <c r="I34" i="44"/>
  <c r="B35" i="44"/>
  <c r="G35" i="44"/>
  <c r="B36" i="44"/>
  <c r="E36" i="44"/>
  <c r="G36" i="44"/>
  <c r="H36" i="44"/>
  <c r="I36" i="44"/>
  <c r="B37" i="44"/>
  <c r="E37" i="44"/>
  <c r="H37" i="44" s="1"/>
  <c r="G37" i="44"/>
  <c r="G39" i="44"/>
  <c r="I39" i="44"/>
  <c r="G40" i="44"/>
  <c r="H40" i="44"/>
  <c r="I40" i="44"/>
  <c r="R18" i="46" l="1"/>
  <c r="T18" i="46" s="1"/>
  <c r="X18" i="46" s="1"/>
  <c r="S21" i="46"/>
  <c r="U21" i="46" s="1"/>
  <c r="Y21" i="46" s="1"/>
  <c r="R21" i="46"/>
  <c r="T21" i="46" s="1"/>
  <c r="X21" i="46" s="1"/>
  <c r="E9" i="44"/>
  <c r="C9" i="44"/>
  <c r="B31" i="44" s="1"/>
  <c r="I29" i="44"/>
  <c r="E29" i="44"/>
  <c r="H29" i="44" s="1"/>
  <c r="E39" i="44"/>
  <c r="H39" i="44" s="1"/>
  <c r="I35" i="44"/>
  <c r="I32" i="44"/>
  <c r="M18" i="43"/>
  <c r="M19" i="43"/>
  <c r="M20" i="43"/>
  <c r="M21" i="43"/>
  <c r="M22" i="43"/>
  <c r="M23" i="43"/>
  <c r="M24" i="43"/>
  <c r="M25" i="43"/>
  <c r="M26" i="43"/>
  <c r="M27" i="43"/>
  <c r="M28" i="43"/>
  <c r="M17" i="43"/>
  <c r="L28" i="43"/>
  <c r="L27" i="43"/>
  <c r="L26" i="43"/>
  <c r="L25" i="43"/>
  <c r="L24" i="43"/>
  <c r="L23" i="43"/>
  <c r="L22" i="43"/>
  <c r="L21" i="43"/>
  <c r="L20" i="43"/>
  <c r="L19" i="43"/>
  <c r="L18" i="43"/>
  <c r="L17" i="43"/>
  <c r="V18" i="43" l="1"/>
  <c r="W18" i="43"/>
  <c r="V19" i="43"/>
  <c r="W19" i="43"/>
  <c r="V20" i="43"/>
  <c r="W20" i="43"/>
  <c r="V21" i="43"/>
  <c r="W21" i="43"/>
  <c r="V22" i="43"/>
  <c r="W22" i="43"/>
  <c r="V23" i="43"/>
  <c r="W23" i="43"/>
  <c r="V24" i="43"/>
  <c r="W24" i="43"/>
  <c r="V25" i="43"/>
  <c r="W25" i="43"/>
  <c r="V26" i="43"/>
  <c r="W26" i="43"/>
  <c r="V27" i="43"/>
  <c r="W27" i="43"/>
  <c r="V28" i="43"/>
  <c r="W28" i="43"/>
  <c r="W17" i="43"/>
  <c r="V17" i="43"/>
  <c r="T18" i="43"/>
  <c r="X18" i="43" s="1"/>
  <c r="U18" i="43"/>
  <c r="Y18" i="43" s="1"/>
  <c r="T19" i="43"/>
  <c r="X19" i="43" s="1"/>
  <c r="U19" i="43"/>
  <c r="Y19" i="43" s="1"/>
  <c r="T20" i="43"/>
  <c r="X20" i="43" s="1"/>
  <c r="U20" i="43"/>
  <c r="Y20" i="43" s="1"/>
  <c r="T21" i="43"/>
  <c r="X21" i="43" s="1"/>
  <c r="U21" i="43"/>
  <c r="Y21" i="43" s="1"/>
  <c r="T22" i="43"/>
  <c r="X22" i="43" s="1"/>
  <c r="U22" i="43"/>
  <c r="Y22" i="43" s="1"/>
  <c r="T23" i="43"/>
  <c r="X23" i="43" s="1"/>
  <c r="U23" i="43"/>
  <c r="Y23" i="43" s="1"/>
  <c r="T24" i="43"/>
  <c r="X24" i="43" s="1"/>
  <c r="U24" i="43"/>
  <c r="Y24" i="43" s="1"/>
  <c r="T25" i="43"/>
  <c r="X25" i="43" s="1"/>
  <c r="U25" i="43"/>
  <c r="Y25" i="43" s="1"/>
  <c r="T26" i="43"/>
  <c r="X26" i="43" s="1"/>
  <c r="U26" i="43"/>
  <c r="Y26" i="43" s="1"/>
  <c r="T27" i="43"/>
  <c r="X27" i="43" s="1"/>
  <c r="U27" i="43"/>
  <c r="Y27" i="43" s="1"/>
  <c r="T28" i="43"/>
  <c r="X28" i="43" s="1"/>
  <c r="U28" i="43"/>
  <c r="Y28" i="43" s="1"/>
  <c r="U17" i="43"/>
  <c r="Y17" i="43" s="1"/>
  <c r="C18" i="43"/>
  <c r="D18" i="43"/>
  <c r="E18" i="43"/>
  <c r="F18" i="43"/>
  <c r="G18" i="43"/>
  <c r="H18" i="43"/>
  <c r="C19" i="43"/>
  <c r="D19" i="43"/>
  <c r="E19" i="43"/>
  <c r="F19" i="43"/>
  <c r="G19" i="43"/>
  <c r="H19" i="43"/>
  <c r="C20" i="43"/>
  <c r="D20" i="43"/>
  <c r="E20" i="43"/>
  <c r="F20" i="43"/>
  <c r="G20" i="43"/>
  <c r="H20" i="43"/>
  <c r="C21" i="43"/>
  <c r="D21" i="43"/>
  <c r="E21" i="43"/>
  <c r="F21" i="43"/>
  <c r="G21" i="43"/>
  <c r="H21" i="43"/>
  <c r="C22" i="43"/>
  <c r="D22" i="43"/>
  <c r="E22" i="43"/>
  <c r="F22" i="43"/>
  <c r="G22" i="43"/>
  <c r="H22" i="43"/>
  <c r="C23" i="43"/>
  <c r="D23" i="43"/>
  <c r="E23" i="43"/>
  <c r="F23" i="43"/>
  <c r="G23" i="43"/>
  <c r="H23" i="43"/>
  <c r="C24" i="43"/>
  <c r="D24" i="43"/>
  <c r="E24" i="43"/>
  <c r="F24" i="43"/>
  <c r="G24" i="43"/>
  <c r="H24" i="43"/>
  <c r="C25" i="43"/>
  <c r="D25" i="43"/>
  <c r="E25" i="43"/>
  <c r="F25" i="43"/>
  <c r="G25" i="43"/>
  <c r="H25" i="43"/>
  <c r="C26" i="43"/>
  <c r="D26" i="43"/>
  <c r="E26" i="43"/>
  <c r="F26" i="43"/>
  <c r="G26" i="43"/>
  <c r="H26" i="43"/>
  <c r="C27" i="43"/>
  <c r="D27" i="43"/>
  <c r="E27" i="43"/>
  <c r="F27" i="43"/>
  <c r="G27" i="43"/>
  <c r="H27" i="43"/>
  <c r="C28" i="43"/>
  <c r="D28" i="43"/>
  <c r="E28" i="43"/>
  <c r="F28" i="43"/>
  <c r="G28" i="43"/>
  <c r="H28" i="43"/>
  <c r="D17" i="43"/>
  <c r="E17" i="43"/>
  <c r="F17" i="43"/>
  <c r="G17" i="43"/>
  <c r="H17" i="43"/>
  <c r="C17" i="43"/>
  <c r="A18" i="43"/>
  <c r="A19" i="43"/>
  <c r="A20" i="43"/>
  <c r="A21" i="43"/>
  <c r="A22" i="43"/>
  <c r="A23" i="43"/>
  <c r="A24" i="43"/>
  <c r="A25" i="43"/>
  <c r="A26" i="43"/>
  <c r="A27" i="43"/>
  <c r="A28" i="43"/>
  <c r="A17" i="43"/>
  <c r="A52" i="43"/>
  <c r="A53" i="43"/>
  <c r="A54" i="43"/>
  <c r="A55" i="43"/>
  <c r="A56" i="43"/>
  <c r="A57" i="43"/>
  <c r="A58" i="43"/>
  <c r="A59" i="43"/>
  <c r="A60" i="43"/>
  <c r="A61" i="43"/>
  <c r="A62" i="43"/>
  <c r="C52" i="43"/>
  <c r="D52" i="43"/>
  <c r="E52" i="43"/>
  <c r="F52" i="43"/>
  <c r="G52" i="43"/>
  <c r="H52" i="43"/>
  <c r="C53" i="43"/>
  <c r="D53" i="43"/>
  <c r="E53" i="43"/>
  <c r="F53" i="43"/>
  <c r="G53" i="43"/>
  <c r="I53" i="43" s="1"/>
  <c r="J53" i="43" s="1"/>
  <c r="H53" i="43"/>
  <c r="C54" i="43"/>
  <c r="D54" i="43"/>
  <c r="E54" i="43"/>
  <c r="F54" i="43"/>
  <c r="G54" i="43"/>
  <c r="H54" i="43"/>
  <c r="C55" i="43"/>
  <c r="D55" i="43"/>
  <c r="E55" i="43"/>
  <c r="F55" i="43"/>
  <c r="G55" i="43"/>
  <c r="I55" i="43" s="1"/>
  <c r="J55" i="43" s="1"/>
  <c r="K55" i="43" s="1"/>
  <c r="M55" i="43" s="1"/>
  <c r="N55" i="43" s="1"/>
  <c r="O55" i="43" s="1"/>
  <c r="H55" i="43"/>
  <c r="C56" i="43"/>
  <c r="D56" i="43"/>
  <c r="E56" i="43"/>
  <c r="F56" i="43"/>
  <c r="G56" i="43"/>
  <c r="H56" i="43"/>
  <c r="C57" i="43"/>
  <c r="D57" i="43"/>
  <c r="E57" i="43"/>
  <c r="F57" i="43"/>
  <c r="G57" i="43"/>
  <c r="I57" i="43" s="1"/>
  <c r="J57" i="43" s="1"/>
  <c r="K57" i="43" s="1"/>
  <c r="H57" i="43"/>
  <c r="C58" i="43"/>
  <c r="D58" i="43"/>
  <c r="E58" i="43"/>
  <c r="F58" i="43"/>
  <c r="G58" i="43"/>
  <c r="H58" i="43"/>
  <c r="C59" i="43"/>
  <c r="D59" i="43"/>
  <c r="F59" i="43"/>
  <c r="G59" i="43"/>
  <c r="H59" i="43"/>
  <c r="C60" i="43"/>
  <c r="D60" i="43"/>
  <c r="E60" i="43"/>
  <c r="F60" i="43"/>
  <c r="G60" i="43"/>
  <c r="H60" i="43"/>
  <c r="C61" i="43"/>
  <c r="D61" i="43"/>
  <c r="F61" i="43"/>
  <c r="G61" i="43"/>
  <c r="I61" i="43" s="1"/>
  <c r="H61" i="43"/>
  <c r="C62" i="43"/>
  <c r="D62" i="43"/>
  <c r="E62" i="43"/>
  <c r="F62" i="43"/>
  <c r="G62" i="43"/>
  <c r="H62" i="43"/>
  <c r="H51" i="43"/>
  <c r="G51" i="43"/>
  <c r="I51" i="43" s="1"/>
  <c r="F51" i="43"/>
  <c r="E51" i="43"/>
  <c r="D51" i="43"/>
  <c r="C51" i="43"/>
  <c r="A51" i="43"/>
  <c r="W62" i="43"/>
  <c r="V62" i="43"/>
  <c r="L62" i="43"/>
  <c r="I62" i="43"/>
  <c r="J62" i="43" s="1"/>
  <c r="K62" i="43" s="1"/>
  <c r="M62" i="43" s="1"/>
  <c r="N62" i="43" s="1"/>
  <c r="O62" i="43" s="1"/>
  <c r="W61" i="43"/>
  <c r="V61" i="43"/>
  <c r="L61" i="43"/>
  <c r="W60" i="43"/>
  <c r="V60" i="43"/>
  <c r="L60" i="43"/>
  <c r="I60" i="43"/>
  <c r="J60" i="43" s="1"/>
  <c r="K60" i="43" s="1"/>
  <c r="M60" i="43" s="1"/>
  <c r="N60" i="43" s="1"/>
  <c r="O60" i="43" s="1"/>
  <c r="W59" i="43"/>
  <c r="V59" i="43"/>
  <c r="L59" i="43"/>
  <c r="I59" i="43"/>
  <c r="W58" i="43"/>
  <c r="V58" i="43"/>
  <c r="I58" i="43"/>
  <c r="J58" i="43" s="1"/>
  <c r="W57" i="43"/>
  <c r="V57" i="43"/>
  <c r="W56" i="43"/>
  <c r="V56" i="43"/>
  <c r="L56" i="43"/>
  <c r="I56" i="43"/>
  <c r="J56" i="43" s="1"/>
  <c r="K56" i="43" s="1"/>
  <c r="M56" i="43" s="1"/>
  <c r="N56" i="43" s="1"/>
  <c r="O56" i="43" s="1"/>
  <c r="W55" i="43"/>
  <c r="V55" i="43"/>
  <c r="L55" i="43"/>
  <c r="W54" i="43"/>
  <c r="V54" i="43"/>
  <c r="I54" i="43"/>
  <c r="J54" i="43" s="1"/>
  <c r="K54" i="43" s="1"/>
  <c r="W53" i="43"/>
  <c r="V53" i="43"/>
  <c r="L53" i="43"/>
  <c r="W52" i="43"/>
  <c r="V52" i="43"/>
  <c r="I52" i="43"/>
  <c r="J52" i="43" s="1"/>
  <c r="K52" i="43"/>
  <c r="W51" i="43"/>
  <c r="V51" i="43"/>
  <c r="T17" i="43" l="1"/>
  <c r="X17" i="43" s="1"/>
  <c r="S62" i="43"/>
  <c r="U62" i="43" s="1"/>
  <c r="Y62" i="43" s="1"/>
  <c r="J51" i="43"/>
  <c r="M57" i="43"/>
  <c r="K51" i="43"/>
  <c r="M51" i="43" s="1"/>
  <c r="N51" i="43" s="1"/>
  <c r="O51" i="43" s="1"/>
  <c r="K53" i="43"/>
  <c r="M53" i="43" s="1"/>
  <c r="N53" i="43" s="1"/>
  <c r="O53" i="43" s="1"/>
  <c r="M54" i="43"/>
  <c r="M52" i="43"/>
  <c r="S56" i="43"/>
  <c r="U56" i="43" s="1"/>
  <c r="Y56" i="43" s="1"/>
  <c r="S55" i="43"/>
  <c r="U55" i="43" s="1"/>
  <c r="Y55" i="43" s="1"/>
  <c r="K58" i="43"/>
  <c r="M58" i="43" s="1"/>
  <c r="S60" i="43"/>
  <c r="U60" i="43" s="1"/>
  <c r="Y60" i="43" s="1"/>
  <c r="L54" i="43"/>
  <c r="R56" i="43"/>
  <c r="T56" i="43" s="1"/>
  <c r="X56" i="43" s="1"/>
  <c r="R62" i="43"/>
  <c r="T62" i="43" s="1"/>
  <c r="X62" i="43" s="1"/>
  <c r="R55" i="43"/>
  <c r="T55" i="43" s="1"/>
  <c r="X55" i="43" s="1"/>
  <c r="L52" i="43"/>
  <c r="L58" i="43"/>
  <c r="R60" i="43"/>
  <c r="T60" i="43" s="1"/>
  <c r="X60" i="43" s="1"/>
  <c r="L51" i="43"/>
  <c r="L57" i="43"/>
  <c r="N52" i="43" l="1"/>
  <c r="O52" i="43" s="1"/>
  <c r="S52" i="43"/>
  <c r="U52" i="43" s="1"/>
  <c r="Y52" i="43" s="1"/>
  <c r="R52" i="43"/>
  <c r="T52" i="43" s="1"/>
  <c r="X52" i="43" s="1"/>
  <c r="R53" i="43"/>
  <c r="T53" i="43" s="1"/>
  <c r="X53" i="43" s="1"/>
  <c r="S53" i="43"/>
  <c r="U53" i="43" s="1"/>
  <c r="Y53" i="43" s="1"/>
  <c r="S58" i="43"/>
  <c r="U58" i="43" s="1"/>
  <c r="Y58" i="43" s="1"/>
  <c r="R58" i="43"/>
  <c r="T58" i="43" s="1"/>
  <c r="X58" i="43" s="1"/>
  <c r="S54" i="43"/>
  <c r="U54" i="43" s="1"/>
  <c r="Y54" i="43" s="1"/>
  <c r="R54" i="43"/>
  <c r="T54" i="43" s="1"/>
  <c r="X54" i="43" s="1"/>
  <c r="N54" i="43"/>
  <c r="O54" i="43" s="1"/>
  <c r="N57" i="43"/>
  <c r="O57" i="43" s="1"/>
  <c r="N58" i="43"/>
  <c r="O58" i="43" s="1"/>
  <c r="S57" i="43"/>
  <c r="U57" i="43" s="1"/>
  <c r="Y57" i="43" s="1"/>
  <c r="R57" i="43"/>
  <c r="T57" i="43" s="1"/>
  <c r="X57" i="43" s="1"/>
  <c r="R51" i="43"/>
  <c r="T51" i="43" s="1"/>
  <c r="X51" i="43" s="1"/>
  <c r="S51" i="43"/>
  <c r="U51" i="43" s="1"/>
  <c r="Y51" i="43" s="1"/>
  <c r="I46" i="43" l="1"/>
  <c r="J46" i="43"/>
  <c r="L46" i="43"/>
  <c r="V46" i="43"/>
  <c r="W46" i="43"/>
  <c r="I47" i="43"/>
  <c r="J47" i="43" s="1"/>
  <c r="K47" i="43" s="1"/>
  <c r="M47" i="43" s="1"/>
  <c r="N47" i="43" s="1"/>
  <c r="O47" i="43" s="1"/>
  <c r="L47" i="43"/>
  <c r="V47" i="43"/>
  <c r="W47" i="43"/>
  <c r="C37" i="43"/>
  <c r="D37" i="43"/>
  <c r="E37" i="43"/>
  <c r="F37" i="43"/>
  <c r="G37" i="43"/>
  <c r="H37" i="43"/>
  <c r="C38" i="43"/>
  <c r="D38" i="43"/>
  <c r="E38" i="43"/>
  <c r="F38" i="43"/>
  <c r="G38" i="43"/>
  <c r="H38" i="43"/>
  <c r="C39" i="43"/>
  <c r="D39" i="43"/>
  <c r="E39" i="43"/>
  <c r="F39" i="43"/>
  <c r="G39" i="43"/>
  <c r="H39" i="43"/>
  <c r="C40" i="43"/>
  <c r="D40" i="43"/>
  <c r="E40" i="43"/>
  <c r="F40" i="43"/>
  <c r="G40" i="43"/>
  <c r="H40" i="43"/>
  <c r="C41" i="43"/>
  <c r="D41" i="43"/>
  <c r="E41" i="43"/>
  <c r="F41" i="43"/>
  <c r="G41" i="43"/>
  <c r="H41" i="43"/>
  <c r="C42" i="43"/>
  <c r="D42" i="43"/>
  <c r="E42" i="43"/>
  <c r="F42" i="43"/>
  <c r="G42" i="43"/>
  <c r="H42" i="43"/>
  <c r="C43" i="43"/>
  <c r="D43" i="43"/>
  <c r="E43" i="43"/>
  <c r="F43" i="43"/>
  <c r="G43" i="43"/>
  <c r="H43" i="43"/>
  <c r="C44" i="43"/>
  <c r="D44" i="43"/>
  <c r="E44" i="43"/>
  <c r="G44" i="43"/>
  <c r="H44" i="43"/>
  <c r="C45" i="43"/>
  <c r="D45" i="43"/>
  <c r="E45" i="43"/>
  <c r="F45" i="43"/>
  <c r="G45" i="43"/>
  <c r="H45" i="43"/>
  <c r="C46" i="43"/>
  <c r="D46" i="43"/>
  <c r="E46" i="43"/>
  <c r="G46" i="43"/>
  <c r="H46" i="43"/>
  <c r="C47" i="43"/>
  <c r="D47" i="43"/>
  <c r="E47" i="43"/>
  <c r="F47" i="43"/>
  <c r="G47" i="43"/>
  <c r="H47" i="43"/>
  <c r="H36" i="43"/>
  <c r="G36" i="43"/>
  <c r="F36" i="43"/>
  <c r="E36" i="43"/>
  <c r="D36" i="43"/>
  <c r="C36" i="43"/>
  <c r="R47" i="43" l="1"/>
  <c r="T47" i="43" s="1"/>
  <c r="X47" i="43" s="1"/>
  <c r="S47" i="43"/>
  <c r="U47" i="43" s="1"/>
  <c r="Y47" i="43" s="1"/>
  <c r="B76" i="43"/>
  <c r="C76" i="43"/>
  <c r="D76" i="43"/>
  <c r="E76" i="43"/>
  <c r="F76" i="43"/>
  <c r="G76" i="43"/>
  <c r="B77" i="43"/>
  <c r="C77" i="43"/>
  <c r="D77" i="43"/>
  <c r="E77" i="43"/>
  <c r="F77" i="43"/>
  <c r="G77" i="43"/>
  <c r="B78" i="43"/>
  <c r="C78" i="43"/>
  <c r="D78" i="43"/>
  <c r="E78" i="43"/>
  <c r="F78" i="43"/>
  <c r="G78" i="43"/>
  <c r="B79" i="43"/>
  <c r="C79" i="43"/>
  <c r="D79" i="43"/>
  <c r="E79" i="43"/>
  <c r="F79" i="43"/>
  <c r="G79" i="43"/>
  <c r="B80" i="43"/>
  <c r="C80" i="43"/>
  <c r="D80" i="43"/>
  <c r="E80" i="43"/>
  <c r="F80" i="43"/>
  <c r="G80" i="43"/>
  <c r="B81" i="43"/>
  <c r="C81" i="43"/>
  <c r="D81" i="43"/>
  <c r="E81" i="43"/>
  <c r="F81" i="43"/>
  <c r="G81" i="43"/>
  <c r="B82" i="43"/>
  <c r="C82" i="43"/>
  <c r="D82" i="43"/>
  <c r="E82" i="43"/>
  <c r="F82" i="43"/>
  <c r="G82" i="43"/>
  <c r="B83" i="43"/>
  <c r="C83" i="43"/>
  <c r="F44" i="43" s="1"/>
  <c r="D83" i="43"/>
  <c r="E83" i="43"/>
  <c r="F83" i="43"/>
  <c r="G83" i="43"/>
  <c r="B84" i="43"/>
  <c r="C84" i="43"/>
  <c r="D84" i="43"/>
  <c r="E84" i="43"/>
  <c r="F84" i="43"/>
  <c r="G84" i="43"/>
  <c r="B85" i="43"/>
  <c r="C85" i="43"/>
  <c r="F46" i="43" s="1"/>
  <c r="K46" i="43" s="1"/>
  <c r="M46" i="43" s="1"/>
  <c r="R46" i="43" s="1"/>
  <c r="T46" i="43" s="1"/>
  <c r="X46" i="43" s="1"/>
  <c r="D85" i="43"/>
  <c r="E85" i="43"/>
  <c r="F85" i="43"/>
  <c r="G85" i="43"/>
  <c r="B86" i="43"/>
  <c r="C86" i="43"/>
  <c r="D86" i="43"/>
  <c r="E86" i="43"/>
  <c r="F86" i="43"/>
  <c r="G86" i="43"/>
  <c r="A47" i="43"/>
  <c r="A37" i="43"/>
  <c r="A38" i="43"/>
  <c r="A39" i="43"/>
  <c r="A40" i="43"/>
  <c r="A41" i="43"/>
  <c r="A42" i="43"/>
  <c r="A43" i="43"/>
  <c r="A44" i="43"/>
  <c r="A45" i="43"/>
  <c r="A46" i="43"/>
  <c r="A36" i="43"/>
  <c r="G75" i="43"/>
  <c r="F75" i="43"/>
  <c r="E75" i="43"/>
  <c r="C75" i="43"/>
  <c r="D75" i="43"/>
  <c r="B75" i="43"/>
  <c r="G105" i="43"/>
  <c r="F105" i="43"/>
  <c r="E105" i="43"/>
  <c r="D105" i="43"/>
  <c r="C105" i="43"/>
  <c r="B105" i="43"/>
  <c r="G104" i="43"/>
  <c r="F104" i="43"/>
  <c r="E104" i="43"/>
  <c r="D104" i="43"/>
  <c r="C104" i="43"/>
  <c r="B104" i="43"/>
  <c r="E61" i="43" s="1"/>
  <c r="J61" i="43" s="1"/>
  <c r="K61" i="43" s="1"/>
  <c r="M61" i="43" s="1"/>
  <c r="G103" i="43"/>
  <c r="F103" i="43"/>
  <c r="E103" i="43"/>
  <c r="D103" i="43"/>
  <c r="C103" i="43"/>
  <c r="B103" i="43"/>
  <c r="G102" i="43"/>
  <c r="F102" i="43"/>
  <c r="E102" i="43"/>
  <c r="D102" i="43"/>
  <c r="C102" i="43"/>
  <c r="B102" i="43"/>
  <c r="E59" i="43" s="1"/>
  <c r="J59" i="43" s="1"/>
  <c r="K59" i="43" s="1"/>
  <c r="M59" i="43" s="1"/>
  <c r="G101" i="43"/>
  <c r="F101" i="43"/>
  <c r="E101" i="43"/>
  <c r="D101" i="43"/>
  <c r="C101" i="43"/>
  <c r="B101" i="43"/>
  <c r="G100" i="43"/>
  <c r="F100" i="43"/>
  <c r="E100" i="43"/>
  <c r="D100" i="43"/>
  <c r="C100" i="43"/>
  <c r="B100" i="43"/>
  <c r="G99" i="43"/>
  <c r="F99" i="43"/>
  <c r="E99" i="43"/>
  <c r="D99" i="43"/>
  <c r="C99" i="43"/>
  <c r="B99" i="43"/>
  <c r="G98" i="43"/>
  <c r="F98" i="43"/>
  <c r="E98" i="43"/>
  <c r="D98" i="43"/>
  <c r="C98" i="43"/>
  <c r="B98" i="43"/>
  <c r="G97" i="43"/>
  <c r="F97" i="43"/>
  <c r="E97" i="43"/>
  <c r="D97" i="43"/>
  <c r="C97" i="43"/>
  <c r="B97" i="43"/>
  <c r="G96" i="43"/>
  <c r="F96" i="43"/>
  <c r="E96" i="43"/>
  <c r="D96" i="43"/>
  <c r="C96" i="43"/>
  <c r="B96" i="43"/>
  <c r="G95" i="43"/>
  <c r="F95" i="43"/>
  <c r="E95" i="43"/>
  <c r="D95" i="43"/>
  <c r="C95" i="43"/>
  <c r="B95" i="43"/>
  <c r="G94" i="43"/>
  <c r="F94" i="43"/>
  <c r="E94" i="43"/>
  <c r="C94" i="43"/>
  <c r="D94" i="43"/>
  <c r="B94" i="43"/>
  <c r="A95" i="43"/>
  <c r="A96" i="43"/>
  <c r="A97" i="43"/>
  <c r="A98" i="43"/>
  <c r="A99" i="43"/>
  <c r="A100" i="43"/>
  <c r="A101" i="43"/>
  <c r="A102" i="43"/>
  <c r="A103" i="43"/>
  <c r="A104" i="43"/>
  <c r="A105" i="43"/>
  <c r="A94" i="43"/>
  <c r="A76" i="43"/>
  <c r="A77" i="43"/>
  <c r="A78" i="43"/>
  <c r="A79" i="43"/>
  <c r="A80" i="43"/>
  <c r="A81" i="43"/>
  <c r="A82" i="43"/>
  <c r="A83" i="43"/>
  <c r="A84" i="43"/>
  <c r="A85" i="43"/>
  <c r="A86" i="43"/>
  <c r="A75" i="43"/>
  <c r="W45" i="43"/>
  <c r="V45" i="43"/>
  <c r="L45" i="43"/>
  <c r="I45" i="43"/>
  <c r="J45" i="43" s="1"/>
  <c r="W44" i="43"/>
  <c r="V44" i="43"/>
  <c r="L44" i="43"/>
  <c r="I44" i="43"/>
  <c r="J44" i="43" s="1"/>
  <c r="W43" i="43"/>
  <c r="V43" i="43"/>
  <c r="L43" i="43"/>
  <c r="I43" i="43"/>
  <c r="J43" i="43" s="1"/>
  <c r="K43" i="43" s="1"/>
  <c r="M43" i="43" s="1"/>
  <c r="W42" i="43"/>
  <c r="V42" i="43"/>
  <c r="L42" i="43"/>
  <c r="I42" i="43"/>
  <c r="J42" i="43" s="1"/>
  <c r="W41" i="43"/>
  <c r="V41" i="43"/>
  <c r="I41" i="43"/>
  <c r="J41" i="43" s="1"/>
  <c r="K41" i="43"/>
  <c r="W40" i="43"/>
  <c r="V40" i="43"/>
  <c r="I40" i="43"/>
  <c r="J40" i="43" s="1"/>
  <c r="W39" i="43"/>
  <c r="V39" i="43"/>
  <c r="L39" i="43"/>
  <c r="I39" i="43"/>
  <c r="J39" i="43" s="1"/>
  <c r="K39" i="43" s="1"/>
  <c r="M39" i="43" s="1"/>
  <c r="W38" i="43"/>
  <c r="V38" i="43"/>
  <c r="L38" i="43"/>
  <c r="I38" i="43"/>
  <c r="J38" i="43" s="1"/>
  <c r="K38" i="43" s="1"/>
  <c r="M38" i="43" s="1"/>
  <c r="N38" i="43" s="1"/>
  <c r="O38" i="43" s="1"/>
  <c r="W37" i="43"/>
  <c r="V37" i="43"/>
  <c r="L37" i="43"/>
  <c r="I37" i="43"/>
  <c r="J37" i="43" s="1"/>
  <c r="K37" i="43" s="1"/>
  <c r="M37" i="43" s="1"/>
  <c r="W36" i="43"/>
  <c r="V36" i="43"/>
  <c r="I36" i="43"/>
  <c r="J36" i="43" s="1"/>
  <c r="L36" i="43"/>
  <c r="S46" i="43" l="1"/>
  <c r="U46" i="43" s="1"/>
  <c r="Y46" i="43" s="1"/>
  <c r="N46" i="43"/>
  <c r="O46" i="43" s="1"/>
  <c r="K44" i="43"/>
  <c r="M44" i="43" s="1"/>
  <c r="N44" i="43" s="1"/>
  <c r="O44" i="43" s="1"/>
  <c r="S59" i="43"/>
  <c r="U59" i="43" s="1"/>
  <c r="Y59" i="43" s="1"/>
  <c r="R59" i="43"/>
  <c r="T59" i="43" s="1"/>
  <c r="X59" i="43" s="1"/>
  <c r="N59" i="43"/>
  <c r="O59" i="43" s="1"/>
  <c r="N61" i="43"/>
  <c r="O61" i="43" s="1"/>
  <c r="S61" i="43"/>
  <c r="U61" i="43" s="1"/>
  <c r="Y61" i="43" s="1"/>
  <c r="R61" i="43"/>
  <c r="T61" i="43" s="1"/>
  <c r="X61" i="43" s="1"/>
  <c r="K40" i="43"/>
  <c r="N39" i="43"/>
  <c r="O39" i="43" s="1"/>
  <c r="M40" i="43"/>
  <c r="N37" i="43"/>
  <c r="O37" i="43" s="1"/>
  <c r="M41" i="43"/>
  <c r="K42" i="43"/>
  <c r="M42" i="43" s="1"/>
  <c r="S42" i="43" s="1"/>
  <c r="U42" i="43" s="1"/>
  <c r="Y42" i="43" s="1"/>
  <c r="N43" i="43"/>
  <c r="O43" i="43" s="1"/>
  <c r="K45" i="43"/>
  <c r="M45" i="43" s="1"/>
  <c r="N45" i="43" s="1"/>
  <c r="O45" i="43" s="1"/>
  <c r="S39" i="43"/>
  <c r="U39" i="43" s="1"/>
  <c r="Y39" i="43" s="1"/>
  <c r="K36" i="43"/>
  <c r="M36" i="43" s="1"/>
  <c r="N36" i="43" s="1"/>
  <c r="O36" i="43" s="1"/>
  <c r="S37" i="43"/>
  <c r="U37" i="43" s="1"/>
  <c r="Y37" i="43" s="1"/>
  <c r="S38" i="43"/>
  <c r="U38" i="43" s="1"/>
  <c r="Y38" i="43" s="1"/>
  <c r="S43" i="43"/>
  <c r="U43" i="43" s="1"/>
  <c r="Y43" i="43" s="1"/>
  <c r="R39" i="43"/>
  <c r="T39" i="43" s="1"/>
  <c r="X39" i="43" s="1"/>
  <c r="R38" i="43"/>
  <c r="T38" i="43" s="1"/>
  <c r="X38" i="43" s="1"/>
  <c r="R37" i="43"/>
  <c r="T37" i="43" s="1"/>
  <c r="X37" i="43" s="1"/>
  <c r="L41" i="43"/>
  <c r="R43" i="43"/>
  <c r="T43" i="43" s="1"/>
  <c r="X43" i="43" s="1"/>
  <c r="L40" i="43"/>
  <c r="R44" i="43" l="1"/>
  <c r="T44" i="43" s="1"/>
  <c r="X44" i="43" s="1"/>
  <c r="S44" i="43"/>
  <c r="U44" i="43" s="1"/>
  <c r="Y44" i="43" s="1"/>
  <c r="N41" i="43"/>
  <c r="O41" i="43" s="1"/>
  <c r="R42" i="43"/>
  <c r="T42" i="43" s="1"/>
  <c r="X42" i="43" s="1"/>
  <c r="N42" i="43"/>
  <c r="O42" i="43" s="1"/>
  <c r="N40" i="43"/>
  <c r="O40" i="43" s="1"/>
  <c r="S45" i="43"/>
  <c r="U45" i="43" s="1"/>
  <c r="Y45" i="43" s="1"/>
  <c r="R36" i="43"/>
  <c r="T36" i="43" s="1"/>
  <c r="X36" i="43" s="1"/>
  <c r="S36" i="43"/>
  <c r="U36" i="43" s="1"/>
  <c r="Y36" i="43" s="1"/>
  <c r="R45" i="43"/>
  <c r="T45" i="43" s="1"/>
  <c r="X45" i="43" s="1"/>
  <c r="R40" i="43"/>
  <c r="T40" i="43" s="1"/>
  <c r="X40" i="43" s="1"/>
  <c r="S40" i="43"/>
  <c r="U40" i="43" s="1"/>
  <c r="Y40" i="43" s="1"/>
  <c r="S41" i="43"/>
  <c r="U41" i="43" s="1"/>
  <c r="Y41" i="43" s="1"/>
  <c r="R41" i="43"/>
  <c r="T41" i="43" s="1"/>
  <c r="X41" i="43" s="1"/>
  <c r="V17" i="42" l="1"/>
  <c r="E181" i="42"/>
  <c r="E180" i="42"/>
  <c r="E179" i="42"/>
  <c r="C181" i="42"/>
  <c r="C180" i="42"/>
  <c r="C179" i="42"/>
  <c r="E167" i="42"/>
  <c r="E166" i="42"/>
  <c r="E165" i="42"/>
  <c r="C167" i="42"/>
  <c r="C166" i="42"/>
  <c r="C165" i="42"/>
  <c r="E153" i="42"/>
  <c r="E152" i="42"/>
  <c r="E151" i="42"/>
  <c r="C153" i="42"/>
  <c r="C152" i="42"/>
  <c r="C151" i="42"/>
  <c r="E139" i="42"/>
  <c r="E138" i="42"/>
  <c r="E137" i="42"/>
  <c r="C139" i="42"/>
  <c r="C138" i="42"/>
  <c r="C137" i="42"/>
  <c r="E125" i="42"/>
  <c r="E124" i="42"/>
  <c r="E123" i="42"/>
  <c r="C125" i="42"/>
  <c r="C124" i="42"/>
  <c r="C123" i="42"/>
  <c r="C111" i="42"/>
  <c r="C110" i="42"/>
  <c r="C109" i="42"/>
  <c r="E111" i="42"/>
  <c r="E110" i="42"/>
  <c r="E109" i="42"/>
  <c r="W91" i="42" l="1"/>
  <c r="V91" i="42"/>
  <c r="W90" i="42"/>
  <c r="V90" i="42"/>
  <c r="W89" i="42"/>
  <c r="V89" i="42"/>
  <c r="W88" i="42"/>
  <c r="V88" i="42"/>
  <c r="W87" i="42"/>
  <c r="V87" i="42"/>
  <c r="W86" i="42"/>
  <c r="V86" i="42"/>
  <c r="W85" i="42"/>
  <c r="V85" i="42"/>
  <c r="W84" i="42"/>
  <c r="V84" i="42"/>
  <c r="W83" i="42"/>
  <c r="V83" i="42"/>
  <c r="W82" i="42"/>
  <c r="V82" i="42"/>
  <c r="W78" i="42"/>
  <c r="V78" i="42"/>
  <c r="W77" i="42"/>
  <c r="V77" i="42"/>
  <c r="W76" i="42"/>
  <c r="V76" i="42"/>
  <c r="W75" i="42"/>
  <c r="V75" i="42"/>
  <c r="W74" i="42"/>
  <c r="V74" i="42"/>
  <c r="W73" i="42"/>
  <c r="V73" i="42"/>
  <c r="W72" i="42"/>
  <c r="V72" i="42"/>
  <c r="W71" i="42"/>
  <c r="V71" i="42"/>
  <c r="W70" i="42"/>
  <c r="V70" i="42"/>
  <c r="W69" i="42"/>
  <c r="V69" i="42"/>
  <c r="W65" i="42"/>
  <c r="V65" i="42"/>
  <c r="W64" i="42"/>
  <c r="V64" i="42"/>
  <c r="W63" i="42"/>
  <c r="V63" i="42"/>
  <c r="W62" i="42"/>
  <c r="V62" i="42"/>
  <c r="W61" i="42"/>
  <c r="V61" i="42"/>
  <c r="W60" i="42"/>
  <c r="V60" i="42"/>
  <c r="W59" i="42"/>
  <c r="V59" i="42"/>
  <c r="W58" i="42"/>
  <c r="V58" i="42"/>
  <c r="W57" i="42"/>
  <c r="V57" i="42"/>
  <c r="W56" i="42"/>
  <c r="V56" i="42"/>
  <c r="W52" i="42"/>
  <c r="V52" i="42"/>
  <c r="W51" i="42"/>
  <c r="V51" i="42"/>
  <c r="W50" i="42"/>
  <c r="V50" i="42"/>
  <c r="W49" i="42"/>
  <c r="V49" i="42"/>
  <c r="W48" i="42"/>
  <c r="V48" i="42"/>
  <c r="W47" i="42"/>
  <c r="V47" i="42"/>
  <c r="W46" i="42"/>
  <c r="V46" i="42"/>
  <c r="W45" i="42"/>
  <c r="V45" i="42"/>
  <c r="W44" i="42"/>
  <c r="V44" i="42"/>
  <c r="W43" i="42"/>
  <c r="V43" i="42"/>
  <c r="W39" i="42"/>
  <c r="V39" i="42"/>
  <c r="W38" i="42"/>
  <c r="V38" i="42"/>
  <c r="W37" i="42"/>
  <c r="V37" i="42"/>
  <c r="W36" i="42"/>
  <c r="V36" i="42"/>
  <c r="W35" i="42"/>
  <c r="V35" i="42"/>
  <c r="W34" i="42"/>
  <c r="V34" i="42"/>
  <c r="W33" i="42"/>
  <c r="V33" i="42"/>
  <c r="W32" i="42"/>
  <c r="V32" i="42"/>
  <c r="W31" i="42"/>
  <c r="V31" i="42"/>
  <c r="W30" i="42"/>
  <c r="V30" i="42"/>
  <c r="V18" i="42"/>
  <c r="W18" i="42"/>
  <c r="V19" i="42"/>
  <c r="W19" i="42"/>
  <c r="V20" i="42"/>
  <c r="W20" i="42"/>
  <c r="V21" i="42"/>
  <c r="W21" i="42"/>
  <c r="V22" i="42"/>
  <c r="W22" i="42"/>
  <c r="V23" i="42"/>
  <c r="W23" i="42"/>
  <c r="V24" i="42"/>
  <c r="W24" i="42"/>
  <c r="V25" i="42"/>
  <c r="W25" i="42"/>
  <c r="V26" i="42"/>
  <c r="W26" i="42"/>
  <c r="W17" i="42"/>
  <c r="A84" i="42"/>
  <c r="C84" i="42"/>
  <c r="D84" i="42"/>
  <c r="E84" i="42"/>
  <c r="F84" i="42"/>
  <c r="G84" i="42"/>
  <c r="H84" i="42"/>
  <c r="L84" i="42"/>
  <c r="A85" i="42"/>
  <c r="C85" i="42"/>
  <c r="L85" i="42" s="1"/>
  <c r="D85" i="42"/>
  <c r="E85" i="42"/>
  <c r="F85" i="42"/>
  <c r="G85" i="42"/>
  <c r="I85" i="42" s="1"/>
  <c r="H85" i="42"/>
  <c r="A86" i="42"/>
  <c r="C86" i="42"/>
  <c r="D86" i="42"/>
  <c r="E86" i="42"/>
  <c r="F86" i="42"/>
  <c r="G86" i="42"/>
  <c r="H86" i="42"/>
  <c r="L86" i="42"/>
  <c r="A87" i="42"/>
  <c r="C87" i="42"/>
  <c r="L87" i="42" s="1"/>
  <c r="D87" i="42"/>
  <c r="E87" i="42"/>
  <c r="F87" i="42"/>
  <c r="G87" i="42"/>
  <c r="H87" i="42"/>
  <c r="A88" i="42"/>
  <c r="C88" i="42"/>
  <c r="L88" i="42" s="1"/>
  <c r="D88" i="42"/>
  <c r="E88" i="42"/>
  <c r="F88" i="42"/>
  <c r="G88" i="42"/>
  <c r="I88" i="42" s="1"/>
  <c r="J88" i="42" s="1"/>
  <c r="K88" i="42" s="1"/>
  <c r="M88" i="42" s="1"/>
  <c r="H88" i="42"/>
  <c r="A89" i="42"/>
  <c r="C89" i="42"/>
  <c r="L89" i="42" s="1"/>
  <c r="D89" i="42"/>
  <c r="E89" i="42"/>
  <c r="F89" i="42"/>
  <c r="G89" i="42"/>
  <c r="H89" i="42"/>
  <c r="A90" i="42"/>
  <c r="C90" i="42"/>
  <c r="L90" i="42" s="1"/>
  <c r="D90" i="42"/>
  <c r="E90" i="42"/>
  <c r="F90" i="42"/>
  <c r="G90" i="42"/>
  <c r="H90" i="42"/>
  <c r="A91" i="42"/>
  <c r="C91" i="42"/>
  <c r="L91" i="42" s="1"/>
  <c r="D91" i="42"/>
  <c r="E91" i="42"/>
  <c r="F91" i="42"/>
  <c r="G91" i="42"/>
  <c r="H91" i="42"/>
  <c r="L83" i="42"/>
  <c r="I83" i="42"/>
  <c r="H83" i="42"/>
  <c r="G83" i="42"/>
  <c r="F83" i="42"/>
  <c r="E83" i="42"/>
  <c r="D83" i="42"/>
  <c r="C83" i="42"/>
  <c r="A83" i="42"/>
  <c r="H82" i="42"/>
  <c r="G82" i="42"/>
  <c r="I82" i="42" s="1"/>
  <c r="F82" i="42"/>
  <c r="E82" i="42"/>
  <c r="D82" i="42"/>
  <c r="C82" i="42"/>
  <c r="A82" i="42"/>
  <c r="A70" i="42"/>
  <c r="C70" i="42"/>
  <c r="L70" i="42" s="1"/>
  <c r="D70" i="42"/>
  <c r="E70" i="42"/>
  <c r="F70" i="42"/>
  <c r="G70" i="42"/>
  <c r="H70" i="42"/>
  <c r="I70" i="42" s="1"/>
  <c r="A71" i="42"/>
  <c r="C71" i="42"/>
  <c r="L71" i="42" s="1"/>
  <c r="D71" i="42"/>
  <c r="E71" i="42"/>
  <c r="F71" i="42"/>
  <c r="G71" i="42"/>
  <c r="H71" i="42"/>
  <c r="A72" i="42"/>
  <c r="C72" i="42"/>
  <c r="L72" i="42" s="1"/>
  <c r="D72" i="42"/>
  <c r="E72" i="42"/>
  <c r="F72" i="42"/>
  <c r="G72" i="42"/>
  <c r="H72" i="42"/>
  <c r="A73" i="42"/>
  <c r="C73" i="42"/>
  <c r="L73" i="42" s="1"/>
  <c r="D73" i="42"/>
  <c r="E73" i="42"/>
  <c r="F73" i="42"/>
  <c r="G73" i="42"/>
  <c r="H73" i="42"/>
  <c r="A74" i="42"/>
  <c r="C74" i="42"/>
  <c r="L74" i="42" s="1"/>
  <c r="D74" i="42"/>
  <c r="E74" i="42"/>
  <c r="F74" i="42"/>
  <c r="G74" i="42"/>
  <c r="H74" i="42"/>
  <c r="A75" i="42"/>
  <c r="C75" i="42"/>
  <c r="L75" i="42" s="1"/>
  <c r="D75" i="42"/>
  <c r="E75" i="42"/>
  <c r="F75" i="42"/>
  <c r="G75" i="42"/>
  <c r="H75" i="42"/>
  <c r="A76" i="42"/>
  <c r="C76" i="42"/>
  <c r="L76" i="42" s="1"/>
  <c r="D76" i="42"/>
  <c r="E76" i="42"/>
  <c r="G76" i="42"/>
  <c r="H76" i="42"/>
  <c r="A77" i="42"/>
  <c r="C77" i="42"/>
  <c r="L77" i="42" s="1"/>
  <c r="D77" i="42"/>
  <c r="E77" i="42"/>
  <c r="F77" i="42"/>
  <c r="G77" i="42"/>
  <c r="H77" i="42"/>
  <c r="A78" i="42"/>
  <c r="C78" i="42"/>
  <c r="L78" i="42" s="1"/>
  <c r="D78" i="42"/>
  <c r="E78" i="42"/>
  <c r="F78" i="42"/>
  <c r="G78" i="42"/>
  <c r="H78" i="42"/>
  <c r="H69" i="42"/>
  <c r="G69" i="42"/>
  <c r="F69" i="42"/>
  <c r="E69" i="42"/>
  <c r="D69" i="42"/>
  <c r="C69" i="42"/>
  <c r="L69" i="42" s="1"/>
  <c r="A69" i="42"/>
  <c r="A57" i="42"/>
  <c r="C57" i="42"/>
  <c r="L57" i="42" s="1"/>
  <c r="D57" i="42"/>
  <c r="E57" i="42"/>
  <c r="F57" i="42"/>
  <c r="G57" i="42"/>
  <c r="H57" i="42"/>
  <c r="A58" i="42"/>
  <c r="C58" i="42"/>
  <c r="L58" i="42" s="1"/>
  <c r="D58" i="42"/>
  <c r="E58" i="42"/>
  <c r="F58" i="42"/>
  <c r="G58" i="42"/>
  <c r="H58" i="42"/>
  <c r="A59" i="42"/>
  <c r="C59" i="42"/>
  <c r="D59" i="42"/>
  <c r="E59" i="42"/>
  <c r="F59" i="42"/>
  <c r="G59" i="42"/>
  <c r="H59" i="42"/>
  <c r="L59" i="42"/>
  <c r="A60" i="42"/>
  <c r="C60" i="42"/>
  <c r="L60" i="42" s="1"/>
  <c r="D60" i="42"/>
  <c r="E60" i="42"/>
  <c r="F60" i="42"/>
  <c r="G60" i="42"/>
  <c r="H60" i="42"/>
  <c r="A61" i="42"/>
  <c r="C61" i="42"/>
  <c r="L61" i="42" s="1"/>
  <c r="D61" i="42"/>
  <c r="E61" i="42"/>
  <c r="F61" i="42"/>
  <c r="G61" i="42"/>
  <c r="H61" i="42"/>
  <c r="A62" i="42"/>
  <c r="C62" i="42"/>
  <c r="L62" i="42" s="1"/>
  <c r="D62" i="42"/>
  <c r="E62" i="42"/>
  <c r="F62" i="42"/>
  <c r="G62" i="42"/>
  <c r="H62" i="42"/>
  <c r="A63" i="42"/>
  <c r="C63" i="42"/>
  <c r="L63" i="42" s="1"/>
  <c r="D63" i="42"/>
  <c r="E63" i="42"/>
  <c r="G63" i="42"/>
  <c r="H63" i="42"/>
  <c r="A64" i="42"/>
  <c r="C64" i="42"/>
  <c r="L64" i="42" s="1"/>
  <c r="D64" i="42"/>
  <c r="E64" i="42"/>
  <c r="F64" i="42"/>
  <c r="G64" i="42"/>
  <c r="H64" i="42"/>
  <c r="A65" i="42"/>
  <c r="C65" i="42"/>
  <c r="L65" i="42" s="1"/>
  <c r="D65" i="42"/>
  <c r="E65" i="42"/>
  <c r="F65" i="42"/>
  <c r="G65" i="42"/>
  <c r="H65" i="42"/>
  <c r="H56" i="42"/>
  <c r="G56" i="42"/>
  <c r="F56" i="42"/>
  <c r="E56" i="42"/>
  <c r="D56" i="42"/>
  <c r="C56" i="42"/>
  <c r="L56" i="42" s="1"/>
  <c r="A56" i="42"/>
  <c r="A44" i="42"/>
  <c r="C44" i="42"/>
  <c r="L44" i="42" s="1"/>
  <c r="D44" i="42"/>
  <c r="E44" i="42"/>
  <c r="F44" i="42"/>
  <c r="G44" i="42"/>
  <c r="H44" i="42"/>
  <c r="A45" i="42"/>
  <c r="C45" i="42"/>
  <c r="L45" i="42" s="1"/>
  <c r="D45" i="42"/>
  <c r="E45" i="42"/>
  <c r="F45" i="42"/>
  <c r="G45" i="42"/>
  <c r="H45" i="42"/>
  <c r="A46" i="42"/>
  <c r="C46" i="42"/>
  <c r="L46" i="42" s="1"/>
  <c r="D46" i="42"/>
  <c r="E46" i="42"/>
  <c r="F46" i="42"/>
  <c r="G46" i="42"/>
  <c r="H46" i="42"/>
  <c r="A47" i="42"/>
  <c r="C47" i="42"/>
  <c r="L47" i="42" s="1"/>
  <c r="D47" i="42"/>
  <c r="E47" i="42"/>
  <c r="F47" i="42"/>
  <c r="G47" i="42"/>
  <c r="H47" i="42"/>
  <c r="A48" i="42"/>
  <c r="C48" i="42"/>
  <c r="L48" i="42" s="1"/>
  <c r="D48" i="42"/>
  <c r="E48" i="42"/>
  <c r="F48" i="42"/>
  <c r="G48" i="42"/>
  <c r="H48" i="42"/>
  <c r="A49" i="42"/>
  <c r="C49" i="42"/>
  <c r="L49" i="42" s="1"/>
  <c r="D49" i="42"/>
  <c r="E49" i="42"/>
  <c r="F49" i="42"/>
  <c r="G49" i="42"/>
  <c r="H49" i="42"/>
  <c r="A50" i="42"/>
  <c r="C50" i="42"/>
  <c r="L50" i="42" s="1"/>
  <c r="D50" i="42"/>
  <c r="E50" i="42"/>
  <c r="F50" i="42"/>
  <c r="G50" i="42"/>
  <c r="H50" i="42"/>
  <c r="A51" i="42"/>
  <c r="C51" i="42"/>
  <c r="L51" i="42" s="1"/>
  <c r="D51" i="42"/>
  <c r="E51" i="42"/>
  <c r="F51" i="42"/>
  <c r="G51" i="42"/>
  <c r="H51" i="42"/>
  <c r="A52" i="42"/>
  <c r="C52" i="42"/>
  <c r="L52" i="42" s="1"/>
  <c r="D52" i="42"/>
  <c r="E52" i="42"/>
  <c r="F52" i="42"/>
  <c r="G52" i="42"/>
  <c r="H52" i="42"/>
  <c r="H43" i="42"/>
  <c r="G43" i="42"/>
  <c r="F43" i="42"/>
  <c r="E43" i="42"/>
  <c r="D43" i="42"/>
  <c r="C43" i="42"/>
  <c r="A43" i="42"/>
  <c r="C31" i="42"/>
  <c r="L31" i="42" s="1"/>
  <c r="D31" i="42"/>
  <c r="E31" i="42"/>
  <c r="F31" i="42"/>
  <c r="G31" i="42"/>
  <c r="H31" i="42"/>
  <c r="C32" i="42"/>
  <c r="L32" i="42" s="1"/>
  <c r="D32" i="42"/>
  <c r="E32" i="42"/>
  <c r="F32" i="42"/>
  <c r="G32" i="42"/>
  <c r="H32" i="42"/>
  <c r="C33" i="42"/>
  <c r="D33" i="42"/>
  <c r="E33" i="42"/>
  <c r="F33" i="42"/>
  <c r="G33" i="42"/>
  <c r="H33" i="42"/>
  <c r="C34" i="42"/>
  <c r="L34" i="42" s="1"/>
  <c r="D34" i="42"/>
  <c r="E34" i="42"/>
  <c r="F34" i="42"/>
  <c r="G34" i="42"/>
  <c r="H34" i="42"/>
  <c r="C35" i="42"/>
  <c r="L35" i="42" s="1"/>
  <c r="D35" i="42"/>
  <c r="E35" i="42"/>
  <c r="F35" i="42"/>
  <c r="G35" i="42"/>
  <c r="H35" i="42"/>
  <c r="C36" i="42"/>
  <c r="L36" i="42" s="1"/>
  <c r="D36" i="42"/>
  <c r="E36" i="42"/>
  <c r="F36" i="42"/>
  <c r="G36" i="42"/>
  <c r="H36" i="42"/>
  <c r="C37" i="42"/>
  <c r="L37" i="42" s="1"/>
  <c r="D37" i="42"/>
  <c r="E37" i="42"/>
  <c r="F37" i="42"/>
  <c r="G37" i="42"/>
  <c r="H37" i="42"/>
  <c r="C38" i="42"/>
  <c r="D38" i="42"/>
  <c r="E38" i="42"/>
  <c r="F38" i="42"/>
  <c r="G38" i="42"/>
  <c r="H38" i="42"/>
  <c r="C39" i="42"/>
  <c r="L39" i="42" s="1"/>
  <c r="D39" i="42"/>
  <c r="E39" i="42"/>
  <c r="F39" i="42"/>
  <c r="G39" i="42"/>
  <c r="H39" i="42"/>
  <c r="H30" i="42"/>
  <c r="G30" i="42"/>
  <c r="F30" i="42"/>
  <c r="E30" i="42"/>
  <c r="D30" i="42"/>
  <c r="C30" i="42"/>
  <c r="A31" i="42"/>
  <c r="A32" i="42"/>
  <c r="A33" i="42"/>
  <c r="A34" i="42"/>
  <c r="A35" i="42"/>
  <c r="A36" i="42"/>
  <c r="A37" i="42"/>
  <c r="A38" i="42"/>
  <c r="A39" i="42"/>
  <c r="A30" i="42"/>
  <c r="C24" i="42"/>
  <c r="L24" i="42" s="1"/>
  <c r="D24" i="42"/>
  <c r="E24" i="42"/>
  <c r="F24" i="42"/>
  <c r="G24" i="42"/>
  <c r="H24" i="42"/>
  <c r="C25" i="42"/>
  <c r="L25" i="42" s="1"/>
  <c r="D25" i="42"/>
  <c r="E25" i="42"/>
  <c r="F25" i="42"/>
  <c r="G25" i="42"/>
  <c r="H25" i="42"/>
  <c r="C26" i="42"/>
  <c r="L26" i="42" s="1"/>
  <c r="D26" i="42"/>
  <c r="E26" i="42"/>
  <c r="F26" i="42"/>
  <c r="G26" i="42"/>
  <c r="H26" i="42"/>
  <c r="A24" i="42"/>
  <c r="A25" i="42"/>
  <c r="A26" i="42"/>
  <c r="I57" i="42" l="1"/>
  <c r="I59" i="42"/>
  <c r="J59" i="42" s="1"/>
  <c r="K59" i="42" s="1"/>
  <c r="M59" i="42" s="1"/>
  <c r="N59" i="42" s="1"/>
  <c r="O59" i="42" s="1"/>
  <c r="I84" i="42"/>
  <c r="J84" i="42" s="1"/>
  <c r="K84" i="42" s="1"/>
  <c r="M84" i="42" s="1"/>
  <c r="N84" i="42" s="1"/>
  <c r="O84" i="42" s="1"/>
  <c r="I51" i="42"/>
  <c r="J57" i="42"/>
  <c r="K57" i="42" s="1"/>
  <c r="M57" i="42" s="1"/>
  <c r="J70" i="42"/>
  <c r="K70" i="42" s="1"/>
  <c r="M70" i="42" s="1"/>
  <c r="I44" i="42"/>
  <c r="J44" i="42" s="1"/>
  <c r="K44" i="42" s="1"/>
  <c r="M44" i="42" s="1"/>
  <c r="I56" i="42"/>
  <c r="I78" i="42"/>
  <c r="I63" i="42"/>
  <c r="I43" i="42"/>
  <c r="J43" i="42" s="1"/>
  <c r="K43" i="42" s="1"/>
  <c r="M43" i="42" s="1"/>
  <c r="J82" i="42"/>
  <c r="K82" i="42" s="1"/>
  <c r="M82" i="42" s="1"/>
  <c r="N88" i="42"/>
  <c r="O88" i="42" s="1"/>
  <c r="I75" i="42"/>
  <c r="J75" i="42" s="1"/>
  <c r="K75" i="42" s="1"/>
  <c r="M75" i="42" s="1"/>
  <c r="I86" i="42"/>
  <c r="J86" i="42" s="1"/>
  <c r="K86" i="42" s="1"/>
  <c r="M86" i="42" s="1"/>
  <c r="N86" i="42" s="1"/>
  <c r="O86" i="42" s="1"/>
  <c r="I31" i="42"/>
  <c r="I50" i="42"/>
  <c r="J50" i="42" s="1"/>
  <c r="K50" i="42" s="1"/>
  <c r="M50" i="42" s="1"/>
  <c r="N50" i="42" s="1"/>
  <c r="O50" i="42" s="1"/>
  <c r="I60" i="42"/>
  <c r="J60" i="42" s="1"/>
  <c r="K60" i="42" s="1"/>
  <c r="M60" i="42" s="1"/>
  <c r="N60" i="42" s="1"/>
  <c r="O60" i="42" s="1"/>
  <c r="I64" i="42"/>
  <c r="J64" i="42" s="1"/>
  <c r="K64" i="42" s="1"/>
  <c r="M64" i="42" s="1"/>
  <c r="N64" i="42" s="1"/>
  <c r="O64" i="42" s="1"/>
  <c r="I49" i="42"/>
  <c r="J49" i="42" s="1"/>
  <c r="K49" i="42" s="1"/>
  <c r="M49" i="42" s="1"/>
  <c r="I32" i="42"/>
  <c r="T57" i="42"/>
  <c r="X57" i="42" s="1"/>
  <c r="I71" i="42"/>
  <c r="J71" i="42" s="1"/>
  <c r="K71" i="42" s="1"/>
  <c r="M71" i="42" s="1"/>
  <c r="T71" i="42" s="1"/>
  <c r="X71" i="42" s="1"/>
  <c r="I45" i="42"/>
  <c r="J45" i="42" s="1"/>
  <c r="K45" i="42" s="1"/>
  <c r="M45" i="42" s="1"/>
  <c r="I61" i="42"/>
  <c r="J61" i="42" s="1"/>
  <c r="K61" i="42" s="1"/>
  <c r="M61" i="42" s="1"/>
  <c r="N61" i="42" s="1"/>
  <c r="O61" i="42" s="1"/>
  <c r="I52" i="42"/>
  <c r="J52" i="42" s="1"/>
  <c r="K52" i="42" s="1"/>
  <c r="M52" i="42" s="1"/>
  <c r="N52" i="42" s="1"/>
  <c r="O52" i="42" s="1"/>
  <c r="I46" i="42"/>
  <c r="J46" i="42" s="1"/>
  <c r="K46" i="42" s="1"/>
  <c r="M46" i="42" s="1"/>
  <c r="N46" i="42" s="1"/>
  <c r="O46" i="42" s="1"/>
  <c r="I58" i="42"/>
  <c r="J58" i="42" s="1"/>
  <c r="I91" i="42"/>
  <c r="J91" i="42" s="1"/>
  <c r="K91" i="42" s="1"/>
  <c r="M91" i="42" s="1"/>
  <c r="N91" i="42" s="1"/>
  <c r="O91" i="42" s="1"/>
  <c r="I76" i="42"/>
  <c r="J76" i="42" s="1"/>
  <c r="K76" i="42" s="1"/>
  <c r="M76" i="42" s="1"/>
  <c r="N76" i="42" s="1"/>
  <c r="O76" i="42" s="1"/>
  <c r="I73" i="42"/>
  <c r="J73" i="42" s="1"/>
  <c r="K73" i="42" s="1"/>
  <c r="M73" i="42" s="1"/>
  <c r="J56" i="42"/>
  <c r="K56" i="42" s="1"/>
  <c r="M56" i="42" s="1"/>
  <c r="N56" i="42" s="1"/>
  <c r="O56" i="42" s="1"/>
  <c r="I47" i="42"/>
  <c r="J47" i="42" s="1"/>
  <c r="K47" i="42" s="1"/>
  <c r="M47" i="42" s="1"/>
  <c r="I89" i="42"/>
  <c r="J89" i="42" s="1"/>
  <c r="K89" i="42" s="1"/>
  <c r="M89" i="42" s="1"/>
  <c r="N89" i="42" s="1"/>
  <c r="O89" i="42" s="1"/>
  <c r="I62" i="42"/>
  <c r="J62" i="42" s="1"/>
  <c r="K62" i="42" s="1"/>
  <c r="M62" i="42" s="1"/>
  <c r="I74" i="42"/>
  <c r="J74" i="42" s="1"/>
  <c r="K74" i="42" s="1"/>
  <c r="M74" i="42" s="1"/>
  <c r="N74" i="42" s="1"/>
  <c r="O74" i="42" s="1"/>
  <c r="I48" i="42"/>
  <c r="J48" i="42" s="1"/>
  <c r="K48" i="42" s="1"/>
  <c r="M48" i="42" s="1"/>
  <c r="N48" i="42" s="1"/>
  <c r="O48" i="42" s="1"/>
  <c r="I65" i="42"/>
  <c r="J65" i="42" s="1"/>
  <c r="K65" i="42" s="1"/>
  <c r="M65" i="42" s="1"/>
  <c r="N65" i="42" s="1"/>
  <c r="O65" i="42" s="1"/>
  <c r="I69" i="42"/>
  <c r="J69" i="42" s="1"/>
  <c r="K69" i="42" s="1"/>
  <c r="M69" i="42" s="1"/>
  <c r="I77" i="42"/>
  <c r="J77" i="42" s="1"/>
  <c r="K77" i="42" s="1"/>
  <c r="M77" i="42" s="1"/>
  <c r="U77" i="42" s="1"/>
  <c r="Y77" i="42" s="1"/>
  <c r="I87" i="42"/>
  <c r="J87" i="42" s="1"/>
  <c r="K87" i="42" s="1"/>
  <c r="M87" i="42" s="1"/>
  <c r="N87" i="42" s="1"/>
  <c r="O87" i="42" s="1"/>
  <c r="J51" i="42"/>
  <c r="I72" i="42"/>
  <c r="J72" i="42" s="1"/>
  <c r="K72" i="42" s="1"/>
  <c r="M72" i="42" s="1"/>
  <c r="T72" i="42" s="1"/>
  <c r="X72" i="42" s="1"/>
  <c r="I90" i="42"/>
  <c r="J90" i="42" s="1"/>
  <c r="K90" i="42" s="1"/>
  <c r="M90" i="42" s="1"/>
  <c r="N90" i="42" s="1"/>
  <c r="O90" i="42" s="1"/>
  <c r="N70" i="42"/>
  <c r="O70" i="42" s="1"/>
  <c r="J31" i="42"/>
  <c r="K31" i="42" s="1"/>
  <c r="M31" i="42" s="1"/>
  <c r="N31" i="42" s="1"/>
  <c r="O31" i="42" s="1"/>
  <c r="J63" i="42"/>
  <c r="K63" i="42" s="1"/>
  <c r="M63" i="42" s="1"/>
  <c r="N63" i="42" s="1"/>
  <c r="O63" i="42" s="1"/>
  <c r="J78" i="42"/>
  <c r="K78" i="42" s="1"/>
  <c r="M78" i="42" s="1"/>
  <c r="U78" i="42" s="1"/>
  <c r="Y78" i="42" s="1"/>
  <c r="J83" i="42"/>
  <c r="K83" i="42" s="1"/>
  <c r="M83" i="42" s="1"/>
  <c r="U83" i="42" s="1"/>
  <c r="Y83" i="42" s="1"/>
  <c r="J85" i="42"/>
  <c r="K85" i="42" s="1"/>
  <c r="M85" i="42" s="1"/>
  <c r="N85" i="42" s="1"/>
  <c r="O85" i="42" s="1"/>
  <c r="T86" i="42"/>
  <c r="X86" i="42" s="1"/>
  <c r="T84" i="42"/>
  <c r="X84" i="42" s="1"/>
  <c r="T88" i="42"/>
  <c r="X88" i="42" s="1"/>
  <c r="U88" i="42"/>
  <c r="Y88" i="42" s="1"/>
  <c r="U86" i="42"/>
  <c r="Y86" i="42" s="1"/>
  <c r="U84" i="42"/>
  <c r="Y84" i="42" s="1"/>
  <c r="L82" i="42"/>
  <c r="N57" i="42"/>
  <c r="O57" i="42" s="1"/>
  <c r="T46" i="42"/>
  <c r="X46" i="42" s="1"/>
  <c r="T70" i="42"/>
  <c r="X70" i="42" s="1"/>
  <c r="U70" i="42"/>
  <c r="Y70" i="42" s="1"/>
  <c r="K58" i="42"/>
  <c r="M58" i="42" s="1"/>
  <c r="N58" i="42" s="1"/>
  <c r="O58" i="42" s="1"/>
  <c r="T59" i="42"/>
  <c r="X59" i="42" s="1"/>
  <c r="U65" i="42"/>
  <c r="Y65" i="42" s="1"/>
  <c r="U59" i="42"/>
  <c r="Y59" i="42" s="1"/>
  <c r="U57" i="42"/>
  <c r="Y57" i="42" s="1"/>
  <c r="K51" i="42"/>
  <c r="M51" i="42" s="1"/>
  <c r="U52" i="42"/>
  <c r="Y52" i="42" s="1"/>
  <c r="U50" i="42"/>
  <c r="Y50" i="42" s="1"/>
  <c r="U48" i="42"/>
  <c r="Y48" i="42" s="1"/>
  <c r="U46" i="42"/>
  <c r="Y46" i="42" s="1"/>
  <c r="I34" i="42"/>
  <c r="J34" i="42" s="1"/>
  <c r="K34" i="42" s="1"/>
  <c r="M34" i="42" s="1"/>
  <c r="N34" i="42" s="1"/>
  <c r="O34" i="42" s="1"/>
  <c r="I39" i="42"/>
  <c r="J39" i="42" s="1"/>
  <c r="K39" i="42" s="1"/>
  <c r="M39" i="42" s="1"/>
  <c r="N39" i="42" s="1"/>
  <c r="O39" i="42" s="1"/>
  <c r="I33" i="42"/>
  <c r="J33" i="42" s="1"/>
  <c r="K33" i="42" s="1"/>
  <c r="M33" i="42" s="1"/>
  <c r="I26" i="42"/>
  <c r="J26" i="42" s="1"/>
  <c r="K26" i="42" s="1"/>
  <c r="M26" i="42" s="1"/>
  <c r="N26" i="42" s="1"/>
  <c r="O26" i="42" s="1"/>
  <c r="I36" i="42"/>
  <c r="J36" i="42" s="1"/>
  <c r="K36" i="42" s="1"/>
  <c r="M36" i="42" s="1"/>
  <c r="N36" i="42" s="1"/>
  <c r="O36" i="42" s="1"/>
  <c r="I25" i="42"/>
  <c r="J25" i="42" s="1"/>
  <c r="K25" i="42" s="1"/>
  <c r="M25" i="42" s="1"/>
  <c r="N25" i="42" s="1"/>
  <c r="O25" i="42" s="1"/>
  <c r="I37" i="42"/>
  <c r="J37" i="42" s="1"/>
  <c r="K37" i="42" s="1"/>
  <c r="M37" i="42" s="1"/>
  <c r="T37" i="42" s="1"/>
  <c r="X37" i="42" s="1"/>
  <c r="I24" i="42"/>
  <c r="J24" i="42" s="1"/>
  <c r="K24" i="42" s="1"/>
  <c r="M24" i="42" s="1"/>
  <c r="U24" i="42" s="1"/>
  <c r="Y24" i="42" s="1"/>
  <c r="J32" i="42"/>
  <c r="K32" i="42" s="1"/>
  <c r="M32" i="42" s="1"/>
  <c r="I38" i="42"/>
  <c r="J38" i="42" s="1"/>
  <c r="K38" i="42" s="1"/>
  <c r="M38" i="42" s="1"/>
  <c r="I35" i="42"/>
  <c r="J35" i="42" s="1"/>
  <c r="K35" i="42" s="1"/>
  <c r="M35" i="42" s="1"/>
  <c r="N35" i="42" s="1"/>
  <c r="O35" i="42" s="1"/>
  <c r="L43" i="42"/>
  <c r="L38" i="42"/>
  <c r="L33" i="42"/>
  <c r="A18" i="42"/>
  <c r="A19" i="42"/>
  <c r="A20" i="42"/>
  <c r="A21" i="42"/>
  <c r="A22" i="42"/>
  <c r="A23" i="42"/>
  <c r="C18" i="42"/>
  <c r="L18" i="42" s="1"/>
  <c r="D18" i="42"/>
  <c r="E18" i="42"/>
  <c r="F18" i="42"/>
  <c r="G18" i="42"/>
  <c r="H18" i="42"/>
  <c r="C19" i="42"/>
  <c r="L19" i="42" s="1"/>
  <c r="D19" i="42"/>
  <c r="E19" i="42"/>
  <c r="F19" i="42"/>
  <c r="G19" i="42"/>
  <c r="H19" i="42"/>
  <c r="C20" i="42"/>
  <c r="L20" i="42" s="1"/>
  <c r="D20" i="42"/>
  <c r="E20" i="42"/>
  <c r="F20" i="42"/>
  <c r="G20" i="42"/>
  <c r="H20" i="42"/>
  <c r="C21" i="42"/>
  <c r="L21" i="42" s="1"/>
  <c r="D21" i="42"/>
  <c r="E21" i="42"/>
  <c r="F21" i="42"/>
  <c r="G21" i="42"/>
  <c r="H21" i="42"/>
  <c r="C22" i="42"/>
  <c r="L22" i="42" s="1"/>
  <c r="D22" i="42"/>
  <c r="E22" i="42"/>
  <c r="F22" i="42"/>
  <c r="G22" i="42"/>
  <c r="H22" i="42"/>
  <c r="C23" i="42"/>
  <c r="L23" i="42" s="1"/>
  <c r="D23" i="42"/>
  <c r="E23" i="42"/>
  <c r="F23" i="42"/>
  <c r="G23" i="42"/>
  <c r="H23" i="42"/>
  <c r="H17" i="42"/>
  <c r="G17" i="42"/>
  <c r="F17" i="42"/>
  <c r="E17" i="42"/>
  <c r="D17" i="42"/>
  <c r="C17" i="42"/>
  <c r="L17" i="42" s="1"/>
  <c r="A17" i="42"/>
  <c r="L30" i="42"/>
  <c r="T65" i="42" l="1"/>
  <c r="X65" i="42" s="1"/>
  <c r="U90" i="42"/>
  <c r="Y90" i="42" s="1"/>
  <c r="N44" i="42"/>
  <c r="O44" i="42" s="1"/>
  <c r="U44" i="42"/>
  <c r="Y44" i="42" s="1"/>
  <c r="U74" i="42"/>
  <c r="Y74" i="42" s="1"/>
  <c r="U31" i="42"/>
  <c r="Y31" i="42" s="1"/>
  <c r="T78" i="42"/>
  <c r="X78" i="42" s="1"/>
  <c r="T61" i="42"/>
  <c r="X61" i="42" s="1"/>
  <c r="U61" i="42"/>
  <c r="Y61" i="42" s="1"/>
  <c r="T31" i="42"/>
  <c r="X31" i="42" s="1"/>
  <c r="T52" i="42"/>
  <c r="X52" i="42" s="1"/>
  <c r="T44" i="42"/>
  <c r="X44" i="42" s="1"/>
  <c r="T63" i="42"/>
  <c r="X63" i="42" s="1"/>
  <c r="I19" i="42"/>
  <c r="J19" i="42" s="1"/>
  <c r="K19" i="42" s="1"/>
  <c r="T48" i="42"/>
  <c r="X48" i="42" s="1"/>
  <c r="T90" i="42"/>
  <c r="X90" i="42" s="1"/>
  <c r="N78" i="42"/>
  <c r="O78" i="42" s="1"/>
  <c r="T50" i="42"/>
  <c r="X50" i="42" s="1"/>
  <c r="U63" i="42"/>
  <c r="Y63" i="42" s="1"/>
  <c r="T74" i="42"/>
  <c r="X74" i="42" s="1"/>
  <c r="N72" i="42"/>
  <c r="O72" i="42" s="1"/>
  <c r="U72" i="42"/>
  <c r="Y72" i="42" s="1"/>
  <c r="T91" i="42"/>
  <c r="X91" i="42" s="1"/>
  <c r="U91" i="42"/>
  <c r="Y91" i="42" s="1"/>
  <c r="T76" i="42"/>
  <c r="X76" i="42" s="1"/>
  <c r="T89" i="42"/>
  <c r="X89" i="42" s="1"/>
  <c r="U89" i="42"/>
  <c r="Y89" i="42" s="1"/>
  <c r="U76" i="42"/>
  <c r="Y76" i="42" s="1"/>
  <c r="T87" i="42"/>
  <c r="X87" i="42" s="1"/>
  <c r="T85" i="42"/>
  <c r="X85" i="42" s="1"/>
  <c r="U87" i="42"/>
  <c r="Y87" i="42" s="1"/>
  <c r="U85" i="42"/>
  <c r="Y85" i="42" s="1"/>
  <c r="U82" i="42"/>
  <c r="Y82" i="42" s="1"/>
  <c r="T82" i="42"/>
  <c r="X82" i="42" s="1"/>
  <c r="N82" i="42"/>
  <c r="O82" i="42" s="1"/>
  <c r="T83" i="42"/>
  <c r="X83" i="42" s="1"/>
  <c r="N83" i="42"/>
  <c r="O83" i="42" s="1"/>
  <c r="T56" i="42"/>
  <c r="X56" i="42" s="1"/>
  <c r="N71" i="42"/>
  <c r="O71" i="42" s="1"/>
  <c r="U56" i="42"/>
  <c r="Y56" i="42" s="1"/>
  <c r="T77" i="42"/>
  <c r="X77" i="42" s="1"/>
  <c r="U64" i="42"/>
  <c r="Y64" i="42" s="1"/>
  <c r="U71" i="42"/>
  <c r="Y71" i="42" s="1"/>
  <c r="N77" i="42"/>
  <c r="O77" i="42" s="1"/>
  <c r="U75" i="42"/>
  <c r="Y75" i="42" s="1"/>
  <c r="N75" i="42"/>
  <c r="O75" i="42" s="1"/>
  <c r="T75" i="42"/>
  <c r="X75" i="42" s="1"/>
  <c r="U73" i="42"/>
  <c r="Y73" i="42" s="1"/>
  <c r="N73" i="42"/>
  <c r="O73" i="42" s="1"/>
  <c r="T73" i="42"/>
  <c r="X73" i="42" s="1"/>
  <c r="U69" i="42"/>
  <c r="Y69" i="42" s="1"/>
  <c r="T69" i="42"/>
  <c r="X69" i="42" s="1"/>
  <c r="N69" i="42"/>
  <c r="O69" i="42" s="1"/>
  <c r="N62" i="42"/>
  <c r="O62" i="42" s="1"/>
  <c r="T62" i="42"/>
  <c r="X62" i="42" s="1"/>
  <c r="U62" i="42"/>
  <c r="Y62" i="42" s="1"/>
  <c r="T64" i="42"/>
  <c r="X64" i="42" s="1"/>
  <c r="U58" i="42"/>
  <c r="Y58" i="42" s="1"/>
  <c r="T58" i="42"/>
  <c r="X58" i="42" s="1"/>
  <c r="U60" i="42"/>
  <c r="Y60" i="42" s="1"/>
  <c r="T60" i="42"/>
  <c r="X60" i="42" s="1"/>
  <c r="U47" i="42"/>
  <c r="Y47" i="42" s="1"/>
  <c r="N47" i="42"/>
  <c r="O47" i="42" s="1"/>
  <c r="T47" i="42"/>
  <c r="X47" i="42" s="1"/>
  <c r="N49" i="42"/>
  <c r="O49" i="42" s="1"/>
  <c r="T49" i="42"/>
  <c r="X49" i="42" s="1"/>
  <c r="U49" i="42"/>
  <c r="Y49" i="42" s="1"/>
  <c r="N45" i="42"/>
  <c r="O45" i="42" s="1"/>
  <c r="T45" i="42"/>
  <c r="X45" i="42" s="1"/>
  <c r="U45" i="42"/>
  <c r="Y45" i="42" s="1"/>
  <c r="U51" i="42"/>
  <c r="Y51" i="42" s="1"/>
  <c r="N51" i="42"/>
  <c r="O51" i="42" s="1"/>
  <c r="T51" i="42"/>
  <c r="X51" i="42" s="1"/>
  <c r="T24" i="42"/>
  <c r="X24" i="42" s="1"/>
  <c r="N38" i="42"/>
  <c r="O38" i="42" s="1"/>
  <c r="U36" i="42"/>
  <c r="Y36" i="42" s="1"/>
  <c r="T36" i="42"/>
  <c r="X36" i="42" s="1"/>
  <c r="U34" i="42"/>
  <c r="Y34" i="42" s="1"/>
  <c r="T34" i="42"/>
  <c r="X34" i="42" s="1"/>
  <c r="N33" i="42"/>
  <c r="O33" i="42" s="1"/>
  <c r="N32" i="42"/>
  <c r="O32" i="42" s="1"/>
  <c r="T32" i="42"/>
  <c r="X32" i="42" s="1"/>
  <c r="U32" i="42"/>
  <c r="Y32" i="42" s="1"/>
  <c r="N37" i="42"/>
  <c r="O37" i="42" s="1"/>
  <c r="N43" i="42"/>
  <c r="O43" i="42" s="1"/>
  <c r="U37" i="42"/>
  <c r="Y37" i="42" s="1"/>
  <c r="N24" i="42"/>
  <c r="O24" i="42" s="1"/>
  <c r="U43" i="42"/>
  <c r="Y43" i="42" s="1"/>
  <c r="T43" i="42"/>
  <c r="X43" i="42" s="1"/>
  <c r="U35" i="42"/>
  <c r="Y35" i="42" s="1"/>
  <c r="U33" i="42"/>
  <c r="Y33" i="42" s="1"/>
  <c r="T33" i="42"/>
  <c r="X33" i="42" s="1"/>
  <c r="T35" i="42"/>
  <c r="X35" i="42" s="1"/>
  <c r="T38" i="42"/>
  <c r="X38" i="42" s="1"/>
  <c r="U38" i="42"/>
  <c r="Y38" i="42" s="1"/>
  <c r="U39" i="42"/>
  <c r="Y39" i="42" s="1"/>
  <c r="T39" i="42"/>
  <c r="X39" i="42" s="1"/>
  <c r="T26" i="42"/>
  <c r="X26" i="42" s="1"/>
  <c r="U26" i="42"/>
  <c r="Y26" i="42" s="1"/>
  <c r="U25" i="42"/>
  <c r="Y25" i="42" s="1"/>
  <c r="T25" i="42"/>
  <c r="X25" i="42" s="1"/>
  <c r="I17" i="42"/>
  <c r="J17" i="42" s="1"/>
  <c r="K17" i="42" s="1"/>
  <c r="I22" i="42"/>
  <c r="J22" i="42" s="1"/>
  <c r="K22" i="42" s="1"/>
  <c r="I20" i="42"/>
  <c r="J20" i="42" s="1"/>
  <c r="K20" i="42" s="1"/>
  <c r="I18" i="42"/>
  <c r="J18" i="42" s="1"/>
  <c r="K18" i="42" s="1"/>
  <c r="I23" i="42"/>
  <c r="J23" i="42" s="1"/>
  <c r="K23" i="42" s="1"/>
  <c r="I30" i="42"/>
  <c r="J30" i="42" s="1"/>
  <c r="K30" i="42" s="1"/>
  <c r="I21" i="42"/>
  <c r="J21" i="42" s="1"/>
  <c r="K21" i="42" s="1"/>
  <c r="M30" i="42" l="1"/>
  <c r="M20" i="42"/>
  <c r="M23" i="42"/>
  <c r="M18" i="42"/>
  <c r="M19" i="42"/>
  <c r="M22" i="42"/>
  <c r="N22" i="42" s="1"/>
  <c r="O22" i="42" s="1"/>
  <c r="M21" i="42"/>
  <c r="N21" i="42" s="1"/>
  <c r="O21" i="42" s="1"/>
  <c r="M17" i="42"/>
  <c r="U19" i="42" l="1"/>
  <c r="Y19" i="42" s="1"/>
  <c r="T19" i="42"/>
  <c r="X19" i="42" s="1"/>
  <c r="U21" i="42"/>
  <c r="Y21" i="42" s="1"/>
  <c r="T21" i="42"/>
  <c r="X21" i="42" s="1"/>
  <c r="N19" i="42"/>
  <c r="O19" i="42" s="1"/>
  <c r="T20" i="42"/>
  <c r="X20" i="42" s="1"/>
  <c r="U20" i="42"/>
  <c r="Y20" i="42" s="1"/>
  <c r="U22" i="42"/>
  <c r="Y22" i="42" s="1"/>
  <c r="T22" i="42"/>
  <c r="X22" i="42" s="1"/>
  <c r="N20" i="42"/>
  <c r="O20" i="42" s="1"/>
  <c r="U18" i="42"/>
  <c r="Y18" i="42" s="1"/>
  <c r="T18" i="42"/>
  <c r="X18" i="42" s="1"/>
  <c r="N18" i="42"/>
  <c r="O18" i="42" s="1"/>
  <c r="U23" i="42"/>
  <c r="Y23" i="42" s="1"/>
  <c r="T23" i="42"/>
  <c r="X23" i="42" s="1"/>
  <c r="U30" i="42"/>
  <c r="Y30" i="42" s="1"/>
  <c r="T30" i="42"/>
  <c r="X30" i="42" s="1"/>
  <c r="N23" i="42"/>
  <c r="O23" i="42" s="1"/>
  <c r="N30" i="42"/>
  <c r="O30" i="42" s="1"/>
  <c r="U17" i="42"/>
  <c r="Y17" i="42" s="1"/>
  <c r="T17" i="42"/>
  <c r="X17" i="42" s="1"/>
</calcChain>
</file>

<file path=xl/sharedStrings.xml><?xml version="1.0" encoding="utf-8"?>
<sst xmlns="http://schemas.openxmlformats.org/spreadsheetml/2006/main" count="6187" uniqueCount="1481">
  <si>
    <t>Laboratory</t>
  </si>
  <si>
    <t>Cylinder</t>
  </si>
  <si>
    <t>VNIIM</t>
  </si>
  <si>
    <r>
      <t>T</t>
    </r>
    <r>
      <rPr>
        <sz val="10"/>
        <color rgb="FF000000"/>
        <rFont val="Times New Roman"/>
        <family val="1"/>
      </rPr>
      <t>ransition Point</t>
    </r>
    <phoneticPr fontId="4"/>
  </si>
  <si>
    <t>Transition Point 2</t>
    <phoneticPr fontId="4"/>
  </si>
  <si>
    <r>
      <rPr>
        <i/>
        <sz val="10"/>
        <rFont val="Times New Roman"/>
        <family val="1"/>
      </rPr>
      <t xml:space="preserve">xi,lab
</t>
    </r>
    <r>
      <rPr>
        <sz val="10"/>
        <rFont val="Times New Roman"/>
        <family val="1"/>
      </rPr>
      <t>(µmol/mol)</t>
    </r>
    <phoneticPr fontId="4"/>
  </si>
  <si>
    <r>
      <rPr>
        <i/>
        <sz val="10"/>
        <rFont val="Times New Roman"/>
        <family val="1"/>
      </rPr>
      <t xml:space="preserve">ui,lab
</t>
    </r>
    <r>
      <rPr>
        <sz val="10"/>
        <rFont val="Times New Roman"/>
        <family val="1"/>
      </rPr>
      <t>(µmol/mol)</t>
    </r>
    <phoneticPr fontId="4"/>
  </si>
  <si>
    <r>
      <rPr>
        <i/>
        <sz val="10"/>
        <rFont val="Times New Roman"/>
        <family val="1"/>
      </rPr>
      <t xml:space="preserve">Di
</t>
    </r>
    <r>
      <rPr>
        <sz val="10"/>
        <rFont val="Times New Roman"/>
        <family val="1"/>
      </rPr>
      <t>(µmol/mol)</t>
    </r>
    <phoneticPr fontId="4"/>
  </si>
  <si>
    <t>Agree with RV?</t>
    <phoneticPr fontId="4"/>
  </si>
  <si>
    <t>Deviation
(µmol/mol)</t>
    <phoneticPr fontId="4"/>
  </si>
  <si>
    <t>LB
(µmol/mol)</t>
    <phoneticPr fontId="4"/>
  </si>
  <si>
    <r>
      <rPr>
        <i/>
        <sz val="10"/>
        <rFont val="Times New Roman"/>
        <family val="1"/>
      </rPr>
      <t xml:space="preserve">xi,ref
</t>
    </r>
    <r>
      <rPr>
        <sz val="10"/>
        <rFont val="Times New Roman"/>
        <family val="1"/>
      </rPr>
      <t>(µmol/mol)</t>
    </r>
    <phoneticPr fontId="4"/>
  </si>
  <si>
    <t>Minimum Uncertainty(%) (&gt;10umol/mol)</t>
    <phoneticPr fontId="4"/>
  </si>
  <si>
    <r>
      <rPr>
        <i/>
        <sz val="10"/>
        <rFont val="Times New Roman"/>
        <family val="1"/>
      </rPr>
      <t xml:space="preserve">ui,ref
</t>
    </r>
    <r>
      <rPr>
        <sz val="10"/>
        <rFont val="Times New Roman"/>
        <family val="1"/>
      </rPr>
      <t>(µmol/mol)</t>
    </r>
    <phoneticPr fontId="4"/>
  </si>
  <si>
    <t>Transition Point
(µmol/mol)</t>
    <phoneticPr fontId="4"/>
  </si>
  <si>
    <t>NMISA</t>
  </si>
  <si>
    <t>NPL</t>
  </si>
  <si>
    <t>KRISS</t>
  </si>
  <si>
    <t>LNE</t>
  </si>
  <si>
    <t>METAS</t>
  </si>
  <si>
    <t>NIST</t>
  </si>
  <si>
    <t>VSL</t>
  </si>
  <si>
    <r>
      <rPr>
        <b/>
        <sz val="9"/>
        <rFont val="Arial"/>
        <family val="2"/>
      </rPr>
      <t>Table 8: Results and degrees–of–equivalence for carbon monoxide</t>
    </r>
  </si>
  <si>
    <r>
      <rPr>
        <b/>
        <sz val="9"/>
        <rFont val="Arial"/>
        <family val="2"/>
      </rPr>
      <t>Lab</t>
    </r>
  </si>
  <si>
    <r>
      <rPr>
        <b/>
        <sz val="9"/>
        <rFont val="Arial"/>
        <family val="2"/>
      </rPr>
      <t>Cylinder</t>
    </r>
  </si>
  <si>
    <r>
      <rPr>
        <b/>
        <i/>
        <vertAlign val="superscript"/>
        <sz val="9"/>
        <rFont val="Arial"/>
        <family val="2"/>
      </rPr>
      <t>x</t>
    </r>
    <r>
      <rPr>
        <b/>
        <i/>
        <sz val="6"/>
        <rFont val="Arial"/>
        <family val="2"/>
      </rPr>
      <t xml:space="preserve">prep
</t>
    </r>
    <r>
      <rPr>
        <b/>
        <sz val="9"/>
        <rFont val="Arial"/>
        <family val="2"/>
      </rPr>
      <t>μmol/mol</t>
    </r>
  </si>
  <si>
    <r>
      <rPr>
        <b/>
        <i/>
        <vertAlign val="superscript"/>
        <sz val="9"/>
        <rFont val="Arial"/>
        <family val="2"/>
      </rPr>
      <t>u</t>
    </r>
    <r>
      <rPr>
        <b/>
        <i/>
        <sz val="6"/>
        <rFont val="Arial"/>
        <family val="2"/>
      </rPr>
      <t xml:space="preserve">prep
</t>
    </r>
    <r>
      <rPr>
        <b/>
        <sz val="9"/>
        <rFont val="Arial"/>
        <family val="2"/>
      </rPr>
      <t>μmol/mol</t>
    </r>
  </si>
  <si>
    <r>
      <rPr>
        <b/>
        <i/>
        <vertAlign val="superscript"/>
        <sz val="9"/>
        <rFont val="Arial"/>
        <family val="2"/>
      </rPr>
      <t>u</t>
    </r>
    <r>
      <rPr>
        <b/>
        <i/>
        <sz val="6"/>
        <rFont val="Arial"/>
        <family val="2"/>
      </rPr>
      <t xml:space="preserve">ver
</t>
    </r>
    <r>
      <rPr>
        <b/>
        <sz val="9"/>
        <rFont val="Arial"/>
        <family val="2"/>
      </rPr>
      <t>μmol/mol</t>
    </r>
  </si>
  <si>
    <r>
      <rPr>
        <b/>
        <i/>
        <vertAlign val="superscript"/>
        <sz val="9"/>
        <rFont val="Arial"/>
        <family val="2"/>
      </rPr>
      <t>u</t>
    </r>
    <r>
      <rPr>
        <b/>
        <i/>
        <sz val="6"/>
        <rFont val="Arial"/>
        <family val="2"/>
      </rPr>
      <t xml:space="preserve">KCRV
</t>
    </r>
    <r>
      <rPr>
        <b/>
        <sz val="9"/>
        <rFont val="Arial"/>
        <family val="2"/>
      </rPr>
      <t>μmol/mol</t>
    </r>
  </si>
  <si>
    <r>
      <rPr>
        <b/>
        <i/>
        <vertAlign val="superscript"/>
        <sz val="9"/>
        <rFont val="Arial"/>
        <family val="2"/>
      </rPr>
      <t>x</t>
    </r>
    <r>
      <rPr>
        <b/>
        <i/>
        <sz val="6"/>
        <rFont val="Arial"/>
        <family val="2"/>
      </rPr>
      <t xml:space="preserve">lab
</t>
    </r>
    <r>
      <rPr>
        <b/>
        <sz val="9"/>
        <rFont val="Arial"/>
        <family val="2"/>
      </rPr>
      <t>μmol/mol</t>
    </r>
  </si>
  <si>
    <r>
      <rPr>
        <b/>
        <i/>
        <sz val="9"/>
        <rFont val="Arial"/>
        <family val="2"/>
      </rPr>
      <t xml:space="preserve">D
</t>
    </r>
    <r>
      <rPr>
        <b/>
        <sz val="9"/>
        <rFont val="Arial"/>
        <family val="2"/>
      </rPr>
      <t>μmol/mol</t>
    </r>
  </si>
  <si>
    <r>
      <rPr>
        <b/>
        <sz val="9"/>
        <rFont val="Arial"/>
        <family val="2"/>
      </rPr>
      <t>D/</t>
    </r>
    <r>
      <rPr>
        <b/>
        <i/>
        <sz val="9"/>
        <rFont val="Arial"/>
        <family val="2"/>
      </rPr>
      <t>x</t>
    </r>
  </si>
  <si>
    <r>
      <rPr>
        <b/>
        <i/>
        <sz val="9"/>
        <rFont val="Arial"/>
        <family val="2"/>
      </rPr>
      <t>U</t>
    </r>
    <r>
      <rPr>
        <b/>
        <sz val="9"/>
        <rFont val="Arial"/>
        <family val="2"/>
      </rPr>
      <t>(</t>
    </r>
    <r>
      <rPr>
        <b/>
        <i/>
        <sz val="9"/>
        <rFont val="Arial"/>
        <family val="2"/>
      </rPr>
      <t>D</t>
    </r>
    <r>
      <rPr>
        <b/>
        <sz val="9"/>
        <rFont val="Arial"/>
        <family val="2"/>
      </rPr>
      <t>)/</t>
    </r>
    <r>
      <rPr>
        <b/>
        <i/>
        <sz val="9"/>
        <rFont val="Arial"/>
        <family val="2"/>
      </rPr>
      <t>x</t>
    </r>
  </si>
  <si>
    <r>
      <rPr>
        <sz val="9"/>
        <rFont val="Arial"/>
        <family val="2"/>
      </rPr>
      <t>VSL</t>
    </r>
  </si>
  <si>
    <r>
      <rPr>
        <sz val="9"/>
        <rFont val="Arial"/>
        <family val="2"/>
      </rPr>
      <t>M937400</t>
    </r>
  </si>
  <si>
    <r>
      <rPr>
        <sz val="9"/>
        <rFont val="Arial"/>
        <family val="2"/>
      </rPr>
      <t>CENAM</t>
    </r>
  </si>
  <si>
    <r>
      <rPr>
        <sz val="9"/>
        <rFont val="Arial"/>
        <family val="2"/>
      </rPr>
      <t>M937407</t>
    </r>
  </si>
  <si>
    <r>
      <rPr>
        <sz val="9"/>
        <rFont val="Arial"/>
        <family val="2"/>
      </rPr>
      <t>SMU</t>
    </r>
  </si>
  <si>
    <r>
      <rPr>
        <sz val="9"/>
        <rFont val="Arial"/>
        <family val="2"/>
      </rPr>
      <t>M937405</t>
    </r>
  </si>
  <si>
    <r>
      <rPr>
        <sz val="9"/>
        <rFont val="Arial"/>
        <family val="2"/>
      </rPr>
      <t>VNIIM</t>
    </r>
  </si>
  <si>
    <r>
      <rPr>
        <sz val="9"/>
        <rFont val="Arial"/>
        <family val="2"/>
      </rPr>
      <t>M937403</t>
    </r>
  </si>
  <si>
    <r>
      <rPr>
        <sz val="9"/>
        <rFont val="Arial"/>
        <family val="2"/>
      </rPr>
      <t>NMISA</t>
    </r>
  </si>
  <si>
    <r>
      <rPr>
        <sz val="9"/>
        <rFont val="Arial"/>
        <family val="2"/>
      </rPr>
      <t>M937424</t>
    </r>
  </si>
  <si>
    <r>
      <rPr>
        <sz val="9"/>
        <rFont val="Arial"/>
        <family val="2"/>
      </rPr>
      <t>KRISS</t>
    </r>
  </si>
  <si>
    <r>
      <rPr>
        <sz val="9"/>
        <rFont val="Arial"/>
        <family val="2"/>
      </rPr>
      <t>M937414</t>
    </r>
  </si>
  <si>
    <r>
      <rPr>
        <sz val="9"/>
        <rFont val="Arial"/>
        <family val="2"/>
      </rPr>
      <t>IPQ</t>
    </r>
  </si>
  <si>
    <r>
      <rPr>
        <sz val="9"/>
        <rFont val="Arial"/>
        <family val="2"/>
      </rPr>
      <t>M937419</t>
    </r>
  </si>
  <si>
    <r>
      <rPr>
        <sz val="9"/>
        <rFont val="Arial"/>
        <family val="2"/>
      </rPr>
      <t>INMETRO</t>
    </r>
  </si>
  <si>
    <r>
      <rPr>
        <sz val="9"/>
        <rFont val="Arial"/>
        <family val="2"/>
      </rPr>
      <t>M937401</t>
    </r>
  </si>
  <si>
    <r>
      <rPr>
        <vertAlign val="superscript"/>
        <sz val="5"/>
        <rFont val="Arial"/>
        <family val="2"/>
      </rPr>
      <t xml:space="preserve">5 </t>
    </r>
    <r>
      <rPr>
        <sz val="8"/>
        <rFont val="Arial"/>
        <family val="2"/>
      </rPr>
      <t xml:space="preserve">As defined in the MRA [9], a degree of equivalence is given by </t>
    </r>
    <r>
      <rPr>
        <sz val="8"/>
        <rFont val="Symbol"/>
        <family val="1"/>
      </rPr>
      <t>Δ</t>
    </r>
    <r>
      <rPr>
        <sz val="8"/>
        <rFont val="Arial"/>
        <family val="2"/>
      </rPr>
      <t>x and U(</t>
    </r>
    <r>
      <rPr>
        <sz val="8"/>
        <rFont val="Symbol"/>
        <family val="1"/>
      </rPr>
      <t>Δ</t>
    </r>
    <r>
      <rPr>
        <sz val="8"/>
        <rFont val="Arial"/>
        <family val="2"/>
      </rPr>
      <t>x).</t>
    </r>
  </si>
  <si>
    <r>
      <rPr>
        <b/>
        <sz val="9"/>
        <rFont val="Arial"/>
        <family val="2"/>
      </rPr>
      <t>Table 9: Results and degrees–of–equivalence for carbon dioxide</t>
    </r>
  </si>
  <si>
    <r>
      <rPr>
        <b/>
        <i/>
        <vertAlign val="superscript"/>
        <sz val="9"/>
        <rFont val="Arial"/>
        <family val="2"/>
      </rPr>
      <t>x</t>
    </r>
    <r>
      <rPr>
        <b/>
        <i/>
        <sz val="6"/>
        <rFont val="Arial"/>
        <family val="2"/>
      </rPr>
      <t xml:space="preserve">prep
</t>
    </r>
    <r>
      <rPr>
        <b/>
        <sz val="9"/>
        <rFont val="Arial"/>
        <family val="2"/>
      </rPr>
      <t>mmol/mol</t>
    </r>
  </si>
  <si>
    <r>
      <rPr>
        <b/>
        <i/>
        <vertAlign val="superscript"/>
        <sz val="9"/>
        <rFont val="Arial"/>
        <family val="2"/>
      </rPr>
      <t>u</t>
    </r>
    <r>
      <rPr>
        <b/>
        <i/>
        <sz val="6"/>
        <rFont val="Arial"/>
        <family val="2"/>
      </rPr>
      <t xml:space="preserve">prep
</t>
    </r>
    <r>
      <rPr>
        <b/>
        <sz val="9"/>
        <rFont val="Arial"/>
        <family val="2"/>
      </rPr>
      <t>mmol/mol</t>
    </r>
  </si>
  <si>
    <r>
      <rPr>
        <b/>
        <i/>
        <vertAlign val="superscript"/>
        <sz val="9"/>
        <rFont val="Arial"/>
        <family val="2"/>
      </rPr>
      <t>u</t>
    </r>
    <r>
      <rPr>
        <b/>
        <i/>
        <sz val="6"/>
        <rFont val="Arial"/>
        <family val="2"/>
      </rPr>
      <t xml:space="preserve">ver
</t>
    </r>
    <r>
      <rPr>
        <b/>
        <sz val="9"/>
        <rFont val="Arial"/>
        <family val="2"/>
      </rPr>
      <t>mmol/mol</t>
    </r>
  </si>
  <si>
    <r>
      <rPr>
        <b/>
        <i/>
        <vertAlign val="superscript"/>
        <sz val="9"/>
        <rFont val="Arial"/>
        <family val="2"/>
      </rPr>
      <t>u</t>
    </r>
    <r>
      <rPr>
        <b/>
        <i/>
        <sz val="6"/>
        <rFont val="Arial"/>
        <family val="2"/>
      </rPr>
      <t xml:space="preserve">KCRV
</t>
    </r>
    <r>
      <rPr>
        <b/>
        <sz val="9"/>
        <rFont val="Arial"/>
        <family val="2"/>
      </rPr>
      <t>mmol/mol</t>
    </r>
  </si>
  <si>
    <r>
      <rPr>
        <b/>
        <i/>
        <vertAlign val="superscript"/>
        <sz val="9"/>
        <rFont val="Arial"/>
        <family val="2"/>
      </rPr>
      <t>x</t>
    </r>
    <r>
      <rPr>
        <b/>
        <i/>
        <sz val="6"/>
        <rFont val="Arial"/>
        <family val="2"/>
      </rPr>
      <t xml:space="preserve">lab
</t>
    </r>
    <r>
      <rPr>
        <b/>
        <sz val="9"/>
        <rFont val="Arial"/>
        <family val="2"/>
      </rPr>
      <t>mmol/mol</t>
    </r>
  </si>
  <si>
    <r>
      <rPr>
        <sz val="9"/>
        <rFont val="Arial"/>
        <family val="2"/>
      </rPr>
      <t>NPL</t>
    </r>
  </si>
  <si>
    <r>
      <rPr>
        <sz val="9"/>
        <rFont val="Arial"/>
        <family val="2"/>
      </rPr>
      <t>M937411</t>
    </r>
  </si>
  <si>
    <r>
      <rPr>
        <b/>
        <sz val="9"/>
        <rFont val="Arial"/>
        <family val="2"/>
      </rPr>
      <t>Table 10: Results and degrees–of–equivalence for propane</t>
    </r>
  </si>
  <si>
    <r>
      <rPr>
        <b/>
        <sz val="9"/>
        <rFont val="Arial"/>
        <family val="2"/>
      </rPr>
      <t>Table 11: Results and degrees–of–equivalence for nitrogen monoxide</t>
    </r>
  </si>
  <si>
    <r>
      <rPr>
        <b/>
        <sz val="9"/>
        <rFont val="Arial"/>
        <family val="2"/>
      </rPr>
      <t>Table 12: Results and degrees–of–equivalence for sulphur dioxide</t>
    </r>
  </si>
  <si>
    <r>
      <rPr>
        <b/>
        <i/>
        <vertAlign val="superscript"/>
        <sz val="9"/>
        <rFont val="Arial"/>
        <family val="2"/>
      </rPr>
      <t>U</t>
    </r>
    <r>
      <rPr>
        <b/>
        <i/>
        <sz val="6"/>
        <rFont val="Arial"/>
        <family val="2"/>
      </rPr>
      <t xml:space="preserve">lab
</t>
    </r>
    <r>
      <rPr>
        <b/>
        <sz val="9"/>
        <rFont val="Arial"/>
        <family val="2"/>
      </rPr>
      <t>μmol/mol</t>
    </r>
  </si>
  <si>
    <r>
      <rPr>
        <b/>
        <i/>
        <vertAlign val="superscript"/>
        <sz val="9"/>
        <rFont val="Arial"/>
        <family val="2"/>
      </rPr>
      <t>k</t>
    </r>
    <r>
      <rPr>
        <b/>
        <i/>
        <sz val="6"/>
        <rFont val="Arial"/>
        <family val="2"/>
      </rPr>
      <t>lab</t>
    </r>
  </si>
  <si>
    <r>
      <rPr>
        <sz val="9"/>
        <rFont val="Arial"/>
        <family val="2"/>
      </rPr>
      <t>NIST</t>
    </r>
  </si>
  <si>
    <r>
      <rPr>
        <sz val="9"/>
        <rFont val="Arial"/>
        <family val="2"/>
      </rPr>
      <t>M937423</t>
    </r>
  </si>
  <si>
    <r>
      <rPr>
        <sz val="9"/>
        <rFont val="Arial"/>
        <family val="2"/>
      </rPr>
      <t>NIM</t>
    </r>
  </si>
  <si>
    <r>
      <rPr>
        <sz val="9"/>
        <rFont val="Arial"/>
        <family val="2"/>
      </rPr>
      <t>M937410</t>
    </r>
  </si>
  <si>
    <r>
      <rPr>
        <b/>
        <i/>
        <vertAlign val="superscript"/>
        <sz val="9"/>
        <rFont val="Arial"/>
        <family val="2"/>
      </rPr>
      <t>U</t>
    </r>
    <r>
      <rPr>
        <b/>
        <i/>
        <sz val="6"/>
        <rFont val="Arial"/>
        <family val="2"/>
      </rPr>
      <t xml:space="preserve">lab
</t>
    </r>
    <r>
      <rPr>
        <b/>
        <sz val="9"/>
        <rFont val="Arial"/>
        <family val="2"/>
      </rPr>
      <t>mmol/mol</t>
    </r>
  </si>
  <si>
    <t>CHMI</t>
  </si>
  <si>
    <t>D</t>
  </si>
  <si>
    <t>Uncertainty  at LB (%)</t>
    <phoneticPr fontId="4"/>
  </si>
  <si>
    <t>Uncertainty  at UB (%)</t>
    <phoneticPr fontId="4"/>
  </si>
  <si>
    <t>CCQM-K10.2018</t>
    <phoneticPr fontId="8"/>
  </si>
  <si>
    <t>BTEX in Nitrogen at 5 nmol/mol</t>
    <phoneticPr fontId="4"/>
  </si>
  <si>
    <t>Table 1 shows the ranges of the amount fractions and associated expanded uncertainties</t>
  </si>
  <si>
    <t>supported by participation in CCQM-K10.2018 [1], calculated in accordance with</t>
  </si>
  <si>
    <t>the GAWG Strategy document [2]. Values in red indicate uncertainties that have been</t>
  </si>
  <si>
    <t>inflated because the submitted measurement result was not consistent with the KCRV.</t>
  </si>
  <si>
    <t>Support to CMCs</t>
  </si>
  <si>
    <t>made by Takuya Shimosaka (NMIJ/AIST)</t>
    <phoneticPr fontId="4"/>
  </si>
  <si>
    <t>Uncertainty  at LB (µmol/mol)</t>
    <phoneticPr fontId="4"/>
  </si>
  <si>
    <t>Uncertainty  at UB (µmol/mol)</t>
    <phoneticPr fontId="4"/>
  </si>
  <si>
    <t>BENZENE</t>
  </si>
  <si>
    <t>TOLUENE</t>
  </si>
  <si>
    <t>U95 %(D)</t>
  </si>
  <si>
    <t>Table 8. Values and expanded uncertainties for the differences between predicted amount fractions in the control mixture, based on ratios and reported composi- tions of participants' mixtures, and amount fractions in the control mixture as determined gravimetrically by NIST.</t>
  </si>
  <si>
    <t>ETHYLBENZENE</t>
  </si>
  <si>
    <t>p-XYLENE</t>
  </si>
  <si>
    <t>m-XYLENE</t>
  </si>
  <si>
    <t>o-XYLENE</t>
  </si>
  <si>
    <t>Table 7. Amount fractions ( y) and associated standard uncertainties (u( y)), in  the control mixture, and corresponding predictions ( y) and associated standard uncertainties (u( y)), made using ratios of instrumental indications for the control mixture and for the mixtures the participants prepared.</t>
  </si>
  <si>
    <t xml:space="preserve"> </t>
  </si>
  <si>
    <t>y</t>
  </si>
  <si>
    <t>u( y)</t>
  </si>
  <si>
    <t>y</t>
    <phoneticPr fontId="4"/>
  </si>
  <si>
    <t>corresponding predictions</t>
  </si>
  <si>
    <t>control mixture</t>
  </si>
  <si>
    <t>unit : nmol / mol</t>
    <phoneticPr fontId="4"/>
  </si>
  <si>
    <t>Table 11. Amount fractions, x , of the measurands in the comparative mixture, and associated uncertainties for 95 % confidence, U (x ), as reported by the participants and measured by NIST.</t>
  </si>
  <si>
    <t>UBA</t>
  </si>
  <si>
    <t>Exp. U at LB (%)</t>
    <phoneticPr fontId="4"/>
  </si>
  <si>
    <t>LB (nmol/mol)</t>
    <phoneticPr fontId="4"/>
  </si>
  <si>
    <t>UB (nmol/mol)</t>
    <phoneticPr fontId="4"/>
  </si>
  <si>
    <t>Uncertainty  at LB (nmol/mol)</t>
    <phoneticPr fontId="4"/>
  </si>
  <si>
    <t>Uncertainty  at UB (nmol/mol)</t>
    <phoneticPr fontId="4"/>
  </si>
  <si>
    <t>LB (µmol/mol)</t>
    <phoneticPr fontId="4"/>
  </si>
  <si>
    <t>UB (µmol/mol)</t>
    <phoneticPr fontId="4"/>
  </si>
  <si>
    <t>Exp. U
(µmol/mol)</t>
    <phoneticPr fontId="4"/>
  </si>
  <si>
    <t>CCQM-K137</t>
    <phoneticPr fontId="8"/>
  </si>
  <si>
    <t>NO/N2 : 30 umol/mol</t>
    <phoneticPr fontId="8"/>
  </si>
  <si>
    <t>NO/N2 : 70 umol/mol</t>
    <phoneticPr fontId="8"/>
  </si>
  <si>
    <r>
      <rPr>
        <b/>
        <i/>
        <sz val="10"/>
        <rFont val="Times New Roman"/>
        <family val="1"/>
      </rPr>
      <t>Submitted or interpolated value</t>
    </r>
  </si>
  <si>
    <r>
      <rPr>
        <b/>
        <i/>
        <sz val="10"/>
        <rFont val="Times New Roman"/>
        <family val="1"/>
      </rPr>
      <t>Reference value</t>
    </r>
  </si>
  <si>
    <r>
      <rPr>
        <b/>
        <i/>
        <sz val="10"/>
        <rFont val="Times New Roman"/>
        <family val="1"/>
      </rPr>
      <t>Degree of equivalence</t>
    </r>
  </si>
  <si>
    <t>NMI</t>
  </si>
  <si>
    <r>
      <rPr>
        <b/>
        <i/>
        <sz val="10"/>
        <rFont val="Times New Roman"/>
        <family val="1"/>
      </rPr>
      <t>x</t>
    </r>
    <r>
      <rPr>
        <b/>
        <i/>
        <sz val="7"/>
        <rFont val="Times New Roman"/>
        <family val="1"/>
      </rPr>
      <t>i</t>
    </r>
  </si>
  <si>
    <r>
      <rPr>
        <b/>
        <i/>
        <sz val="10"/>
        <rFont val="Times New Roman"/>
        <family val="1"/>
      </rPr>
      <t>u</t>
    </r>
    <r>
      <rPr>
        <b/>
        <sz val="10"/>
        <rFont val="Times New Roman"/>
        <family val="1"/>
      </rPr>
      <t>(</t>
    </r>
    <r>
      <rPr>
        <b/>
        <i/>
        <sz val="10"/>
        <rFont val="Times New Roman"/>
        <family val="1"/>
      </rPr>
      <t>x</t>
    </r>
    <r>
      <rPr>
        <b/>
        <i/>
        <sz val="7"/>
        <rFont val="Times New Roman"/>
        <family val="1"/>
      </rPr>
      <t>i</t>
    </r>
    <r>
      <rPr>
        <b/>
        <sz val="10"/>
        <rFont val="Times New Roman"/>
        <family val="1"/>
      </rPr>
      <t>)</t>
    </r>
  </si>
  <si>
    <r>
      <rPr>
        <b/>
        <i/>
        <sz val="10"/>
        <rFont val="Times New Roman"/>
        <family val="1"/>
      </rPr>
      <t>x</t>
    </r>
    <r>
      <rPr>
        <b/>
        <i/>
        <sz val="7"/>
        <rFont val="Times New Roman"/>
        <family val="1"/>
      </rPr>
      <t>R,i</t>
    </r>
  </si>
  <si>
    <r>
      <rPr>
        <b/>
        <i/>
        <sz val="10"/>
        <rFont val="Times New Roman"/>
        <family val="1"/>
      </rPr>
      <t>u</t>
    </r>
    <r>
      <rPr>
        <b/>
        <sz val="10"/>
        <rFont val="Times New Roman"/>
        <family val="1"/>
      </rPr>
      <t>(</t>
    </r>
    <r>
      <rPr>
        <b/>
        <i/>
        <sz val="10"/>
        <rFont val="Times New Roman"/>
        <family val="1"/>
      </rPr>
      <t>x</t>
    </r>
    <r>
      <rPr>
        <b/>
        <i/>
        <sz val="7"/>
        <rFont val="Times New Roman"/>
        <family val="1"/>
      </rPr>
      <t>R,i</t>
    </r>
    <r>
      <rPr>
        <b/>
        <sz val="10"/>
        <rFont val="Times New Roman"/>
        <family val="1"/>
      </rPr>
      <t>)</t>
    </r>
  </si>
  <si>
    <r>
      <rPr>
        <b/>
        <i/>
        <sz val="10"/>
        <rFont val="Times New Roman"/>
        <family val="1"/>
      </rPr>
      <t>D</t>
    </r>
    <r>
      <rPr>
        <b/>
        <i/>
        <sz val="7"/>
        <rFont val="Times New Roman"/>
        <family val="1"/>
      </rPr>
      <t>i</t>
    </r>
  </si>
  <si>
    <r>
      <rPr>
        <b/>
        <i/>
        <sz val="10"/>
        <rFont val="Times New Roman"/>
        <family val="1"/>
      </rPr>
      <t>U(D</t>
    </r>
    <r>
      <rPr>
        <b/>
        <i/>
        <sz val="7"/>
        <rFont val="Times New Roman"/>
        <family val="1"/>
      </rPr>
      <t>i</t>
    </r>
    <r>
      <rPr>
        <b/>
        <i/>
        <sz val="10"/>
        <rFont val="Times New Roman"/>
        <family val="1"/>
      </rPr>
      <t>)</t>
    </r>
  </si>
  <si>
    <t>Reference value</t>
  </si>
  <si>
    <t>Nitrogen Monoxide (NO) in nitrogen, 30 μmol mol-1 and 70 μmol mol</t>
    <phoneticPr fontId="4"/>
  </si>
  <si>
    <t>to present an analytical challenge by the Gas Analysis Working Group. Therefore, this</t>
  </si>
  <si>
    <t>key comparison is considered as a Specialised (Track C) comparison in the CCQM</t>
  </si>
  <si>
    <t>nomenclature. A detailed table indicating the minimum expanded uncertainty expected</t>
  </si>
  <si>
    <t>to be claimed with the corresponding range of the NO mole fraction will be published as</t>
  </si>
  <si>
    <t>an appendix to this report.</t>
  </si>
  <si>
    <r>
      <t>Preparing reference mixtures of NO in nitrogen at the μmol mol</t>
    </r>
    <r>
      <rPr>
        <sz val="10"/>
        <color rgb="FF000000"/>
        <rFont val="ＭＳ Ｐゴシック"/>
        <family val="3"/>
        <charset val="128"/>
      </rPr>
      <t>−</t>
    </r>
    <r>
      <rPr>
        <sz val="10"/>
        <color rgb="FF000000"/>
        <rFont val="Times New Roman"/>
        <family val="1"/>
      </rPr>
      <t>1 levels is considered</t>
    </r>
  </si>
  <si>
    <t>µmol/mol</t>
    <phoneticPr fontId="4"/>
  </si>
  <si>
    <t>Transition Point</t>
    <phoneticPr fontId="4"/>
  </si>
  <si>
    <t>k</t>
  </si>
  <si>
    <r>
      <rPr>
        <b/>
        <i/>
        <sz val="9"/>
        <rFont val="Arial"/>
        <family val="2"/>
      </rPr>
      <t>U</t>
    </r>
    <r>
      <rPr>
        <b/>
        <sz val="9"/>
        <rFont val="Arial"/>
        <family val="2"/>
      </rPr>
      <t>(</t>
    </r>
    <r>
      <rPr>
        <b/>
        <i/>
        <sz val="9"/>
        <rFont val="Arial"/>
        <family val="2"/>
      </rPr>
      <t>D</t>
    </r>
    <r>
      <rPr>
        <b/>
        <sz val="9"/>
        <rFont val="Arial"/>
        <family val="2"/>
      </rPr>
      <t>)
μmol/mol</t>
    </r>
  </si>
  <si>
    <r>
      <rPr>
        <i/>
        <sz val="10"/>
        <color theme="4"/>
        <rFont val="Times New Roman"/>
        <family val="1"/>
      </rPr>
      <t xml:space="preserve">xi,ref
</t>
    </r>
    <r>
      <rPr>
        <sz val="10"/>
        <color theme="4"/>
        <rFont val="Times New Roman"/>
        <family val="1"/>
      </rPr>
      <t>(µmol/mol)</t>
    </r>
    <phoneticPr fontId="4"/>
  </si>
  <si>
    <r>
      <rPr>
        <i/>
        <sz val="10"/>
        <color theme="4"/>
        <rFont val="Times New Roman"/>
        <family val="1"/>
      </rPr>
      <t xml:space="preserve">ui,ref
</t>
    </r>
    <r>
      <rPr>
        <sz val="10"/>
        <color theme="4"/>
        <rFont val="Times New Roman"/>
        <family val="1"/>
      </rPr>
      <t>(µmol/mol)</t>
    </r>
    <phoneticPr fontId="4"/>
  </si>
  <si>
    <r>
      <rPr>
        <i/>
        <sz val="10"/>
        <color theme="4"/>
        <rFont val="Times New Roman"/>
        <family val="1"/>
      </rPr>
      <t xml:space="preserve">xi,lab
</t>
    </r>
    <r>
      <rPr>
        <sz val="10"/>
        <color theme="4"/>
        <rFont val="Times New Roman"/>
        <family val="1"/>
      </rPr>
      <t>(µmol/mol)</t>
    </r>
    <phoneticPr fontId="4"/>
  </si>
  <si>
    <r>
      <rPr>
        <i/>
        <sz val="10"/>
        <color theme="4"/>
        <rFont val="Times New Roman"/>
        <family val="1"/>
      </rPr>
      <t xml:space="preserve">ui,lab
</t>
    </r>
    <r>
      <rPr>
        <sz val="10"/>
        <color theme="4"/>
        <rFont val="Times New Roman"/>
        <family val="1"/>
      </rPr>
      <t>(µmol/mol)</t>
    </r>
    <phoneticPr fontId="4"/>
  </si>
  <si>
    <r>
      <rPr>
        <i/>
        <sz val="10"/>
        <color theme="4"/>
        <rFont val="Times New Roman"/>
        <family val="1"/>
      </rPr>
      <t xml:space="preserve">Di
</t>
    </r>
    <r>
      <rPr>
        <sz val="10"/>
        <color theme="4"/>
        <rFont val="Times New Roman"/>
        <family val="1"/>
      </rPr>
      <t>(µmol/mol)</t>
    </r>
    <phoneticPr fontId="4"/>
  </si>
  <si>
    <r>
      <rPr>
        <i/>
        <sz val="10"/>
        <color theme="4"/>
        <rFont val="Times New Roman"/>
        <family val="1"/>
      </rPr>
      <t xml:space="preserve">U(Di)
</t>
    </r>
    <r>
      <rPr>
        <sz val="10"/>
        <color theme="4"/>
        <rFont val="Times New Roman"/>
        <family val="1"/>
      </rPr>
      <t>(µmol/mol) (k=2)</t>
    </r>
    <phoneticPr fontId="4"/>
  </si>
  <si>
    <t>Supported claims</t>
    <phoneticPr fontId="4"/>
  </si>
  <si>
    <t>NA</t>
    <phoneticPr fontId="4"/>
  </si>
  <si>
    <r>
      <t>Table 7 : reference values and degrees of equivalence at the nominal mole fraction 30 μmol mol</t>
    </r>
    <r>
      <rPr>
        <sz val="10"/>
        <color rgb="FF000000"/>
        <rFont val="Times New Roman"/>
        <family val="1"/>
      </rPr>
      <t>.
*Value interpolated at the date of measurement (see section 9).</t>
    </r>
    <phoneticPr fontId="4"/>
  </si>
  <si>
    <r>
      <rPr>
        <b/>
        <i/>
        <sz val="10"/>
        <rFont val="Cambria"/>
        <family val="1"/>
      </rPr>
      <t>Submitted or interpolated value</t>
    </r>
  </si>
  <si>
    <r>
      <rPr>
        <b/>
        <i/>
        <sz val="10"/>
        <rFont val="Cambria"/>
        <family val="1"/>
      </rPr>
      <t>Reference value</t>
    </r>
  </si>
  <si>
    <r>
      <rPr>
        <b/>
        <i/>
        <sz val="10"/>
        <rFont val="Cambria"/>
        <family val="1"/>
      </rPr>
      <t>Degree of equivalence</t>
    </r>
  </si>
  <si>
    <r>
      <rPr>
        <b/>
        <sz val="10"/>
        <rFont val="Cambria"/>
        <family val="1"/>
      </rPr>
      <t>NMI</t>
    </r>
  </si>
  <si>
    <r>
      <rPr>
        <b/>
        <i/>
        <vertAlign val="superscript"/>
        <sz val="10"/>
        <rFont val="Cambria"/>
        <family val="1"/>
      </rPr>
      <t>x</t>
    </r>
    <r>
      <rPr>
        <b/>
        <i/>
        <sz val="6.5"/>
        <rFont val="Cambria"/>
        <family val="1"/>
      </rPr>
      <t>i</t>
    </r>
  </si>
  <si>
    <r>
      <rPr>
        <b/>
        <i/>
        <vertAlign val="superscript"/>
        <sz val="10"/>
        <rFont val="Cambria"/>
        <family val="1"/>
      </rPr>
      <t>u</t>
    </r>
    <r>
      <rPr>
        <b/>
        <vertAlign val="superscript"/>
        <sz val="10"/>
        <rFont val="Cambria"/>
        <family val="1"/>
      </rPr>
      <t>(</t>
    </r>
    <r>
      <rPr>
        <b/>
        <i/>
        <vertAlign val="superscript"/>
        <sz val="10"/>
        <rFont val="Cambria"/>
        <family val="1"/>
      </rPr>
      <t>x</t>
    </r>
    <r>
      <rPr>
        <b/>
        <i/>
        <sz val="6.5"/>
        <rFont val="Cambria"/>
        <family val="1"/>
      </rPr>
      <t>i</t>
    </r>
    <r>
      <rPr>
        <b/>
        <vertAlign val="superscript"/>
        <sz val="10"/>
        <rFont val="Cambria"/>
        <family val="1"/>
      </rPr>
      <t>)</t>
    </r>
  </si>
  <si>
    <r>
      <rPr>
        <b/>
        <i/>
        <vertAlign val="superscript"/>
        <sz val="10"/>
        <rFont val="Cambria"/>
        <family val="1"/>
      </rPr>
      <t>x</t>
    </r>
    <r>
      <rPr>
        <b/>
        <i/>
        <sz val="6.5"/>
        <rFont val="Cambria"/>
        <family val="1"/>
      </rPr>
      <t>R,i</t>
    </r>
  </si>
  <si>
    <r>
      <rPr>
        <b/>
        <i/>
        <vertAlign val="superscript"/>
        <sz val="10"/>
        <rFont val="Cambria"/>
        <family val="1"/>
      </rPr>
      <t>u</t>
    </r>
    <r>
      <rPr>
        <b/>
        <vertAlign val="superscript"/>
        <sz val="10"/>
        <rFont val="Cambria"/>
        <family val="1"/>
      </rPr>
      <t>(</t>
    </r>
    <r>
      <rPr>
        <b/>
        <i/>
        <vertAlign val="superscript"/>
        <sz val="10"/>
        <rFont val="Cambria"/>
        <family val="1"/>
      </rPr>
      <t>x</t>
    </r>
    <r>
      <rPr>
        <b/>
        <i/>
        <sz val="6.5"/>
        <rFont val="Cambria"/>
        <family val="1"/>
      </rPr>
      <t>R,i</t>
    </r>
    <r>
      <rPr>
        <b/>
        <vertAlign val="superscript"/>
        <sz val="10"/>
        <rFont val="Cambria"/>
        <family val="1"/>
      </rPr>
      <t>)</t>
    </r>
  </si>
  <si>
    <r>
      <rPr>
        <b/>
        <i/>
        <vertAlign val="superscript"/>
        <sz val="10"/>
        <rFont val="Cambria"/>
        <family val="1"/>
      </rPr>
      <t>D</t>
    </r>
    <r>
      <rPr>
        <b/>
        <i/>
        <sz val="6.5"/>
        <rFont val="Cambria"/>
        <family val="1"/>
      </rPr>
      <t>i</t>
    </r>
  </si>
  <si>
    <r>
      <rPr>
        <b/>
        <i/>
        <vertAlign val="superscript"/>
        <sz val="10"/>
        <rFont val="Cambria"/>
        <family val="1"/>
      </rPr>
      <t>U(D</t>
    </r>
    <r>
      <rPr>
        <b/>
        <i/>
        <sz val="6.5"/>
        <rFont val="Cambria"/>
        <family val="1"/>
      </rPr>
      <t>i</t>
    </r>
    <r>
      <rPr>
        <b/>
        <i/>
        <vertAlign val="superscript"/>
        <sz val="10"/>
        <rFont val="Cambria"/>
        <family val="1"/>
      </rPr>
      <t>)</t>
    </r>
  </si>
  <si>
    <r>
      <rPr>
        <sz val="10"/>
        <rFont val="Calibri"/>
        <family val="2"/>
      </rPr>
      <t>BFKH</t>
    </r>
  </si>
  <si>
    <r>
      <rPr>
        <sz val="10"/>
        <rFont val="Calibri"/>
        <family val="2"/>
      </rPr>
      <t>CERI</t>
    </r>
  </si>
  <si>
    <r>
      <rPr>
        <sz val="10"/>
        <rFont val="Calibri"/>
        <family val="2"/>
      </rPr>
      <t>GUM</t>
    </r>
  </si>
  <si>
    <r>
      <rPr>
        <sz val="10"/>
        <rFont val="Calibri"/>
        <family val="2"/>
      </rPr>
      <t>KRISS</t>
    </r>
  </si>
  <si>
    <r>
      <rPr>
        <sz val="10"/>
        <rFont val="Calibri"/>
        <family val="2"/>
      </rPr>
      <t>LNE</t>
    </r>
  </si>
  <si>
    <r>
      <rPr>
        <sz val="10"/>
        <rFont val="Calibri"/>
        <family val="2"/>
      </rPr>
      <t>NIM</t>
    </r>
  </si>
  <si>
    <r>
      <rPr>
        <sz val="10"/>
        <rFont val="Calibri"/>
        <family val="2"/>
      </rPr>
      <t>NMIA</t>
    </r>
  </si>
  <si>
    <r>
      <rPr>
        <sz val="10"/>
        <rFont val="Calibri"/>
        <family val="2"/>
      </rPr>
      <t>NMISA</t>
    </r>
  </si>
  <si>
    <r>
      <rPr>
        <sz val="10"/>
        <rFont val="Calibri"/>
        <family val="2"/>
      </rPr>
      <t>NPL</t>
    </r>
  </si>
  <si>
    <r>
      <rPr>
        <sz val="10"/>
        <rFont val="Calibri"/>
        <family val="2"/>
      </rPr>
      <t>VNIIM</t>
    </r>
  </si>
  <si>
    <r>
      <rPr>
        <sz val="10"/>
        <rFont val="Calibri"/>
        <family val="2"/>
      </rPr>
      <t>NIST</t>
    </r>
  </si>
  <si>
    <t>VSL</t>
    <phoneticPr fontId="4"/>
  </si>
  <si>
    <t>Table 8 : reference values and degrees of equivalence at the nominal mole fraction 70 μmol mol.
*Value interpolated at the date of measurement (see section 9).</t>
    <phoneticPr fontId="4"/>
  </si>
  <si>
    <r>
      <rPr>
        <b/>
        <i/>
        <sz val="10"/>
        <rFont val="Cambria"/>
        <family val="1"/>
      </rPr>
      <t xml:space="preserve">Submitted or interpolated
</t>
    </r>
    <r>
      <rPr>
        <b/>
        <i/>
        <sz val="10"/>
        <rFont val="Cambria"/>
        <family val="1"/>
      </rPr>
      <t>value</t>
    </r>
  </si>
  <si>
    <r>
      <rPr>
        <sz val="10"/>
        <rFont val="Calibri"/>
        <family val="2"/>
      </rPr>
      <t>VSL</t>
    </r>
  </si>
  <si>
    <t>VNIMM</t>
    <phoneticPr fontId="4"/>
  </si>
  <si>
    <t>NO/N2</t>
    <phoneticPr fontId="8"/>
  </si>
  <si>
    <r>
      <rPr>
        <i/>
        <sz val="10"/>
        <rFont val="Times New Roman"/>
        <family val="1"/>
      </rPr>
      <t xml:space="preserve">U(Di)
</t>
    </r>
    <r>
      <rPr>
        <sz val="10"/>
        <rFont val="Times New Roman"/>
        <family val="1"/>
      </rPr>
      <t>(µmol/mol) (k=2)</t>
    </r>
    <phoneticPr fontId="4"/>
  </si>
  <si>
    <t>Ver. 1.1 (1st Nov, 2021)</t>
    <phoneticPr fontId="4"/>
  </si>
  <si>
    <t>additional evidence required</t>
  </si>
  <si>
    <t>NMIA</t>
  </si>
  <si>
    <t>NIM</t>
  </si>
  <si>
    <t>GUM</t>
  </si>
  <si>
    <t>CERI</t>
  </si>
  <si>
    <t>BFKH</t>
  </si>
  <si>
    <t>To</t>
  </si>
  <si>
    <t>From*</t>
  </si>
  <si>
    <t>From</t>
  </si>
  <si>
    <t>Expanded Uncertainty (% Rel)</t>
  </si>
  <si>
    <r>
      <t>Amount Fraction (</t>
    </r>
    <r>
      <rPr>
        <b/>
        <sz val="11"/>
        <color rgb="FFFF0000"/>
        <rFont val="ＭＳ Ｐゴシック"/>
        <family val="3"/>
        <charset val="128"/>
        <scheme val="minor"/>
      </rPr>
      <t>mmol mol</t>
    </r>
    <r>
      <rPr>
        <b/>
        <vertAlign val="superscript"/>
        <sz val="11"/>
        <color rgb="FFFF0000"/>
        <rFont val="ＭＳ Ｐゴシック"/>
        <family val="3"/>
        <charset val="128"/>
        <scheme val="minor"/>
      </rPr>
      <t>-1</t>
    </r>
    <r>
      <rPr>
        <b/>
        <sz val="11"/>
        <color theme="1"/>
        <rFont val="ＭＳ Ｐゴシック"/>
        <family val="2"/>
        <scheme val="minor"/>
      </rPr>
      <t>)</t>
    </r>
    <phoneticPr fontId="44"/>
  </si>
  <si>
    <r>
      <t>Amount Fraction (</t>
    </r>
    <r>
      <rPr>
        <b/>
        <sz val="11"/>
        <color theme="1"/>
        <rFont val="Calibri"/>
        <family val="2"/>
      </rPr>
      <t>µ</t>
    </r>
    <r>
      <rPr>
        <b/>
        <sz val="11"/>
        <color theme="1"/>
        <rFont val="ＭＳ Ｐゴシック"/>
        <family val="2"/>
        <scheme val="minor"/>
      </rPr>
      <t>mol mol</t>
    </r>
    <r>
      <rPr>
        <b/>
        <vertAlign val="superscript"/>
        <sz val="11"/>
        <color theme="1"/>
        <rFont val="ＭＳ Ｐゴシック"/>
        <family val="2"/>
        <scheme val="minor"/>
      </rPr>
      <t>-1</t>
    </r>
    <r>
      <rPr>
        <b/>
        <sz val="11"/>
        <color theme="1"/>
        <rFont val="ＭＳ Ｐゴシック"/>
        <family val="2"/>
        <scheme val="minor"/>
      </rPr>
      <t>)</t>
    </r>
  </si>
  <si>
    <t>Relative Regime</t>
  </si>
  <si>
    <t>Absolute Regime</t>
  </si>
  <si>
    <t xml:space="preserve"> This is a special case due to data being available from two different amount fractions.</t>
  </si>
  <si>
    <r>
      <t>*To avoid a step change in the uncertainty from the absolute to the relative regime at 10 µmol mol</t>
    </r>
    <r>
      <rPr>
        <b/>
        <vertAlign val="superscript"/>
        <sz val="9"/>
        <color theme="1"/>
        <rFont val="ＭＳ Ｐゴシック"/>
        <family val="2"/>
        <scheme val="minor"/>
      </rPr>
      <t>-1</t>
    </r>
    <r>
      <rPr>
        <b/>
        <sz val="9"/>
        <color theme="1"/>
        <rFont val="ＭＳ Ｐゴシック"/>
        <family val="2"/>
        <scheme val="minor"/>
      </rPr>
      <t xml:space="preserve"> , the lower limit for the relative regime is fixed by the data from the comparison at 30 µmol mol-1 instread of 70 µmol mol</t>
    </r>
    <r>
      <rPr>
        <b/>
        <vertAlign val="superscript"/>
        <sz val="9"/>
        <color theme="1"/>
        <rFont val="ＭＳ Ｐゴシック"/>
        <family val="2"/>
        <scheme val="minor"/>
      </rPr>
      <t>-1</t>
    </r>
    <r>
      <rPr>
        <b/>
        <sz val="9"/>
        <color theme="1"/>
        <rFont val="ＭＳ Ｐゴシック"/>
        <family val="2"/>
        <scheme val="minor"/>
      </rPr>
      <t>.</t>
    </r>
  </si>
  <si>
    <r>
      <t xml:space="preserve">Using  data from 30 </t>
    </r>
    <r>
      <rPr>
        <b/>
        <sz val="11"/>
        <color theme="1"/>
        <rFont val="Calibri"/>
        <family val="2"/>
      </rPr>
      <t>µmol mol</t>
    </r>
    <r>
      <rPr>
        <b/>
        <vertAlign val="superscript"/>
        <sz val="11"/>
        <color theme="1"/>
        <rFont val="Calibri"/>
        <family val="2"/>
      </rPr>
      <t>-1</t>
    </r>
    <r>
      <rPr>
        <b/>
        <sz val="11"/>
        <color theme="1"/>
        <rFont val="Calibri"/>
        <family val="2"/>
      </rPr>
      <t xml:space="preserve"> to support absolute regime and data from 70 µmol mol</t>
    </r>
    <r>
      <rPr>
        <b/>
        <vertAlign val="superscript"/>
        <sz val="11"/>
        <color theme="1"/>
        <rFont val="Calibri"/>
        <family val="2"/>
      </rPr>
      <t>-1</t>
    </r>
    <r>
      <rPr>
        <b/>
        <sz val="11"/>
        <color theme="1"/>
        <rFont val="Calibri"/>
        <family val="2"/>
      </rPr>
      <t xml:space="preserve"> to support relative regime</t>
    </r>
  </si>
  <si>
    <t>Table to be included in the report</t>
  </si>
  <si>
    <t>-</t>
  </si>
  <si>
    <r>
      <t>LB (</t>
    </r>
    <r>
      <rPr>
        <b/>
        <sz val="11"/>
        <color theme="1"/>
        <rFont val="Calibri"/>
        <family val="2"/>
      </rPr>
      <t>µmol mol</t>
    </r>
    <r>
      <rPr>
        <b/>
        <vertAlign val="superscript"/>
        <sz val="11"/>
        <color theme="1"/>
        <rFont val="Calibri"/>
        <family val="2"/>
      </rPr>
      <t>-1</t>
    </r>
    <r>
      <rPr>
        <b/>
        <sz val="11"/>
        <color theme="1"/>
        <rFont val="Calibri"/>
        <family val="2"/>
      </rPr>
      <t>)</t>
    </r>
  </si>
  <si>
    <r>
      <rPr>
        <b/>
        <i/>
        <sz val="11"/>
        <color theme="1"/>
        <rFont val="ＭＳ Ｐゴシック"/>
        <family val="2"/>
        <scheme val="minor"/>
      </rPr>
      <t>U</t>
    </r>
    <r>
      <rPr>
        <b/>
        <sz val="11"/>
        <color theme="1"/>
        <rFont val="ＭＳ Ｐゴシック"/>
        <family val="2"/>
        <scheme val="minor"/>
      </rPr>
      <t xml:space="preserve"> (% relative)</t>
    </r>
  </si>
  <si>
    <r>
      <t>70 µmol mol</t>
    </r>
    <r>
      <rPr>
        <b/>
        <vertAlign val="superscript"/>
        <sz val="11"/>
        <color theme="1"/>
        <rFont val="ＭＳ Ｐゴシック"/>
        <family val="2"/>
        <scheme val="minor"/>
      </rPr>
      <t>-1</t>
    </r>
  </si>
  <si>
    <r>
      <t>30 µmol mol</t>
    </r>
    <r>
      <rPr>
        <b/>
        <vertAlign val="superscript"/>
        <sz val="11"/>
        <color theme="1"/>
        <rFont val="ＭＳ Ｐゴシック"/>
        <family val="2"/>
        <scheme val="minor"/>
      </rPr>
      <t>-1</t>
    </r>
  </si>
  <si>
    <t>Calculations from K137 results</t>
  </si>
  <si>
    <t>CCQM-K90</t>
    <phoneticPr fontId="8"/>
  </si>
  <si>
    <t>CCQM-KXXXX</t>
    <phoneticPr fontId="8"/>
  </si>
  <si>
    <t>Name of Target Analyte</t>
    <phoneticPr fontId="4"/>
  </si>
  <si>
    <t>...</t>
    <phoneticPr fontId="4"/>
  </si>
  <si>
    <r>
      <rPr>
        <i/>
        <sz val="10"/>
        <color theme="4"/>
        <rFont val="Times New Roman"/>
        <family val="1"/>
      </rPr>
      <t xml:space="preserve">ui,ref
</t>
    </r>
    <r>
      <rPr>
        <sz val="10"/>
        <color theme="4"/>
        <rFont val="Times New Roman"/>
        <family val="1"/>
      </rPr>
      <t xml:space="preserve">(µmol/mol)
</t>
    </r>
    <r>
      <rPr>
        <b/>
        <sz val="10"/>
        <color theme="4"/>
        <rFont val="Times New Roman"/>
        <family val="1"/>
      </rPr>
      <t>Standard Unc.</t>
    </r>
    <phoneticPr fontId="4"/>
  </si>
  <si>
    <r>
      <rPr>
        <i/>
        <sz val="10"/>
        <color theme="4"/>
        <rFont val="Times New Roman"/>
        <family val="1"/>
      </rPr>
      <t xml:space="preserve">ui,lab
</t>
    </r>
    <r>
      <rPr>
        <sz val="10"/>
        <color theme="4"/>
        <rFont val="Times New Roman"/>
        <family val="1"/>
      </rPr>
      <t xml:space="preserve">(µmol/mol)
</t>
    </r>
    <r>
      <rPr>
        <b/>
        <sz val="10"/>
        <color theme="4"/>
        <rFont val="Times New Roman"/>
        <family val="1"/>
      </rPr>
      <t>Standard Unc.</t>
    </r>
    <phoneticPr fontId="4"/>
  </si>
  <si>
    <r>
      <rPr>
        <i/>
        <sz val="10"/>
        <color theme="4"/>
        <rFont val="Times New Roman"/>
        <family val="1"/>
      </rPr>
      <t xml:space="preserve">U(Di)
</t>
    </r>
    <r>
      <rPr>
        <sz val="10"/>
        <color theme="4"/>
        <rFont val="Times New Roman"/>
        <family val="1"/>
      </rPr>
      <t>(µmol/mol) (</t>
    </r>
    <r>
      <rPr>
        <i/>
        <sz val="10"/>
        <color theme="4"/>
        <rFont val="Times New Roman"/>
        <family val="1"/>
      </rPr>
      <t>k</t>
    </r>
    <r>
      <rPr>
        <sz val="10"/>
        <color theme="4"/>
        <rFont val="Times New Roman"/>
        <family val="1"/>
      </rPr>
      <t xml:space="preserve">=2)
</t>
    </r>
    <r>
      <rPr>
        <b/>
        <sz val="10"/>
        <color theme="4"/>
        <rFont val="Times New Roman"/>
        <family val="1"/>
      </rPr>
      <t>Expanded Unc.</t>
    </r>
    <phoneticPr fontId="4"/>
  </si>
  <si>
    <t>The results of the comparison may be used to underpin laboratories calibration and measurement capability claims for formaldehyde in nitrogen at mole fractions between 1 μmol mol-1 and 10 μmol mol-1.</t>
  </si>
  <si>
    <t>Formaldehyde in nitrogen at 2 umol/mol</t>
    <phoneticPr fontId="4"/>
  </si>
  <si>
    <r>
      <rPr>
        <b/>
        <sz val="12"/>
        <rFont val="Times New Roman"/>
        <family val="1"/>
      </rPr>
      <t>NMI</t>
    </r>
  </si>
  <si>
    <r>
      <rPr>
        <b/>
        <i/>
        <sz val="12"/>
        <rFont val="Times New Roman"/>
        <family val="1"/>
      </rPr>
      <t>x</t>
    </r>
    <r>
      <rPr>
        <b/>
        <vertAlign val="subscript"/>
        <sz val="12"/>
        <rFont val="Times New Roman"/>
        <family val="1"/>
      </rPr>
      <t>R</t>
    </r>
  </si>
  <si>
    <r>
      <rPr>
        <b/>
        <i/>
        <sz val="12"/>
        <rFont val="Times New Roman"/>
        <family val="1"/>
      </rPr>
      <t>u</t>
    </r>
    <r>
      <rPr>
        <b/>
        <sz val="12"/>
        <rFont val="Times New Roman"/>
        <family val="1"/>
      </rPr>
      <t>(</t>
    </r>
    <r>
      <rPr>
        <b/>
        <i/>
        <sz val="12"/>
        <rFont val="Times New Roman"/>
        <family val="1"/>
      </rPr>
      <t>x</t>
    </r>
    <r>
      <rPr>
        <b/>
        <vertAlign val="subscript"/>
        <sz val="12"/>
        <rFont val="Times New Roman"/>
        <family val="1"/>
      </rPr>
      <t>R</t>
    </r>
    <r>
      <rPr>
        <b/>
        <sz val="12"/>
        <rFont val="Times New Roman"/>
        <family val="1"/>
      </rPr>
      <t>)</t>
    </r>
  </si>
  <si>
    <r>
      <rPr>
        <b/>
        <i/>
        <sz val="12"/>
        <rFont val="Times New Roman"/>
        <family val="1"/>
      </rPr>
      <t>x</t>
    </r>
    <r>
      <rPr>
        <b/>
        <i/>
        <vertAlign val="subscript"/>
        <sz val="12"/>
        <rFont val="Times New Roman"/>
        <family val="1"/>
      </rPr>
      <t>i</t>
    </r>
  </si>
  <si>
    <r>
      <rPr>
        <b/>
        <i/>
        <sz val="12"/>
        <rFont val="Times New Roman"/>
        <family val="1"/>
      </rPr>
      <t>u</t>
    </r>
    <r>
      <rPr>
        <b/>
        <sz val="12"/>
        <rFont val="Times New Roman"/>
        <family val="1"/>
      </rPr>
      <t>(</t>
    </r>
    <r>
      <rPr>
        <b/>
        <i/>
        <sz val="12"/>
        <rFont val="Times New Roman"/>
        <family val="1"/>
      </rPr>
      <t>x</t>
    </r>
    <r>
      <rPr>
        <b/>
        <i/>
        <vertAlign val="subscript"/>
        <sz val="12"/>
        <rFont val="Times New Roman"/>
        <family val="1"/>
      </rPr>
      <t>i</t>
    </r>
    <r>
      <rPr>
        <b/>
        <sz val="12"/>
        <rFont val="Times New Roman"/>
        <family val="1"/>
      </rPr>
      <t>)</t>
    </r>
  </si>
  <si>
    <r>
      <rPr>
        <b/>
        <i/>
        <sz val="12"/>
        <rFont val="Times New Roman"/>
        <family val="1"/>
      </rPr>
      <t>D</t>
    </r>
    <r>
      <rPr>
        <b/>
        <i/>
        <vertAlign val="subscript"/>
        <sz val="12"/>
        <rFont val="Times New Roman"/>
        <family val="1"/>
      </rPr>
      <t>i</t>
    </r>
  </si>
  <si>
    <r>
      <rPr>
        <b/>
        <i/>
        <sz val="12"/>
        <rFont val="Times New Roman"/>
        <family val="1"/>
      </rPr>
      <t>U</t>
    </r>
    <r>
      <rPr>
        <b/>
        <sz val="12"/>
        <rFont val="Times New Roman"/>
        <family val="1"/>
      </rPr>
      <t>(</t>
    </r>
    <r>
      <rPr>
        <b/>
        <i/>
        <sz val="12"/>
        <rFont val="Times New Roman"/>
        <family val="1"/>
      </rPr>
      <t>D</t>
    </r>
    <r>
      <rPr>
        <b/>
        <i/>
        <vertAlign val="subscript"/>
        <sz val="12"/>
        <rFont val="Times New Roman"/>
        <family val="1"/>
      </rPr>
      <t>i</t>
    </r>
    <r>
      <rPr>
        <b/>
        <sz val="12"/>
        <rFont val="Times New Roman"/>
        <family val="1"/>
      </rPr>
      <t>)</t>
    </r>
  </si>
  <si>
    <r>
      <rPr>
        <sz val="11"/>
        <rFont val="Calibri"/>
        <family val="2"/>
      </rPr>
      <t>BIPM</t>
    </r>
  </si>
  <si>
    <r>
      <rPr>
        <sz val="11"/>
        <rFont val="Calibri"/>
        <family val="2"/>
      </rPr>
      <t>KRISS</t>
    </r>
  </si>
  <si>
    <r>
      <rPr>
        <sz val="11"/>
        <rFont val="Calibri"/>
        <family val="2"/>
      </rPr>
      <t>LNE</t>
    </r>
  </si>
  <si>
    <r>
      <rPr>
        <sz val="11"/>
        <rFont val="Calibri"/>
        <family val="2"/>
      </rPr>
      <t>NIM</t>
    </r>
  </si>
  <si>
    <r>
      <rPr>
        <sz val="11"/>
        <rFont val="Calibri"/>
        <family val="2"/>
      </rPr>
      <t>NMIJ</t>
    </r>
  </si>
  <si>
    <r>
      <rPr>
        <sz val="11"/>
        <rFont val="Calibri"/>
        <family val="2"/>
      </rPr>
      <t>NPL</t>
    </r>
  </si>
  <si>
    <r>
      <rPr>
        <sz val="11"/>
        <rFont val="Calibri"/>
        <family val="2"/>
      </rPr>
      <t>VNIIM</t>
    </r>
  </si>
  <si>
    <r>
      <rPr>
        <sz val="11"/>
        <rFont val="Calibri"/>
        <family val="2"/>
      </rPr>
      <t>VSL</t>
    </r>
  </si>
  <si>
    <t>Formaldehyde</t>
    <phoneticPr fontId="4"/>
  </si>
  <si>
    <r>
      <t>The comparison will</t>
    </r>
    <r>
      <rPr>
        <sz val="10"/>
        <color rgb="FF000000"/>
        <rFont val="Times New Roman"/>
        <family val="1"/>
      </rPr>
      <t xml:space="preserve"> underpin CMC claims for CO2 in air for standards and calibrations services for the atmospheric</t>
    </r>
    <phoneticPr fontId="8"/>
  </si>
  <si>
    <r>
      <t>monitoring community, matrix matched to real air, over the mole fraction range of 250 μmol/mol</t>
    </r>
    <r>
      <rPr>
        <sz val="10"/>
        <color rgb="FF000000"/>
        <rFont val="Times New Roman"/>
        <family val="1"/>
      </rPr>
      <t xml:space="preserve"> to 520 μmol/mol.</t>
    </r>
    <phoneticPr fontId="8"/>
  </si>
  <si>
    <t>CO2/Air : 380 umol/mol</t>
    <phoneticPr fontId="8"/>
  </si>
  <si>
    <t>CO2/Air : 480 umol/mol</t>
    <phoneticPr fontId="8"/>
  </si>
  <si>
    <t>CO2/Air : 800 umol/mol</t>
    <phoneticPr fontId="8"/>
  </si>
  <si>
    <r>
      <rPr>
        <sz val="12"/>
        <rFont val="Times New Roman"/>
        <family val="1"/>
      </rPr>
      <t>comparison  reference  values  and  degrees  of  equivalence  are  listed  in  Table  14.  Degrees  of equivalence are plotted in Figure 11.</t>
    </r>
  </si>
  <si>
    <r>
      <rPr>
        <sz val="8"/>
        <rFont val="Times New Roman"/>
        <family val="1"/>
      </rPr>
      <t>Participant</t>
    </r>
  </si>
  <si>
    <r>
      <rPr>
        <sz val="8"/>
        <rFont val="Times New Roman"/>
        <family val="1"/>
      </rPr>
      <t>Cylinder</t>
    </r>
  </si>
  <si>
    <r>
      <rPr>
        <i/>
        <vertAlign val="superscript"/>
        <sz val="8"/>
        <rFont val="Times New Roman"/>
        <family val="1"/>
      </rPr>
      <t>x</t>
    </r>
    <r>
      <rPr>
        <i/>
        <sz val="5"/>
        <rFont val="Times New Roman"/>
        <family val="1"/>
      </rPr>
      <t xml:space="preserve">KCRV
</t>
    </r>
    <r>
      <rPr>
        <sz val="5"/>
        <rFont val="Times New Roman"/>
        <family val="1"/>
      </rPr>
      <t xml:space="preserve">XLGENLINE predictied value from FTIR)
</t>
    </r>
    <r>
      <rPr>
        <sz val="8"/>
        <rFont val="Times New Roman"/>
        <family val="1"/>
      </rPr>
      <t>(µmol/mol)</t>
    </r>
  </si>
  <si>
    <r>
      <rPr>
        <i/>
        <sz val="8"/>
        <rFont val="Times New Roman"/>
        <family val="1"/>
      </rPr>
      <t>u</t>
    </r>
    <r>
      <rPr>
        <sz val="8"/>
        <rFont val="Times New Roman"/>
        <family val="1"/>
      </rPr>
      <t>(</t>
    </r>
    <r>
      <rPr>
        <i/>
        <sz val="8"/>
        <rFont val="Times New Roman"/>
        <family val="1"/>
      </rPr>
      <t>x</t>
    </r>
    <r>
      <rPr>
        <i/>
        <vertAlign val="subscript"/>
        <sz val="5"/>
        <rFont val="Times New Roman"/>
        <family val="1"/>
      </rPr>
      <t>KCRV</t>
    </r>
    <r>
      <rPr>
        <sz val="8"/>
        <rFont val="Times New Roman"/>
        <family val="1"/>
      </rPr>
      <t xml:space="preserve">)
</t>
    </r>
    <r>
      <rPr>
        <sz val="8"/>
        <rFont val="Times New Roman"/>
        <family val="1"/>
      </rPr>
      <t>(µmol/mol)</t>
    </r>
  </si>
  <si>
    <r>
      <rPr>
        <i/>
        <vertAlign val="superscript"/>
        <sz val="8"/>
        <rFont val="Times New Roman"/>
        <family val="1"/>
      </rPr>
      <t>x</t>
    </r>
    <r>
      <rPr>
        <sz val="5"/>
        <rFont val="Times New Roman"/>
        <family val="1"/>
      </rPr>
      <t xml:space="preserve">NMI
</t>
    </r>
    <r>
      <rPr>
        <sz val="8"/>
        <rFont val="Times New Roman"/>
        <family val="1"/>
      </rPr>
      <t>(µmol/mol)</t>
    </r>
  </si>
  <si>
    <r>
      <rPr>
        <i/>
        <sz val="8"/>
        <rFont val="Times New Roman"/>
        <family val="1"/>
      </rPr>
      <t>u</t>
    </r>
    <r>
      <rPr>
        <sz val="8"/>
        <rFont val="Times New Roman"/>
        <family val="1"/>
      </rPr>
      <t>(</t>
    </r>
    <r>
      <rPr>
        <i/>
        <sz val="8"/>
        <rFont val="Times New Roman"/>
        <family val="1"/>
      </rPr>
      <t>x</t>
    </r>
    <r>
      <rPr>
        <vertAlign val="subscript"/>
        <sz val="5"/>
        <rFont val="Times New Roman"/>
        <family val="1"/>
      </rPr>
      <t>NMI</t>
    </r>
    <r>
      <rPr>
        <sz val="8"/>
        <rFont val="Times New Roman"/>
        <family val="1"/>
      </rPr>
      <t xml:space="preserve">)
</t>
    </r>
    <r>
      <rPr>
        <sz val="8"/>
        <rFont val="Times New Roman"/>
        <family val="1"/>
      </rPr>
      <t>(µmol/mol)</t>
    </r>
  </si>
  <si>
    <r>
      <rPr>
        <i/>
        <vertAlign val="superscript"/>
        <sz val="8"/>
        <rFont val="Times New Roman"/>
        <family val="1"/>
      </rPr>
      <t>D</t>
    </r>
    <r>
      <rPr>
        <i/>
        <sz val="5"/>
        <rFont val="Times New Roman"/>
        <family val="1"/>
      </rPr>
      <t>1</t>
    </r>
    <r>
      <rPr>
        <vertAlign val="superscript"/>
        <sz val="8"/>
        <rFont val="Times New Roman"/>
        <family val="1"/>
      </rPr>
      <t xml:space="preserve">( </t>
    </r>
    <r>
      <rPr>
        <i/>
        <vertAlign val="superscript"/>
        <sz val="8"/>
        <rFont val="Times New Roman"/>
        <family val="1"/>
      </rPr>
      <t>x</t>
    </r>
    <r>
      <rPr>
        <sz val="5"/>
        <rFont val="Times New Roman"/>
        <family val="1"/>
      </rPr>
      <t xml:space="preserve">NMI-  </t>
    </r>
    <r>
      <rPr>
        <i/>
        <vertAlign val="superscript"/>
        <sz val="8"/>
        <rFont val="Times New Roman"/>
        <family val="1"/>
      </rPr>
      <t>x</t>
    </r>
    <r>
      <rPr>
        <sz val="5"/>
        <rFont val="Times New Roman"/>
        <family val="1"/>
      </rPr>
      <t xml:space="preserve">KCRV
</t>
    </r>
    <r>
      <rPr>
        <sz val="8"/>
        <rFont val="Times New Roman"/>
        <family val="1"/>
      </rPr>
      <t>(µmol/mol)</t>
    </r>
  </si>
  <si>
    <r>
      <rPr>
        <i/>
        <sz val="8"/>
        <rFont val="Times New Roman"/>
        <family val="1"/>
      </rPr>
      <t>u</t>
    </r>
    <r>
      <rPr>
        <sz val="8"/>
        <rFont val="Times New Roman"/>
        <family val="1"/>
      </rPr>
      <t>(</t>
    </r>
    <r>
      <rPr>
        <i/>
        <sz val="8"/>
        <rFont val="Times New Roman"/>
        <family val="1"/>
      </rPr>
      <t>D</t>
    </r>
    <r>
      <rPr>
        <i/>
        <vertAlign val="subscript"/>
        <sz val="5"/>
        <rFont val="Times New Roman"/>
        <family val="1"/>
      </rPr>
      <t>1</t>
    </r>
    <r>
      <rPr>
        <sz val="8"/>
        <rFont val="Times New Roman"/>
        <family val="1"/>
      </rPr>
      <t xml:space="preserve">)
</t>
    </r>
    <r>
      <rPr>
        <sz val="8"/>
        <rFont val="Times New Roman"/>
        <family val="1"/>
      </rPr>
      <t>(µmol/mol)</t>
    </r>
  </si>
  <si>
    <r>
      <rPr>
        <i/>
        <sz val="8"/>
        <rFont val="Times New Roman"/>
        <family val="1"/>
      </rPr>
      <t>U</t>
    </r>
    <r>
      <rPr>
        <sz val="8"/>
        <rFont val="Times New Roman"/>
        <family val="1"/>
      </rPr>
      <t xml:space="preserve">( </t>
    </r>
    <r>
      <rPr>
        <i/>
        <sz val="8"/>
        <rFont val="Times New Roman"/>
        <family val="1"/>
      </rPr>
      <t>D</t>
    </r>
    <r>
      <rPr>
        <i/>
        <vertAlign val="subscript"/>
        <sz val="5"/>
        <rFont val="Times New Roman"/>
        <family val="1"/>
      </rPr>
      <t>1</t>
    </r>
    <r>
      <rPr>
        <sz val="8"/>
        <rFont val="Times New Roman"/>
        <family val="1"/>
      </rPr>
      <t xml:space="preserve">)
</t>
    </r>
    <r>
      <rPr>
        <i/>
        <sz val="8"/>
        <rFont val="Arial"/>
        <family val="2"/>
      </rPr>
      <t xml:space="preserve">(k=2)
</t>
    </r>
    <r>
      <rPr>
        <sz val="8"/>
        <rFont val="Times New Roman"/>
        <family val="1"/>
      </rPr>
      <t>(µmol/mol)</t>
    </r>
  </si>
  <si>
    <r>
      <rPr>
        <b/>
        <sz val="8"/>
        <rFont val="Calibri"/>
        <family val="2"/>
      </rPr>
      <t>GUM</t>
    </r>
  </si>
  <si>
    <r>
      <rPr>
        <b/>
        <sz val="8"/>
        <rFont val="Calibri"/>
        <family val="2"/>
      </rPr>
      <t>D298392</t>
    </r>
  </si>
  <si>
    <r>
      <rPr>
        <b/>
        <sz val="8"/>
        <rFont val="Calibri"/>
        <family val="2"/>
      </rPr>
      <t>KRISS</t>
    </r>
  </si>
  <si>
    <r>
      <rPr>
        <b/>
        <sz val="8"/>
        <rFont val="Calibri"/>
        <family val="2"/>
      </rPr>
      <t>D500642</t>
    </r>
  </si>
  <si>
    <r>
      <rPr>
        <b/>
        <sz val="8"/>
        <rFont val="Calibri"/>
        <family val="2"/>
      </rPr>
      <t>LNE</t>
    </r>
  </si>
  <si>
    <r>
      <rPr>
        <b/>
        <sz val="8"/>
        <rFont val="Calibri"/>
        <family val="2"/>
      </rPr>
      <t>NIM</t>
    </r>
  </si>
  <si>
    <r>
      <rPr>
        <b/>
        <sz val="8"/>
        <rFont val="Calibri"/>
        <family val="2"/>
      </rPr>
      <t>FB03747</t>
    </r>
  </si>
  <si>
    <r>
      <rPr>
        <b/>
        <sz val="8"/>
        <rFont val="Calibri"/>
        <family val="2"/>
      </rPr>
      <t>NMIJ</t>
    </r>
  </si>
  <si>
    <r>
      <rPr>
        <b/>
        <sz val="8"/>
        <rFont val="Calibri"/>
        <family val="2"/>
      </rPr>
      <t>CPC00486</t>
    </r>
  </si>
  <si>
    <r>
      <rPr>
        <b/>
        <sz val="8"/>
        <rFont val="Calibri"/>
        <family val="2"/>
      </rPr>
      <t>NMISA</t>
    </r>
  </si>
  <si>
    <r>
      <rPr>
        <b/>
        <sz val="8"/>
        <rFont val="Calibri"/>
        <family val="2"/>
      </rPr>
      <t>M51 8232</t>
    </r>
  </si>
  <si>
    <r>
      <rPr>
        <b/>
        <sz val="8"/>
        <rFont val="Calibri"/>
        <family val="2"/>
      </rPr>
      <t>NOAA</t>
    </r>
  </si>
  <si>
    <r>
      <rPr>
        <b/>
        <sz val="8"/>
        <rFont val="Calibri"/>
        <family val="2"/>
      </rPr>
      <t>CC310084</t>
    </r>
  </si>
  <si>
    <r>
      <rPr>
        <b/>
        <sz val="8"/>
        <rFont val="Calibri"/>
        <family val="2"/>
      </rPr>
      <t>NPL</t>
    </r>
  </si>
  <si>
    <r>
      <rPr>
        <b/>
        <sz val="8"/>
        <rFont val="Calibri"/>
        <family val="2"/>
      </rPr>
      <t>VNIIM</t>
    </r>
  </si>
  <si>
    <r>
      <rPr>
        <b/>
        <sz val="8"/>
        <rFont val="Calibri"/>
        <family val="2"/>
      </rPr>
      <t>M365601</t>
    </r>
  </si>
  <si>
    <r>
      <rPr>
        <b/>
        <sz val="8"/>
        <rFont val="Calibri"/>
        <family val="2"/>
      </rPr>
      <t>VSL</t>
    </r>
  </si>
  <si>
    <r>
      <rPr>
        <b/>
        <sz val="8"/>
        <rFont val="Calibri"/>
        <family val="2"/>
      </rPr>
      <t>UME</t>
    </r>
  </si>
  <si>
    <r>
      <rPr>
        <b/>
        <sz val="8"/>
        <rFont val="Calibri"/>
        <family val="2"/>
      </rPr>
      <t>PSM298266</t>
    </r>
  </si>
  <si>
    <r>
      <rPr>
        <sz val="8"/>
        <rFont val="Calibri"/>
        <family val="2"/>
      </rPr>
      <t>BFKH</t>
    </r>
  </si>
  <si>
    <r>
      <rPr>
        <sz val="8"/>
        <rFont val="Calibri"/>
        <family val="2"/>
      </rPr>
      <t>OMH54</t>
    </r>
  </si>
  <si>
    <r>
      <rPr>
        <sz val="8"/>
        <rFont val="Calibri"/>
        <family val="2"/>
      </rPr>
      <t>NIST</t>
    </r>
  </si>
  <si>
    <r>
      <rPr>
        <sz val="8"/>
        <rFont val="Calibri"/>
        <family val="2"/>
      </rPr>
      <t>FB04278</t>
    </r>
  </si>
  <si>
    <r>
      <rPr>
        <sz val="8"/>
        <rFont val="Calibri"/>
        <family val="2"/>
      </rPr>
      <t>NPLI</t>
    </r>
  </si>
  <si>
    <r>
      <rPr>
        <sz val="8"/>
        <rFont val="Calibri"/>
        <family val="2"/>
      </rPr>
      <t>JJ108891</t>
    </r>
  </si>
  <si>
    <r>
      <rPr>
        <i/>
        <sz val="10"/>
        <rFont val="Times New Roman"/>
        <family val="1"/>
      </rPr>
      <t>Table 12. Degrees of Equivalence using FTIR measurement results at the nominal mole fraction of 380 µmol mol</t>
    </r>
    <r>
      <rPr>
        <i/>
        <vertAlign val="superscript"/>
        <sz val="7"/>
        <rFont val="Times New Roman"/>
        <family val="1"/>
      </rPr>
      <t>-1</t>
    </r>
    <r>
      <rPr>
        <i/>
        <sz val="10"/>
        <rFont val="Times New Roman"/>
        <family val="1"/>
      </rPr>
      <t>. Bold: Data points included in the self-consistent set. *Re-submitted value following the decision of the the CCQM GAWG. ** Uncertainties below the cutoff value of 0.095 µmol mol</t>
    </r>
    <r>
      <rPr>
        <i/>
        <vertAlign val="superscript"/>
        <sz val="7"/>
        <rFont val="Calibri"/>
        <family val="2"/>
      </rPr>
      <t>−1</t>
    </r>
    <r>
      <rPr>
        <i/>
        <sz val="10"/>
        <rFont val="Times New Roman"/>
        <family val="1"/>
      </rPr>
      <t>.</t>
    </r>
  </si>
  <si>
    <r>
      <rPr>
        <i/>
        <vertAlign val="superscript"/>
        <sz val="8"/>
        <rFont val="Times New Roman"/>
        <family val="1"/>
      </rPr>
      <t>x</t>
    </r>
    <r>
      <rPr>
        <i/>
        <sz val="5"/>
        <rFont val="Times New Roman"/>
        <family val="1"/>
      </rPr>
      <t xml:space="preserve">KCRV
</t>
    </r>
    <r>
      <rPr>
        <sz val="5"/>
        <rFont val="Times New Roman"/>
        <family val="1"/>
      </rPr>
      <t xml:space="preserve">XLGENLINE predictied from FTIR)
</t>
    </r>
    <r>
      <rPr>
        <sz val="8"/>
        <rFont val="Times New Roman"/>
        <family val="1"/>
      </rPr>
      <t>(µmol/mol)</t>
    </r>
  </si>
  <si>
    <r>
      <rPr>
        <i/>
        <vertAlign val="superscript"/>
        <sz val="8"/>
        <rFont val="Times New Roman"/>
        <family val="1"/>
      </rPr>
      <t>D</t>
    </r>
    <r>
      <rPr>
        <i/>
        <sz val="5"/>
        <rFont val="Times New Roman"/>
        <family val="1"/>
      </rPr>
      <t>2</t>
    </r>
    <r>
      <rPr>
        <vertAlign val="superscript"/>
        <sz val="8"/>
        <rFont val="Times New Roman"/>
        <family val="1"/>
      </rPr>
      <t xml:space="preserve">( </t>
    </r>
    <r>
      <rPr>
        <i/>
        <vertAlign val="superscript"/>
        <sz val="8"/>
        <rFont val="Times New Roman"/>
        <family val="1"/>
      </rPr>
      <t>x</t>
    </r>
    <r>
      <rPr>
        <sz val="5"/>
        <rFont val="Times New Roman"/>
        <family val="1"/>
      </rPr>
      <t xml:space="preserve">NMI-  </t>
    </r>
    <r>
      <rPr>
        <i/>
        <vertAlign val="superscript"/>
        <sz val="8"/>
        <rFont val="Times New Roman"/>
        <family val="1"/>
      </rPr>
      <t>x</t>
    </r>
    <r>
      <rPr>
        <sz val="5"/>
        <rFont val="Times New Roman"/>
        <family val="1"/>
      </rPr>
      <t xml:space="preserve">KCRV
</t>
    </r>
    <r>
      <rPr>
        <sz val="8"/>
        <rFont val="Times New Roman"/>
        <family val="1"/>
      </rPr>
      <t>(µmol/mol)</t>
    </r>
  </si>
  <si>
    <r>
      <rPr>
        <i/>
        <sz val="8"/>
        <rFont val="Times New Roman"/>
        <family val="1"/>
      </rPr>
      <t>u</t>
    </r>
    <r>
      <rPr>
        <sz val="8"/>
        <rFont val="Times New Roman"/>
        <family val="1"/>
      </rPr>
      <t>(</t>
    </r>
    <r>
      <rPr>
        <i/>
        <sz val="8"/>
        <rFont val="Times New Roman"/>
        <family val="1"/>
      </rPr>
      <t>D</t>
    </r>
    <r>
      <rPr>
        <i/>
        <vertAlign val="subscript"/>
        <sz val="5"/>
        <rFont val="Times New Roman"/>
        <family val="1"/>
      </rPr>
      <t>2</t>
    </r>
    <r>
      <rPr>
        <sz val="8"/>
        <rFont val="Times New Roman"/>
        <family val="1"/>
      </rPr>
      <t xml:space="preserve">)
</t>
    </r>
    <r>
      <rPr>
        <sz val="8"/>
        <rFont val="Times New Roman"/>
        <family val="1"/>
      </rPr>
      <t>(µmol/mol)</t>
    </r>
  </si>
  <si>
    <r>
      <rPr>
        <i/>
        <sz val="8"/>
        <rFont val="Times New Roman"/>
        <family val="1"/>
      </rPr>
      <t>U</t>
    </r>
    <r>
      <rPr>
        <sz val="8"/>
        <rFont val="Times New Roman"/>
        <family val="1"/>
      </rPr>
      <t xml:space="preserve">( </t>
    </r>
    <r>
      <rPr>
        <i/>
        <sz val="8"/>
        <rFont val="Times New Roman"/>
        <family val="1"/>
      </rPr>
      <t>D</t>
    </r>
    <r>
      <rPr>
        <i/>
        <vertAlign val="subscript"/>
        <sz val="5"/>
        <rFont val="Times New Roman"/>
        <family val="1"/>
      </rPr>
      <t>2</t>
    </r>
    <r>
      <rPr>
        <sz val="8"/>
        <rFont val="Times New Roman"/>
        <family val="1"/>
      </rPr>
      <t xml:space="preserve">)
</t>
    </r>
    <r>
      <rPr>
        <i/>
        <sz val="8"/>
        <rFont val="Arial"/>
        <family val="2"/>
      </rPr>
      <t xml:space="preserve">(k=2)
</t>
    </r>
    <r>
      <rPr>
        <sz val="8"/>
        <rFont val="Times New Roman"/>
        <family val="1"/>
      </rPr>
      <t>(µmol/mol)</t>
    </r>
  </si>
  <si>
    <r>
      <rPr>
        <sz val="8"/>
        <rFont val="Times New Roman"/>
        <family val="1"/>
      </rPr>
      <t>)</t>
    </r>
  </si>
  <si>
    <r>
      <rPr>
        <b/>
        <sz val="8"/>
        <rFont val="Calibri"/>
        <family val="2"/>
      </rPr>
      <t>D298393</t>
    </r>
  </si>
  <si>
    <r>
      <rPr>
        <b/>
        <sz val="8"/>
        <rFont val="Calibri"/>
        <family val="2"/>
      </rPr>
      <t>INRIM</t>
    </r>
  </si>
  <si>
    <r>
      <rPr>
        <b/>
        <sz val="8"/>
        <rFont val="Calibri"/>
        <family val="2"/>
      </rPr>
      <t>D247440</t>
    </r>
  </si>
  <si>
    <r>
      <rPr>
        <b/>
        <sz val="8"/>
        <rFont val="Calibri"/>
        <family val="2"/>
      </rPr>
      <t>D500647</t>
    </r>
  </si>
  <si>
    <r>
      <rPr>
        <b/>
        <sz val="8"/>
        <rFont val="Calibri"/>
        <family val="2"/>
      </rPr>
      <t>FB03744</t>
    </r>
  </si>
  <si>
    <r>
      <rPr>
        <b/>
        <sz val="8"/>
        <rFont val="Calibri"/>
        <family val="2"/>
      </rPr>
      <t>CPC00494</t>
    </r>
  </si>
  <si>
    <r>
      <rPr>
        <b/>
        <sz val="8"/>
        <rFont val="Calibri"/>
        <family val="2"/>
      </rPr>
      <t>M51 8167</t>
    </r>
  </si>
  <si>
    <r>
      <rPr>
        <b/>
        <sz val="8"/>
        <rFont val="Calibri"/>
        <family val="2"/>
      </rPr>
      <t>CC305198</t>
    </r>
  </si>
  <si>
    <r>
      <rPr>
        <b/>
        <sz val="8"/>
        <rFont val="Calibri"/>
        <family val="2"/>
      </rPr>
      <t>M365664</t>
    </r>
  </si>
  <si>
    <r>
      <rPr>
        <b/>
        <sz val="8"/>
        <rFont val="Calibri"/>
        <family val="2"/>
      </rPr>
      <t>PSM266468</t>
    </r>
  </si>
  <si>
    <r>
      <rPr>
        <sz val="8"/>
        <rFont val="Calibri"/>
        <family val="2"/>
      </rPr>
      <t>OMH44</t>
    </r>
  </si>
  <si>
    <r>
      <rPr>
        <sz val="8"/>
        <rFont val="Calibri"/>
        <family val="2"/>
      </rPr>
      <t>FB04300</t>
    </r>
  </si>
  <si>
    <r>
      <rPr>
        <sz val="8"/>
        <rFont val="Calibri"/>
        <family val="2"/>
      </rPr>
      <t>JJ108862</t>
    </r>
  </si>
  <si>
    <r>
      <rPr>
        <i/>
        <sz val="10"/>
        <rFont val="Times New Roman"/>
        <family val="1"/>
      </rPr>
      <t>Table 13.  Degrees of Equivalence using FTIR measurement results at the nominal mole fraction of 480 µmol mol</t>
    </r>
    <r>
      <rPr>
        <i/>
        <vertAlign val="superscript"/>
        <sz val="7"/>
        <rFont val="Times New Roman"/>
        <family val="1"/>
      </rPr>
      <t>-1</t>
    </r>
    <r>
      <rPr>
        <i/>
        <sz val="10"/>
        <rFont val="Times New Roman"/>
        <family val="1"/>
      </rPr>
      <t>. Bold: Data points included in the self-consistent set. *Re-submitted value following the decision of the the CCQM GAWG. ** Uncertainties below the cutoff value of 0.095 µmol mol</t>
    </r>
    <r>
      <rPr>
        <i/>
        <vertAlign val="superscript"/>
        <sz val="7"/>
        <rFont val="Calibri"/>
        <family val="2"/>
      </rPr>
      <t>−1</t>
    </r>
    <r>
      <rPr>
        <i/>
        <sz val="10"/>
        <rFont val="Times New Roman"/>
        <family val="1"/>
      </rPr>
      <t>.</t>
    </r>
  </si>
  <si>
    <r>
      <rPr>
        <i/>
        <vertAlign val="superscript"/>
        <sz val="8"/>
        <rFont val="Times New Roman"/>
        <family val="1"/>
      </rPr>
      <t>D</t>
    </r>
    <r>
      <rPr>
        <i/>
        <sz val="5"/>
        <rFont val="Times New Roman"/>
        <family val="1"/>
      </rPr>
      <t>3</t>
    </r>
    <r>
      <rPr>
        <vertAlign val="superscript"/>
        <sz val="8"/>
        <rFont val="Times New Roman"/>
        <family val="1"/>
      </rPr>
      <t xml:space="preserve">( </t>
    </r>
    <r>
      <rPr>
        <i/>
        <vertAlign val="superscript"/>
        <sz val="8"/>
        <rFont val="Times New Roman"/>
        <family val="1"/>
      </rPr>
      <t>x</t>
    </r>
    <r>
      <rPr>
        <sz val="5"/>
        <rFont val="Times New Roman"/>
        <family val="1"/>
      </rPr>
      <t xml:space="preserve">NMI-  </t>
    </r>
    <r>
      <rPr>
        <i/>
        <vertAlign val="superscript"/>
        <sz val="8"/>
        <rFont val="Times New Roman"/>
        <family val="1"/>
      </rPr>
      <t>x</t>
    </r>
    <r>
      <rPr>
        <sz val="5"/>
        <rFont val="Times New Roman"/>
        <family val="1"/>
      </rPr>
      <t xml:space="preserve">KCRV
</t>
    </r>
    <r>
      <rPr>
        <sz val="8"/>
        <rFont val="Times New Roman"/>
        <family val="1"/>
      </rPr>
      <t>(µmol/mol)</t>
    </r>
  </si>
  <si>
    <r>
      <rPr>
        <i/>
        <sz val="8"/>
        <rFont val="Times New Roman"/>
        <family val="1"/>
      </rPr>
      <t>u</t>
    </r>
    <r>
      <rPr>
        <sz val="8"/>
        <rFont val="Times New Roman"/>
        <family val="1"/>
      </rPr>
      <t>(</t>
    </r>
    <r>
      <rPr>
        <i/>
        <sz val="8"/>
        <rFont val="Times New Roman"/>
        <family val="1"/>
      </rPr>
      <t>D</t>
    </r>
    <r>
      <rPr>
        <i/>
        <vertAlign val="subscript"/>
        <sz val="5"/>
        <rFont val="Times New Roman"/>
        <family val="1"/>
      </rPr>
      <t>3</t>
    </r>
    <r>
      <rPr>
        <sz val="8"/>
        <rFont val="Times New Roman"/>
        <family val="1"/>
      </rPr>
      <t xml:space="preserve">)
</t>
    </r>
    <r>
      <rPr>
        <sz val="8"/>
        <rFont val="Times New Roman"/>
        <family val="1"/>
      </rPr>
      <t>(µmol/mol)</t>
    </r>
  </si>
  <si>
    <r>
      <rPr>
        <i/>
        <sz val="8"/>
        <rFont val="Times New Roman"/>
        <family val="1"/>
      </rPr>
      <t>U</t>
    </r>
    <r>
      <rPr>
        <sz val="8"/>
        <rFont val="Times New Roman"/>
        <family val="1"/>
      </rPr>
      <t xml:space="preserve">( </t>
    </r>
    <r>
      <rPr>
        <i/>
        <sz val="8"/>
        <rFont val="Times New Roman"/>
        <family val="1"/>
      </rPr>
      <t>D</t>
    </r>
    <r>
      <rPr>
        <i/>
        <vertAlign val="subscript"/>
        <sz val="5"/>
        <rFont val="Times New Roman"/>
        <family val="1"/>
      </rPr>
      <t>3</t>
    </r>
    <r>
      <rPr>
        <sz val="8"/>
        <rFont val="Times New Roman"/>
        <family val="1"/>
      </rPr>
      <t xml:space="preserve">)
</t>
    </r>
    <r>
      <rPr>
        <i/>
        <sz val="8"/>
        <rFont val="Arial"/>
        <family val="2"/>
      </rPr>
      <t xml:space="preserve">(k=2)
</t>
    </r>
    <r>
      <rPr>
        <sz val="8"/>
        <rFont val="Times New Roman"/>
        <family val="1"/>
      </rPr>
      <t>(µmol/mol)</t>
    </r>
  </si>
  <si>
    <r>
      <rPr>
        <b/>
        <sz val="8"/>
        <rFont val="Times New Roman"/>
        <family val="1"/>
      </rPr>
      <t>GUM</t>
    </r>
  </si>
  <si>
    <r>
      <rPr>
        <b/>
        <sz val="8"/>
        <rFont val="Times New Roman"/>
        <family val="1"/>
      </rPr>
      <t>D298402</t>
    </r>
  </si>
  <si>
    <r>
      <rPr>
        <b/>
        <sz val="8"/>
        <rFont val="Times New Roman"/>
        <family val="1"/>
      </rPr>
      <t>INRIM</t>
    </r>
  </si>
  <si>
    <r>
      <rPr>
        <b/>
        <sz val="8"/>
        <rFont val="Times New Roman"/>
        <family val="1"/>
      </rPr>
      <t>D247445</t>
    </r>
  </si>
  <si>
    <r>
      <rPr>
        <b/>
        <sz val="8"/>
        <rFont val="Times New Roman"/>
        <family val="1"/>
      </rPr>
      <t>KRISS</t>
    </r>
  </si>
  <si>
    <r>
      <rPr>
        <b/>
        <sz val="8"/>
        <rFont val="Times New Roman"/>
        <family val="1"/>
      </rPr>
      <t>D500672</t>
    </r>
  </si>
  <si>
    <r>
      <rPr>
        <b/>
        <sz val="8"/>
        <rFont val="Times New Roman"/>
        <family val="1"/>
      </rPr>
      <t>LNE</t>
    </r>
  </si>
  <si>
    <r>
      <rPr>
        <b/>
        <sz val="8"/>
        <rFont val="Times New Roman"/>
        <family val="1"/>
      </rPr>
      <t>NMIJ</t>
    </r>
  </si>
  <si>
    <r>
      <rPr>
        <b/>
        <sz val="8"/>
        <rFont val="Times New Roman"/>
        <family val="1"/>
      </rPr>
      <t>CPC00558</t>
    </r>
  </si>
  <si>
    <r>
      <rPr>
        <b/>
        <sz val="8"/>
        <rFont val="Times New Roman"/>
        <family val="1"/>
      </rPr>
      <t>NPL</t>
    </r>
  </si>
  <si>
    <r>
      <rPr>
        <b/>
        <sz val="8"/>
        <rFont val="Times New Roman"/>
        <family val="1"/>
      </rPr>
      <t>NMISA</t>
    </r>
  </si>
  <si>
    <r>
      <rPr>
        <b/>
        <sz val="8"/>
        <rFont val="Times New Roman"/>
        <family val="1"/>
      </rPr>
      <t>M518244</t>
    </r>
  </si>
  <si>
    <r>
      <rPr>
        <b/>
        <sz val="8"/>
        <rFont val="Times New Roman"/>
        <family val="1"/>
      </rPr>
      <t>VNIIM</t>
    </r>
  </si>
  <si>
    <r>
      <rPr>
        <b/>
        <sz val="8"/>
        <rFont val="Times New Roman"/>
        <family val="1"/>
      </rPr>
      <t>M365707</t>
    </r>
  </si>
  <si>
    <r>
      <rPr>
        <b/>
        <sz val="8"/>
        <rFont val="Times New Roman"/>
        <family val="1"/>
      </rPr>
      <t>VSL</t>
    </r>
  </si>
  <si>
    <r>
      <rPr>
        <b/>
        <sz val="8"/>
        <rFont val="Times New Roman"/>
        <family val="1"/>
      </rPr>
      <t>UME</t>
    </r>
  </si>
  <si>
    <r>
      <rPr>
        <b/>
        <sz val="8"/>
        <rFont val="Times New Roman"/>
        <family val="1"/>
      </rPr>
      <t>PSM298347</t>
    </r>
  </si>
  <si>
    <r>
      <rPr>
        <sz val="8"/>
        <rFont val="Times New Roman"/>
        <family val="1"/>
      </rPr>
      <t>NIM</t>
    </r>
  </si>
  <si>
    <r>
      <rPr>
        <sz val="8"/>
        <rFont val="Times New Roman"/>
        <family val="1"/>
      </rPr>
      <t>FB03748</t>
    </r>
  </si>
  <si>
    <r>
      <rPr>
        <sz val="8"/>
        <rFont val="Times New Roman"/>
        <family val="1"/>
      </rPr>
      <t>NOAA</t>
    </r>
  </si>
  <si>
    <r>
      <rPr>
        <sz val="8"/>
        <rFont val="Times New Roman"/>
        <family val="1"/>
      </rPr>
      <t>CB11668</t>
    </r>
  </si>
  <si>
    <r>
      <rPr>
        <sz val="8"/>
        <rFont val="Times New Roman"/>
        <family val="1"/>
      </rPr>
      <t>BFKH</t>
    </r>
  </si>
  <si>
    <r>
      <rPr>
        <sz val="8"/>
        <rFont val="Times New Roman"/>
        <family val="1"/>
      </rPr>
      <t>OMH69</t>
    </r>
  </si>
  <si>
    <r>
      <rPr>
        <sz val="8"/>
        <rFont val="Times New Roman"/>
        <family val="1"/>
      </rPr>
      <t>NIST</t>
    </r>
  </si>
  <si>
    <r>
      <rPr>
        <sz val="8"/>
        <rFont val="Times New Roman"/>
        <family val="1"/>
      </rPr>
      <t>FB04287</t>
    </r>
  </si>
  <si>
    <r>
      <rPr>
        <sz val="8"/>
        <rFont val="Times New Roman"/>
        <family val="1"/>
      </rPr>
      <t>NPLI</t>
    </r>
  </si>
  <si>
    <r>
      <rPr>
        <sz val="8"/>
        <rFont val="Times New Roman"/>
        <family val="1"/>
      </rPr>
      <t>JJ108854</t>
    </r>
  </si>
  <si>
    <t>CO2 in air at 380, 480 and 800 µmol/mol</t>
    <phoneticPr fontId="4"/>
  </si>
  <si>
    <t>Please use this template at your own risk</t>
    <phoneticPr fontId="4"/>
  </si>
  <si>
    <t>uprep</t>
  </si>
  <si>
    <t>uver</t>
  </si>
  <si>
    <t>uref</t>
  </si>
  <si>
    <t>xlab</t>
  </si>
  <si>
    <t>Ulab</t>
  </si>
  <si>
    <t>klab</t>
  </si>
  <si>
    <t>UME</t>
  </si>
  <si>
    <t>NPLI</t>
  </si>
  <si>
    <t>NIMT</t>
  </si>
  <si>
    <t>CO</t>
    <phoneticPr fontId="4"/>
  </si>
  <si>
    <r>
      <rPr>
        <sz val="11"/>
        <rFont val="Times New Roman"/>
        <family val="1"/>
      </rPr>
      <t>CERI</t>
    </r>
  </si>
  <si>
    <r>
      <rPr>
        <sz val="11"/>
        <rFont val="Times New Roman"/>
        <family val="1"/>
      </rPr>
      <t>CMS/ITRI</t>
    </r>
  </si>
  <si>
    <r>
      <rPr>
        <sz val="11"/>
        <rFont val="Times New Roman"/>
        <family val="1"/>
      </rPr>
      <t>NIMT</t>
    </r>
  </si>
  <si>
    <r>
      <rPr>
        <sz val="11"/>
        <rFont val="Times New Roman"/>
        <family val="1"/>
      </rPr>
      <t>NMIJ</t>
    </r>
  </si>
  <si>
    <t>CCQM-K10</t>
  </si>
  <si>
    <t>BTX / N2 at 5-10 nmol/mol</t>
    <phoneticPr fontId="4"/>
  </si>
  <si>
    <t xml:space="preserve">This comparison could be used to assess calibration and measurement capability (CMC) claims for non-polar volatile organic hydrocarbons, </t>
    <phoneticPr fontId="4"/>
  </si>
  <si>
    <r>
      <t xml:space="preserve">which are liquid at room temperature, with </t>
    </r>
    <r>
      <rPr>
        <sz val="10"/>
        <color rgb="FFFF0000"/>
        <rFont val="Times New Roman"/>
        <family val="1"/>
      </rPr>
      <t>boiling point temperatures between 80º C and 150º C</t>
    </r>
    <r>
      <rPr>
        <sz val="10"/>
        <color rgb="FF000000"/>
        <rFont val="Times New Roman"/>
        <family val="1"/>
      </rPr>
      <t xml:space="preserve">, and at a concentration of 1 nmol/mol to 100 μmol/mol. </t>
    </r>
    <phoneticPr fontId="4"/>
  </si>
  <si>
    <t>A similar comparison is expected to be held within 5 years.</t>
  </si>
  <si>
    <t>Benzene</t>
  </si>
  <si>
    <t>Table 3: Results of CCQM K10: Comparison of Benzene</t>
    <phoneticPr fontId="4"/>
  </si>
  <si>
    <t>Submitted</t>
  </si>
  <si>
    <t>K</t>
  </si>
  <si>
    <t>Gravimetric</t>
  </si>
  <si>
    <t>% Relative</t>
  </si>
  <si>
    <t>Analytical</t>
  </si>
  <si>
    <t>Factor</t>
  </si>
  <si>
    <t>Expanded</t>
  </si>
  <si>
    <t>Amount</t>
  </si>
  <si>
    <t>Difference</t>
  </si>
  <si>
    <t>Result</t>
  </si>
  <si>
    <t>Uncertainty</t>
  </si>
  <si>
    <t>Fraction</t>
  </si>
  <si>
    <t>Uncertrainty</t>
  </si>
  <si>
    <t>(nmol/mol)</t>
  </si>
  <si>
    <r>
      <rPr>
        <i/>
        <sz val="10"/>
        <rFont val="Times New Roman"/>
        <family val="1"/>
      </rPr>
      <t xml:space="preserve">U(Di)
</t>
    </r>
    <r>
      <rPr>
        <sz val="10"/>
        <rFont val="Times New Roman"/>
        <family val="1"/>
      </rPr>
      <t>(µmol/mol)</t>
    </r>
    <phoneticPr fontId="4"/>
  </si>
  <si>
    <t>France (LNE)</t>
  </si>
  <si>
    <t>Germany (UBA)</t>
  </si>
  <si>
    <t>Japan (NMIJ)</t>
  </si>
  <si>
    <t>Korea (KRISS)</t>
  </si>
  <si>
    <t>Netherlands (NMi)</t>
  </si>
  <si>
    <t>Russia (VNIIM)</t>
  </si>
  <si>
    <t>United Kingdom (NPL)</t>
  </si>
  <si>
    <t>USA (NIST)</t>
  </si>
  <si>
    <t>Table 4: Results of CCQM K10: Comparison of Toluene</t>
  </si>
  <si>
    <t>Table 5: Results of CCQM K10: Comparison of o-Xylene</t>
  </si>
  <si>
    <t>Toluene</t>
  </si>
  <si>
    <t>o-Xylene</t>
  </si>
  <si>
    <t>CCQM-K26a</t>
  </si>
  <si>
    <t>NO / N2 : 700 nmol/mol</t>
  </si>
  <si>
    <t>NO</t>
    <phoneticPr fontId="4"/>
  </si>
  <si>
    <r>
      <rPr>
        <b/>
        <sz val="10"/>
        <rFont val="Times New Roman"/>
        <family val="1"/>
      </rPr>
      <t xml:space="preserve">Table 5 </t>
    </r>
    <r>
      <rPr>
        <sz val="10"/>
        <rFont val="Times New Roman"/>
        <family val="1"/>
      </rPr>
      <t>– Results submitted by the participating laboratories</t>
    </r>
  </si>
  <si>
    <t>Cylinder number</t>
  </si>
  <si>
    <r>
      <rPr>
        <b/>
        <i/>
        <sz val="10"/>
        <rFont val="Arial"/>
        <family val="2"/>
      </rPr>
      <t xml:space="preserve">x </t>
    </r>
    <r>
      <rPr>
        <b/>
        <i/>
        <vertAlign val="subscript"/>
        <sz val="10"/>
        <rFont val="Arial"/>
        <family val="2"/>
      </rPr>
      <t xml:space="preserve">i
</t>
    </r>
    <r>
      <rPr>
        <b/>
        <sz val="10"/>
        <rFont val="Arial"/>
        <family val="2"/>
      </rPr>
      <t>nmol/mol</t>
    </r>
  </si>
  <si>
    <r>
      <rPr>
        <b/>
        <i/>
        <sz val="10"/>
        <rFont val="Arial"/>
        <family val="2"/>
      </rPr>
      <t xml:space="preserve">u </t>
    </r>
    <r>
      <rPr>
        <b/>
        <i/>
        <vertAlign val="subscript"/>
        <sz val="10"/>
        <rFont val="Arial"/>
        <family val="2"/>
      </rPr>
      <t xml:space="preserve">i
</t>
    </r>
    <r>
      <rPr>
        <b/>
        <sz val="10"/>
        <rFont val="Arial"/>
        <family val="2"/>
      </rPr>
      <t>nmol/mol</t>
    </r>
  </si>
  <si>
    <r>
      <rPr>
        <b/>
        <i/>
        <sz val="10"/>
        <rFont val="Arial"/>
        <family val="2"/>
      </rPr>
      <t xml:space="preserve">z </t>
    </r>
    <r>
      <rPr>
        <b/>
        <i/>
        <vertAlign val="subscript"/>
        <sz val="10"/>
        <rFont val="Arial"/>
        <family val="2"/>
      </rPr>
      <t xml:space="preserve">T
</t>
    </r>
    <r>
      <rPr>
        <b/>
        <sz val="10"/>
        <rFont val="Arial"/>
        <family val="2"/>
      </rPr>
      <t>nmol/mol</t>
    </r>
  </si>
  <si>
    <r>
      <rPr>
        <i/>
        <sz val="10"/>
        <rFont val="Symbol"/>
        <family val="1"/>
      </rPr>
      <t xml:space="preserve">
</t>
    </r>
    <r>
      <rPr>
        <b/>
        <sz val="10"/>
        <rFont val="Arial"/>
        <family val="2"/>
      </rPr>
      <t>nmol/mol</t>
    </r>
  </si>
  <si>
    <r>
      <rPr>
        <b/>
        <i/>
        <vertAlign val="superscript"/>
        <sz val="10"/>
        <rFont val="Arial"/>
        <family val="2"/>
      </rPr>
      <t xml:space="preserve">u </t>
    </r>
    <r>
      <rPr>
        <b/>
        <sz val="10"/>
        <rFont val="Arial"/>
        <family val="2"/>
      </rPr>
      <t>grav
nmol/mol</t>
    </r>
  </si>
  <si>
    <r>
      <rPr>
        <b/>
        <i/>
        <sz val="10"/>
        <rFont val="Arial"/>
        <family val="2"/>
      </rPr>
      <t xml:space="preserve">u </t>
    </r>
    <r>
      <rPr>
        <b/>
        <sz val="10"/>
        <rFont val="Arial"/>
        <family val="2"/>
      </rPr>
      <t>(z</t>
    </r>
    <r>
      <rPr>
        <b/>
        <vertAlign val="subscript"/>
        <sz val="10"/>
        <rFont val="Arial"/>
        <family val="2"/>
      </rPr>
      <t>T</t>
    </r>
    <r>
      <rPr>
        <b/>
        <sz val="10"/>
        <rFont val="Arial"/>
        <family val="2"/>
      </rPr>
      <t>)
nmol/mol</t>
    </r>
  </si>
  <si>
    <r>
      <rPr>
        <b/>
        <i/>
        <sz val="10"/>
        <rFont val="Arial"/>
        <family val="2"/>
      </rPr>
      <t xml:space="preserve">D </t>
    </r>
    <r>
      <rPr>
        <b/>
        <i/>
        <vertAlign val="subscript"/>
        <sz val="10"/>
        <rFont val="Arial"/>
        <family val="2"/>
      </rPr>
      <t xml:space="preserve">i
</t>
    </r>
    <r>
      <rPr>
        <b/>
        <sz val="10"/>
        <rFont val="Arial"/>
        <family val="2"/>
      </rPr>
      <t>nmol/mol</t>
    </r>
  </si>
  <si>
    <r>
      <rPr>
        <b/>
        <i/>
        <sz val="10"/>
        <rFont val="Arial"/>
        <family val="2"/>
      </rPr>
      <t xml:space="preserve">U(D </t>
    </r>
    <r>
      <rPr>
        <b/>
        <vertAlign val="subscript"/>
        <sz val="10"/>
        <rFont val="Arial"/>
        <family val="2"/>
      </rPr>
      <t>i</t>
    </r>
    <r>
      <rPr>
        <b/>
        <sz val="10"/>
        <rFont val="Arial"/>
        <family val="2"/>
      </rPr>
      <t>)
nmol/mol</t>
    </r>
  </si>
  <si>
    <t>CENAM</t>
  </si>
  <si>
    <t>CERI/NMIJ</t>
  </si>
  <si>
    <t>FMI</t>
  </si>
  <si>
    <t>JRC</t>
  </si>
  <si>
    <t>NMi</t>
  </si>
  <si>
    <t>UBA(D)</t>
  </si>
  <si>
    <t>Pilot study</t>
  </si>
  <si>
    <t>CCQM-K26b</t>
  </si>
  <si>
    <t>SO2 / air at 300 nmol/mol level.</t>
    <phoneticPr fontId="4"/>
  </si>
  <si>
    <t>SO2</t>
  </si>
  <si>
    <r>
      <rPr>
        <b/>
        <sz val="9"/>
        <color rgb="FF131313"/>
        <rFont val="Arial"/>
        <family val="2"/>
      </rPr>
      <t>Laboratory</t>
    </r>
  </si>
  <si>
    <r>
      <rPr>
        <b/>
        <sz val="9"/>
        <color rgb="FF131313"/>
        <rFont val="Arial"/>
        <family val="2"/>
      </rPr>
      <t>Cylinder number</t>
    </r>
  </si>
  <si>
    <r>
      <rPr>
        <b/>
        <sz val="7"/>
        <color rgb="FF131313"/>
        <rFont val="Times New Roman"/>
        <family val="1"/>
      </rPr>
      <t xml:space="preserve">Zr
</t>
    </r>
    <r>
      <rPr>
        <b/>
        <sz val="9"/>
        <color rgb="FF131313"/>
        <rFont val="Arial"/>
        <family val="2"/>
      </rPr>
      <t>nmol/mol</t>
    </r>
  </si>
  <si>
    <r>
      <rPr>
        <sz val="6"/>
        <color rgb="FF131313"/>
        <rFont val="Times New Roman"/>
        <family val="1"/>
      </rPr>
      <t xml:space="preserve">-
</t>
    </r>
    <r>
      <rPr>
        <i/>
        <sz val="6"/>
        <color rgb="FF131313"/>
        <rFont val="Arial"/>
        <family val="2"/>
      </rPr>
      <t xml:space="preserve">(Y
</t>
    </r>
    <r>
      <rPr>
        <b/>
        <sz val="9"/>
        <color rgb="FF131313"/>
        <rFont val="Arial"/>
        <family val="2"/>
      </rPr>
      <t>nmol/mol</t>
    </r>
  </si>
  <si>
    <r>
      <rPr>
        <b/>
        <i/>
        <sz val="9"/>
        <color rgb="FF131313"/>
        <rFont val="Arial"/>
        <family val="2"/>
      </rPr>
      <t xml:space="preserve">u(primary)
</t>
    </r>
    <r>
      <rPr>
        <b/>
        <sz val="9"/>
        <color rgb="FF131313"/>
        <rFont val="Arial"/>
        <family val="2"/>
      </rPr>
      <t>nmol/mol</t>
    </r>
  </si>
  <si>
    <r>
      <rPr>
        <b/>
        <i/>
        <sz val="9"/>
        <color rgb="FF131313"/>
        <rFont val="Arial"/>
        <family val="2"/>
      </rPr>
      <t>u</t>
    </r>
    <r>
      <rPr>
        <b/>
        <i/>
        <sz val="9"/>
        <color rgb="FF131313"/>
        <rFont val="Times New Roman"/>
        <family val="1"/>
      </rPr>
      <t xml:space="preserve">(z </t>
    </r>
    <r>
      <rPr>
        <i/>
        <sz val="9"/>
        <color rgb="FF131313"/>
        <rFont val="Times New Roman"/>
        <family val="1"/>
      </rPr>
      <t xml:space="preserve">r)
</t>
    </r>
    <r>
      <rPr>
        <b/>
        <sz val="9"/>
        <color rgb="FF131313"/>
        <rFont val="Arial"/>
        <family val="2"/>
      </rPr>
      <t>nmol/mol</t>
    </r>
  </si>
  <si>
    <r>
      <rPr>
        <b/>
        <sz val="9"/>
        <color rgb="FF131313"/>
        <rFont val="Arial"/>
        <family val="2"/>
      </rPr>
      <t>CERI/NMIJ</t>
    </r>
  </si>
  <si>
    <r>
      <rPr>
        <sz val="9"/>
        <color rgb="FF131313"/>
        <rFont val="Times New Roman"/>
        <family val="1"/>
      </rPr>
      <t>CPB-19107</t>
    </r>
  </si>
  <si>
    <r>
      <rPr>
        <b/>
        <sz val="9"/>
        <color rgb="FF131313"/>
        <rFont val="Arial"/>
        <family val="2"/>
      </rPr>
      <t>CHMI</t>
    </r>
  </si>
  <si>
    <r>
      <rPr>
        <b/>
        <sz val="9"/>
        <color rgb="FF131313"/>
        <rFont val="Arial"/>
        <family val="2"/>
      </rPr>
      <t>FMI</t>
    </r>
  </si>
  <si>
    <r>
      <rPr>
        <b/>
        <sz val="9"/>
        <color rgb="FF131313"/>
        <rFont val="Arial"/>
        <family val="2"/>
      </rPr>
      <t>IPQ</t>
    </r>
  </si>
  <si>
    <r>
      <rPr>
        <b/>
        <sz val="9"/>
        <color rgb="FF131313"/>
        <rFont val="Arial"/>
        <family val="2"/>
      </rPr>
      <t>DG-JRC IES</t>
    </r>
  </si>
  <si>
    <r>
      <rPr>
        <b/>
        <sz val="9"/>
        <color rgb="FF131313"/>
        <rFont val="Arial"/>
        <family val="2"/>
      </rPr>
      <t>KRISS</t>
    </r>
  </si>
  <si>
    <r>
      <rPr>
        <b/>
        <sz val="9"/>
        <color rgb="FF131313"/>
        <rFont val="Arial"/>
        <family val="2"/>
      </rPr>
      <t>LNE</t>
    </r>
  </si>
  <si>
    <r>
      <rPr>
        <b/>
        <sz val="9"/>
        <color rgb="FF131313"/>
        <rFont val="Arial"/>
        <family val="2"/>
      </rPr>
      <t>NIST</t>
    </r>
  </si>
  <si>
    <r>
      <t>n</t>
    </r>
    <r>
      <rPr>
        <sz val="10"/>
        <color rgb="FF000000"/>
        <rFont val="Times New Roman"/>
        <family val="1"/>
      </rPr>
      <t>o data</t>
    </r>
    <phoneticPr fontId="4"/>
  </si>
  <si>
    <r>
      <rPr>
        <b/>
        <sz val="9"/>
        <color rgb="FF131313"/>
        <rFont val="Arial"/>
        <family val="2"/>
      </rPr>
      <t>NMi</t>
    </r>
  </si>
  <si>
    <r>
      <rPr>
        <b/>
        <sz val="9"/>
        <color rgb="FF131313"/>
        <rFont val="Arial"/>
        <family val="2"/>
      </rPr>
      <t>NPL</t>
    </r>
  </si>
  <si>
    <r>
      <rPr>
        <b/>
        <sz val="9"/>
        <color rgb="FF131313"/>
        <rFont val="Arial"/>
        <family val="2"/>
      </rPr>
      <t>UBA(D)</t>
    </r>
  </si>
  <si>
    <r>
      <rPr>
        <b/>
        <sz val="9"/>
        <color rgb="FF131313"/>
        <rFont val="Arial"/>
        <family val="2"/>
      </rPr>
      <t>VNIIM</t>
    </r>
  </si>
  <si>
    <r>
      <rPr>
        <b/>
        <sz val="9"/>
        <color rgb="FF131313"/>
        <rFont val="Arial"/>
        <family val="2"/>
      </rPr>
      <t>Pilot study</t>
    </r>
  </si>
  <si>
    <t>UBA(A)</t>
  </si>
  <si>
    <r>
      <rPr>
        <b/>
        <i/>
        <sz val="9"/>
        <color rgb="FF131313"/>
        <rFont val="Times New Roman"/>
        <family val="1"/>
      </rPr>
      <t>ui</t>
    </r>
    <r>
      <rPr>
        <b/>
        <i/>
        <sz val="7"/>
        <color rgb="FF131313"/>
        <rFont val="Times New Roman"/>
        <family val="1"/>
      </rPr>
      <t xml:space="preserve">
</t>
    </r>
    <r>
      <rPr>
        <b/>
        <sz val="9"/>
        <color rgb="FF131313"/>
        <rFont val="Times New Roman"/>
        <family val="2"/>
      </rPr>
      <t>nmol/mol</t>
    </r>
    <phoneticPr fontId="4"/>
  </si>
  <si>
    <r>
      <rPr>
        <b/>
        <i/>
        <sz val="7"/>
        <color rgb="FF131313"/>
        <rFont val="Times New Roman"/>
        <family val="1"/>
      </rPr>
      <t xml:space="preserve">Xi
</t>
    </r>
    <r>
      <rPr>
        <b/>
        <sz val="9"/>
        <color rgb="FF131313"/>
        <rFont val="Arial"/>
        <family val="2"/>
      </rPr>
      <t>nmol/mol</t>
    </r>
    <phoneticPr fontId="4"/>
  </si>
  <si>
    <r>
      <rPr>
        <b/>
        <i/>
        <sz val="10"/>
        <color rgb="FF131313"/>
        <rFont val="Times New Roman"/>
        <family val="1"/>
      </rPr>
      <t xml:space="preserve">Di
</t>
    </r>
    <r>
      <rPr>
        <b/>
        <sz val="9"/>
        <color rgb="FF131313"/>
        <rFont val="Arial"/>
        <family val="2"/>
      </rPr>
      <t>nmol/mol</t>
    </r>
    <phoneticPr fontId="4"/>
  </si>
  <si>
    <r>
      <rPr>
        <b/>
        <i/>
        <sz val="9"/>
        <color rgb="FF131313"/>
        <rFont val="Times New Roman"/>
        <family val="1"/>
      </rPr>
      <t xml:space="preserve">U(Di)
</t>
    </r>
    <r>
      <rPr>
        <b/>
        <sz val="9"/>
        <color rgb="FF131313"/>
        <rFont val="Arial"/>
        <family val="2"/>
      </rPr>
      <t>nmol/mol</t>
    </r>
    <phoneticPr fontId="4"/>
  </si>
  <si>
    <t>Detailed CMC claims regarding how far the light shines follows “CCQM-GAWG strategy for comparisons and CMC claims”.</t>
  </si>
  <si>
    <t>NMI*</t>
  </si>
  <si>
    <t>𝑥𝑖,KCRV</t>
  </si>
  <si>
    <t>𝑢(𝑥𝑖,KCRV)</t>
  </si>
  <si>
    <t>𝑥𝑖,lab</t>
  </si>
  <si>
    <t>𝑢(𝑥𝑖,lab)</t>
  </si>
  <si>
    <t>di</t>
  </si>
  <si>
    <t>U(di), k =2</t>
  </si>
  <si>
    <t>D249362</t>
  </si>
  <si>
    <t>IPQ</t>
  </si>
  <si>
    <t>D249395</t>
  </si>
  <si>
    <t>D249138</t>
  </si>
  <si>
    <t>D249235</t>
  </si>
  <si>
    <t>D249400</t>
  </si>
  <si>
    <t>D249363</t>
  </si>
  <si>
    <t>D249086</t>
  </si>
  <si>
    <t>D249196</t>
  </si>
  <si>
    <t>D249388</t>
  </si>
  <si>
    <t>f</t>
    <phoneticPr fontId="4"/>
  </si>
  <si>
    <t>CCQM-K41.2017</t>
  </si>
  <si>
    <t>H2S/N2 at 10 umol/mol</t>
  </si>
  <si>
    <t xml:space="preserve">This key comparison can be used to assess Calibration and Measurement Capabilities (CMCs) for hydrogen sulfide in nitrogen or air, </t>
  </si>
  <si>
    <t xml:space="preserve">at an amount of substance fraction between 1 μmol/mol and 500 μmol/mol. </t>
  </si>
  <si>
    <t>H2S</t>
    <phoneticPr fontId="4"/>
  </si>
  <si>
    <t>CCQM-K51</t>
  </si>
  <si>
    <t>This document describes the protocol for a key comparison for carbon monoxide in nitrogen.  The nominal amount-of-substance fraction was 5 µmol.mol-1.</t>
    <phoneticPr fontId="4"/>
  </si>
  <si>
    <r>
      <t xml:space="preserve">This key comparison aims to support CMC claims for </t>
    </r>
    <r>
      <rPr>
        <sz val="10"/>
        <color rgb="FFFF0000"/>
        <rFont val="Times New Roman"/>
        <family val="1"/>
      </rPr>
      <t xml:space="preserve">carbon monoxide from 1 µmol.mol-1 and higher in a nitrogen matrix. </t>
    </r>
    <phoneticPr fontId="4"/>
  </si>
  <si>
    <r>
      <t>This key comparison can also be used to support CMC claims for</t>
    </r>
    <r>
      <rPr>
        <sz val="10"/>
        <color rgb="FFFF0000"/>
        <rFont val="Times New Roman"/>
        <family val="1"/>
      </rPr>
      <t xml:space="preserve"> carbon monoxide in an air matrix  with  special  consideration</t>
    </r>
    <r>
      <rPr>
        <sz val="10"/>
        <color rgb="FF000000"/>
        <rFont val="Times New Roman"/>
        <family val="1"/>
      </rPr>
      <t xml:space="preserve">  for  cross  interference  from  the  high  concentration  of oxygen on the CO concentrations especially with measurement techniques, such as NDIR.</t>
    </r>
    <phoneticPr fontId="4"/>
  </si>
  <si>
    <t>unit : umol/mol</t>
    <phoneticPr fontId="4"/>
  </si>
  <si>
    <t>Table 1: List of participants</t>
  </si>
  <si>
    <r>
      <rPr>
        <b/>
        <sz val="10"/>
        <rFont val="Times New Roman"/>
        <family val="1"/>
      </rPr>
      <t>Laboratory
code</t>
    </r>
  </si>
  <si>
    <r>
      <rPr>
        <sz val="10"/>
        <rFont val="Times New Roman"/>
        <family val="1"/>
      </rPr>
      <t>x prep</t>
    </r>
  </si>
  <si>
    <r>
      <rPr>
        <sz val="10"/>
        <rFont val="Times New Roman"/>
        <family val="1"/>
      </rPr>
      <t>upr ep</t>
    </r>
  </si>
  <si>
    <r>
      <rPr>
        <sz val="10"/>
        <rFont val="Times New Roman"/>
        <family val="1"/>
      </rPr>
      <t>uver</t>
    </r>
  </si>
  <si>
    <r>
      <rPr>
        <sz val="10"/>
        <rFont val="Times New Roman"/>
        <family val="1"/>
      </rPr>
      <t>ur ef</t>
    </r>
  </si>
  <si>
    <r>
      <rPr>
        <sz val="10"/>
        <rFont val="Times New Roman"/>
        <family val="1"/>
      </rPr>
      <t>xlab</t>
    </r>
  </si>
  <si>
    <r>
      <rPr>
        <sz val="10"/>
        <rFont val="Times New Roman"/>
        <family val="1"/>
      </rPr>
      <t>Ulab</t>
    </r>
  </si>
  <si>
    <r>
      <rPr>
        <sz val="10"/>
        <rFont val="Times New Roman"/>
        <family val="1"/>
      </rPr>
      <t>klab</t>
    </r>
  </si>
  <si>
    <t>Di</t>
    <phoneticPr fontId="4"/>
  </si>
  <si>
    <t>U(Di)</t>
    <phoneticPr fontId="4"/>
  </si>
  <si>
    <t>Acronym</t>
  </si>
  <si>
    <t>Country</t>
  </si>
  <si>
    <t>Institute</t>
  </si>
  <si>
    <t>NMIJ</t>
  </si>
  <si>
    <t>D95 5680</t>
  </si>
  <si>
    <t>DE</t>
  </si>
  <si>
    <t>Umweltbundesamt (Federal Environment Agency), Langen, Germany</t>
  </si>
  <si>
    <t>D95 8416</t>
  </si>
  <si>
    <t>JP</t>
  </si>
  <si>
    <t>National Metrology Institute of Japan, Tsukuba, Japan</t>
  </si>
  <si>
    <t>M55 5674</t>
  </si>
  <si>
    <t>Chemicals Evaluation and Research Institute, Saitama, Japan</t>
  </si>
  <si>
    <t>M55 5669</t>
  </si>
  <si>
    <t>NL</t>
  </si>
  <si>
    <t>Van Swinden Laboratorium B V, Delft, the Netherlands</t>
  </si>
  <si>
    <t>SMU</t>
  </si>
  <si>
    <t>M55 5685</t>
  </si>
  <si>
    <t>US</t>
  </si>
  <si>
    <t>National Institute of Standards and Technology, Gaithersburg, United States of America</t>
  </si>
  <si>
    <t>D95 8300</t>
  </si>
  <si>
    <t>CENAM</t>
    <phoneticPr fontId="4"/>
  </si>
  <si>
    <t>MX</t>
  </si>
  <si>
    <t>Centro Nacional de Metrologia, Queretaro, Mexico</t>
  </si>
  <si>
    <t>D95 8312</t>
  </si>
  <si>
    <t>INMETRO</t>
  </si>
  <si>
    <t>BR</t>
  </si>
  <si>
    <t>Instituto Nacional de Metrologia, Normalização e Qualidade Industrial, Xerém RJ, Brazil</t>
  </si>
  <si>
    <t>BAM</t>
  </si>
  <si>
    <t>D95 8369</t>
  </si>
  <si>
    <t>UK</t>
  </si>
  <si>
    <t>National Physical Laboratory, Teddington, Middlesex, United Kingdom</t>
  </si>
  <si>
    <t>CEM</t>
  </si>
  <si>
    <t>M55 5692</t>
  </si>
  <si>
    <t>VNIIM,</t>
  </si>
  <si>
    <t>RU</t>
  </si>
  <si>
    <t>DI Mendeleyev Institute for Metrology, St. Petersburg, Russia</t>
  </si>
  <si>
    <t>M55 5728</t>
  </si>
  <si>
    <t>ZA</t>
  </si>
  <si>
    <t>National Metrology Institute of South Africa, Pretoria, South Africa</t>
  </si>
  <si>
    <t>M55 5709</t>
  </si>
  <si>
    <t>IPQ,</t>
  </si>
  <si>
    <t>PT</t>
  </si>
  <si>
    <t>Instituto Português da Qualidade, Caparica, Portugal</t>
  </si>
  <si>
    <t>D95 8363</t>
  </si>
  <si>
    <t>FR</t>
  </si>
  <si>
    <t>Laboratoire National d’Essais, Paris, France</t>
  </si>
  <si>
    <t>D95 8407</t>
  </si>
  <si>
    <t>JRC-ERLAP</t>
  </si>
  <si>
    <t>EU</t>
  </si>
  <si>
    <t>European Commission, Joint Research Centre, Institute for Environment and Sustainability, Ispra, Italy</t>
  </si>
  <si>
    <t>D95 8393</t>
  </si>
  <si>
    <t>FI</t>
  </si>
  <si>
    <t>Finnish Meteorological Institute, Helsinki, Finland</t>
  </si>
  <si>
    <t>M55 5715</t>
  </si>
  <si>
    <t>UBA(A)</t>
    <phoneticPr fontId="4"/>
  </si>
  <si>
    <t>AT</t>
  </si>
  <si>
    <t>Umweltbundesamt GmbH, Department Air Quality Control &amp; Energy, Vienna, Austria</t>
  </si>
  <si>
    <t>M55 5708</t>
  </si>
  <si>
    <t>CH</t>
  </si>
  <si>
    <t>Swiss Federal Office of Metrology, Bern-Wabern, Switzerland</t>
  </si>
  <si>
    <t>M55 5697</t>
  </si>
  <si>
    <t>AU</t>
  </si>
  <si>
    <t>National Metrology Institute of Australia, Lindfield, Australia</t>
  </si>
  <si>
    <t>M55 5717</t>
  </si>
  <si>
    <t>ES</t>
  </si>
  <si>
    <t>Centro Espanol de Metrologia, Madrid, Spain</t>
  </si>
  <si>
    <t>M55 5695</t>
  </si>
  <si>
    <t>KR</t>
  </si>
  <si>
    <t>Korea Research Institute of Standards and Science, Daejeon, Republic of Korea</t>
  </si>
  <si>
    <t>D95 8293</t>
  </si>
  <si>
    <t>SK</t>
  </si>
  <si>
    <t>Slovak Institute of Metrology, Bratislava, Slovak Republic</t>
  </si>
  <si>
    <t>D95 8365</t>
  </si>
  <si>
    <t>PL</t>
  </si>
  <si>
    <t>Central Office of Measures (Glowny Urzad Miar), Warsaw, Poland</t>
  </si>
  <si>
    <t>D95 8294</t>
  </si>
  <si>
    <t>CN</t>
  </si>
  <si>
    <t>Institute of Metrology, Beijing, Peoples Republic of China</t>
  </si>
  <si>
    <t>D95 8320</t>
  </si>
  <si>
    <t>TH</t>
  </si>
  <si>
    <t>National Institute of Metrology (Thailand), Klong Luang, Pathumthani, Thailand</t>
  </si>
  <si>
    <t>M55 5706</t>
  </si>
  <si>
    <t>NPL (India)</t>
  </si>
  <si>
    <t>IN</t>
  </si>
  <si>
    <t>National Physical Laboratory, New Delhi, India</t>
  </si>
  <si>
    <t>M55 5726</t>
  </si>
  <si>
    <t>Bundesanstalt für Materialforschung und – prüfung, Berlin, Germany</t>
  </si>
  <si>
    <t>CO / N2 at 5 umol/mol level</t>
    <phoneticPr fontId="4"/>
  </si>
  <si>
    <t>CCQM-K52</t>
  </si>
  <si>
    <t>CO2 / N2 : 360 umol/mol</t>
  </si>
  <si>
    <r>
      <t xml:space="preserve">This key comparison aims to support CMC-claims for </t>
    </r>
    <r>
      <rPr>
        <sz val="11"/>
        <color rgb="FFFF0000"/>
        <rFont val="Times New Roman"/>
        <family val="1"/>
      </rPr>
      <t>carbon dioxide in both nitrogen or air (synthetic and purified) from 100 µmol/mol to 20 cmol/mol.</t>
    </r>
    <phoneticPr fontId="4"/>
  </si>
  <si>
    <t>CO2</t>
  </si>
  <si>
    <r>
      <rPr>
        <b/>
        <sz val="10"/>
        <rFont val="Times New Roman"/>
        <family val="1"/>
      </rPr>
      <t>Laboratory code</t>
    </r>
  </si>
  <si>
    <r>
      <rPr>
        <b/>
        <sz val="10"/>
        <rFont val="Times New Roman"/>
        <family val="1"/>
      </rPr>
      <t>Cylinder</t>
    </r>
  </si>
  <si>
    <r>
      <rPr>
        <b/>
        <i/>
        <vertAlign val="superscript"/>
        <sz val="10"/>
        <rFont val="Times New Roman"/>
        <family val="1"/>
      </rPr>
      <t>x</t>
    </r>
    <r>
      <rPr>
        <b/>
        <i/>
        <sz val="7"/>
        <rFont val="Times New Roman"/>
        <family val="1"/>
      </rPr>
      <t>prep</t>
    </r>
  </si>
  <si>
    <r>
      <rPr>
        <b/>
        <i/>
        <vertAlign val="superscript"/>
        <sz val="10"/>
        <rFont val="Times New Roman"/>
        <family val="1"/>
      </rPr>
      <t>u</t>
    </r>
    <r>
      <rPr>
        <b/>
        <i/>
        <sz val="7"/>
        <rFont val="Times New Roman"/>
        <family val="1"/>
      </rPr>
      <t>prep</t>
    </r>
  </si>
  <si>
    <r>
      <rPr>
        <b/>
        <i/>
        <vertAlign val="superscript"/>
        <sz val="10"/>
        <rFont val="Times New Roman"/>
        <family val="1"/>
      </rPr>
      <t>u</t>
    </r>
    <r>
      <rPr>
        <b/>
        <i/>
        <sz val="7"/>
        <rFont val="Times New Roman"/>
        <family val="1"/>
      </rPr>
      <t>ver</t>
    </r>
  </si>
  <si>
    <r>
      <rPr>
        <b/>
        <i/>
        <vertAlign val="superscript"/>
        <sz val="10"/>
        <rFont val="Times New Roman"/>
        <family val="1"/>
      </rPr>
      <t>u</t>
    </r>
    <r>
      <rPr>
        <b/>
        <i/>
        <sz val="7"/>
        <rFont val="Times New Roman"/>
        <family val="1"/>
      </rPr>
      <t>ref</t>
    </r>
  </si>
  <si>
    <r>
      <rPr>
        <b/>
        <i/>
        <vertAlign val="superscript"/>
        <sz val="10"/>
        <rFont val="Times New Roman"/>
        <family val="1"/>
      </rPr>
      <t>x</t>
    </r>
    <r>
      <rPr>
        <b/>
        <i/>
        <sz val="7"/>
        <rFont val="Times New Roman"/>
        <family val="1"/>
      </rPr>
      <t>lab</t>
    </r>
  </si>
  <si>
    <r>
      <rPr>
        <b/>
        <i/>
        <vertAlign val="superscript"/>
        <sz val="10"/>
        <rFont val="Times New Roman"/>
        <family val="1"/>
      </rPr>
      <t>U</t>
    </r>
    <r>
      <rPr>
        <b/>
        <i/>
        <sz val="7"/>
        <rFont val="Times New Roman"/>
        <family val="1"/>
      </rPr>
      <t>lab</t>
    </r>
  </si>
  <si>
    <r>
      <rPr>
        <b/>
        <i/>
        <vertAlign val="superscript"/>
        <sz val="10"/>
        <rFont val="Times New Roman"/>
        <family val="1"/>
      </rPr>
      <t>k</t>
    </r>
    <r>
      <rPr>
        <b/>
        <i/>
        <sz val="7"/>
        <rFont val="Times New Roman"/>
        <family val="1"/>
      </rPr>
      <t>lab</t>
    </r>
  </si>
  <si>
    <r>
      <rPr>
        <i/>
        <sz val="13"/>
        <rFont val="Symbol"/>
        <family val="1"/>
      </rPr>
      <t></t>
    </r>
    <r>
      <rPr>
        <b/>
        <i/>
        <sz val="10"/>
        <rFont val="Times New Roman"/>
        <family val="1"/>
      </rPr>
      <t>x</t>
    </r>
  </si>
  <si>
    <r>
      <rPr>
        <b/>
        <i/>
        <sz val="10"/>
        <rFont val="Times New Roman"/>
        <family val="1"/>
      </rPr>
      <t>k</t>
    </r>
  </si>
  <si>
    <r>
      <rPr>
        <b/>
        <i/>
        <sz val="10"/>
        <rFont val="Times New Roman"/>
        <family val="1"/>
      </rPr>
      <t>U(</t>
    </r>
    <r>
      <rPr>
        <i/>
        <sz val="13"/>
        <rFont val="Symbol"/>
        <family val="1"/>
      </rPr>
      <t></t>
    </r>
    <r>
      <rPr>
        <b/>
        <i/>
        <sz val="10"/>
        <rFont val="Times New Roman"/>
        <family val="1"/>
      </rPr>
      <t>x)</t>
    </r>
  </si>
  <si>
    <r>
      <rPr>
        <b/>
        <sz val="11"/>
        <rFont val="Times New Roman"/>
        <family val="1"/>
      </rPr>
      <t>Acronym</t>
    </r>
  </si>
  <si>
    <r>
      <rPr>
        <b/>
        <sz val="11"/>
        <rFont val="Times New Roman"/>
        <family val="1"/>
      </rPr>
      <t>Country</t>
    </r>
  </si>
  <si>
    <r>
      <rPr>
        <b/>
        <sz val="11"/>
        <rFont val="Times New Roman"/>
        <family val="1"/>
      </rPr>
      <t>Institute</t>
    </r>
  </si>
  <si>
    <r>
      <rPr>
        <sz val="10"/>
        <rFont val="Times New Roman"/>
        <family val="1"/>
      </rPr>
      <t>NMi VSL</t>
    </r>
  </si>
  <si>
    <r>
      <rPr>
        <sz val="10"/>
        <rFont val="Times New Roman"/>
        <family val="1"/>
      </rPr>
      <t>D240036</t>
    </r>
  </si>
  <si>
    <r>
      <rPr>
        <sz val="11"/>
        <rFont val="Times New Roman"/>
        <family val="1"/>
      </rPr>
      <t>CSIRO</t>
    </r>
  </si>
  <si>
    <r>
      <rPr>
        <sz val="11"/>
        <rFont val="Times New Roman"/>
        <family val="1"/>
      </rPr>
      <t>AU</t>
    </r>
  </si>
  <si>
    <r>
      <rPr>
        <sz val="11"/>
        <rFont val="Times New Roman"/>
        <family val="1"/>
      </rPr>
      <t>Commonwealth Scientific and Industrial Research Organisation, Aspendale, Australia</t>
    </r>
  </si>
  <si>
    <r>
      <rPr>
        <sz val="10"/>
        <rFont val="Times New Roman"/>
        <family val="1"/>
      </rPr>
      <t>Inmetro</t>
    </r>
  </si>
  <si>
    <r>
      <rPr>
        <sz val="10"/>
        <rFont val="Times New Roman"/>
        <family val="1"/>
      </rPr>
      <t>D752038</t>
    </r>
  </si>
  <si>
    <r>
      <rPr>
        <sz val="11"/>
        <rFont val="Times New Roman"/>
        <family val="1"/>
      </rPr>
      <t>NMIA</t>
    </r>
  </si>
  <si>
    <r>
      <rPr>
        <sz val="11"/>
        <rFont val="Times New Roman"/>
        <family val="1"/>
      </rPr>
      <t>National Metrology Institute of Australia, Lindfield, Australia</t>
    </r>
  </si>
  <si>
    <r>
      <rPr>
        <sz val="10"/>
        <rFont val="Times New Roman"/>
        <family val="1"/>
      </rPr>
      <t>NMIA</t>
    </r>
  </si>
  <si>
    <r>
      <rPr>
        <sz val="10"/>
        <rFont val="Times New Roman"/>
        <family val="1"/>
      </rPr>
      <t>D751922</t>
    </r>
  </si>
  <si>
    <r>
      <rPr>
        <sz val="11"/>
        <rFont val="Times New Roman"/>
        <family val="1"/>
      </rPr>
      <t>INMETRO</t>
    </r>
  </si>
  <si>
    <r>
      <rPr>
        <sz val="11"/>
        <rFont val="Times New Roman"/>
        <family val="1"/>
      </rPr>
      <t>BR</t>
    </r>
  </si>
  <si>
    <r>
      <rPr>
        <sz val="11"/>
        <rFont val="Times New Roman"/>
        <family val="1"/>
      </rPr>
      <t>Instituto Nacional de Metrologia, Normalização e Qualidade Industrial, Xerém RJ, Brasil</t>
    </r>
  </si>
  <si>
    <r>
      <rPr>
        <sz val="10"/>
        <rFont val="Times New Roman"/>
        <family val="1"/>
      </rPr>
      <t>CEM</t>
    </r>
  </si>
  <si>
    <r>
      <rPr>
        <sz val="10"/>
        <rFont val="Times New Roman"/>
        <family val="1"/>
      </rPr>
      <t>D751928</t>
    </r>
  </si>
  <si>
    <r>
      <rPr>
        <sz val="11"/>
        <rFont val="Times New Roman"/>
        <family val="1"/>
      </rPr>
      <t>NIM</t>
    </r>
  </si>
  <si>
    <r>
      <rPr>
        <sz val="11"/>
        <rFont val="Times New Roman"/>
        <family val="1"/>
      </rPr>
      <t>CR</t>
    </r>
  </si>
  <si>
    <r>
      <rPr>
        <sz val="11"/>
        <rFont val="Times New Roman"/>
        <family val="1"/>
      </rPr>
      <t>National Institute of Metrology, Beijing, PR China</t>
    </r>
  </si>
  <si>
    <r>
      <rPr>
        <sz val="10"/>
        <rFont val="Times New Roman"/>
        <family val="1"/>
      </rPr>
      <t>NPL</t>
    </r>
  </si>
  <si>
    <r>
      <rPr>
        <sz val="10"/>
        <rFont val="Times New Roman"/>
        <family val="1"/>
      </rPr>
      <t>D751947</t>
    </r>
  </si>
  <si>
    <r>
      <rPr>
        <sz val="11"/>
        <rFont val="Times New Roman"/>
        <family val="1"/>
      </rPr>
      <t>BAM</t>
    </r>
  </si>
  <si>
    <r>
      <rPr>
        <sz val="11"/>
        <rFont val="Times New Roman"/>
        <family val="1"/>
      </rPr>
      <t>DE</t>
    </r>
  </si>
  <si>
    <r>
      <rPr>
        <sz val="11"/>
        <rFont val="Times New Roman"/>
        <family val="1"/>
      </rPr>
      <t>Bundesanstalt für Materialforschung und –prüfung, Berlin, Germany</t>
    </r>
  </si>
  <si>
    <r>
      <rPr>
        <sz val="10"/>
        <rFont val="Times New Roman"/>
        <family val="1"/>
      </rPr>
      <t>SMU</t>
    </r>
  </si>
  <si>
    <r>
      <rPr>
        <sz val="10"/>
        <rFont val="Times New Roman"/>
        <family val="1"/>
      </rPr>
      <t>D751961</t>
    </r>
  </si>
  <si>
    <r>
      <rPr>
        <sz val="11"/>
        <rFont val="Times New Roman"/>
        <family val="1"/>
      </rPr>
      <t>CEM</t>
    </r>
  </si>
  <si>
    <r>
      <rPr>
        <sz val="11"/>
        <rFont val="Times New Roman"/>
        <family val="1"/>
      </rPr>
      <t>ES</t>
    </r>
  </si>
  <si>
    <r>
      <rPr>
        <sz val="11"/>
        <rFont val="Times New Roman"/>
        <family val="1"/>
      </rPr>
      <t>Centro Espanol de Metrologia, Madrid, Spain</t>
    </r>
  </si>
  <si>
    <r>
      <rPr>
        <sz val="10"/>
        <rFont val="Times New Roman"/>
        <family val="1"/>
      </rPr>
      <t>NMIJ</t>
    </r>
  </si>
  <si>
    <r>
      <rPr>
        <sz val="10"/>
        <rFont val="Times New Roman"/>
        <family val="1"/>
      </rPr>
      <t>D751944</t>
    </r>
  </si>
  <si>
    <r>
      <rPr>
        <sz val="11"/>
        <rFont val="Times New Roman"/>
        <family val="1"/>
      </rPr>
      <t>LNE</t>
    </r>
  </si>
  <si>
    <r>
      <rPr>
        <sz val="11"/>
        <rFont val="Times New Roman"/>
        <family val="1"/>
      </rPr>
      <t>FR</t>
    </r>
  </si>
  <si>
    <r>
      <rPr>
        <sz val="11"/>
        <rFont val="Times New Roman"/>
        <family val="1"/>
      </rPr>
      <t>Laboratoire National d'Essais, Paris, France</t>
    </r>
  </si>
  <si>
    <r>
      <rPr>
        <sz val="10"/>
        <rFont val="Times New Roman"/>
        <family val="1"/>
      </rPr>
      <t>CERI</t>
    </r>
  </si>
  <si>
    <r>
      <rPr>
        <sz val="10"/>
        <rFont val="Times New Roman"/>
        <family val="1"/>
      </rPr>
      <t>D751923</t>
    </r>
  </si>
  <si>
    <r>
      <rPr>
        <sz val="11"/>
        <rFont val="Times New Roman"/>
        <family val="1"/>
      </rPr>
      <t>NPLI</t>
    </r>
  </si>
  <si>
    <r>
      <rPr>
        <sz val="11"/>
        <rFont val="Times New Roman"/>
        <family val="1"/>
      </rPr>
      <t>IN</t>
    </r>
  </si>
  <si>
    <r>
      <rPr>
        <sz val="11"/>
        <rFont val="Times New Roman"/>
        <family val="1"/>
      </rPr>
      <t>National Physical Laboratory, New Delhi, India</t>
    </r>
  </si>
  <si>
    <r>
      <rPr>
        <sz val="10"/>
        <rFont val="Times New Roman"/>
        <family val="1"/>
      </rPr>
      <t>CENAM</t>
    </r>
    <r>
      <rPr>
        <vertAlign val="superscript"/>
        <sz val="7"/>
        <rFont val="Times New Roman"/>
        <family val="1"/>
      </rPr>
      <t>6</t>
    </r>
  </si>
  <si>
    <r>
      <rPr>
        <sz val="10"/>
        <rFont val="Times New Roman"/>
        <family val="1"/>
      </rPr>
      <t>D751924</t>
    </r>
  </si>
  <si>
    <r>
      <rPr>
        <sz val="11"/>
        <rFont val="Times New Roman"/>
        <family val="1"/>
      </rPr>
      <t>INRIM</t>
    </r>
  </si>
  <si>
    <r>
      <rPr>
        <sz val="11"/>
        <rFont val="Times New Roman"/>
        <family val="1"/>
      </rPr>
      <t>IT</t>
    </r>
  </si>
  <si>
    <r>
      <rPr>
        <sz val="11"/>
        <rFont val="Times New Roman"/>
        <family val="1"/>
      </rPr>
      <t>Istituto Nazionale di Ricerca Metrologica, Turin, Italy</t>
    </r>
  </si>
  <si>
    <r>
      <rPr>
        <sz val="10"/>
        <rFont val="Times New Roman"/>
        <family val="1"/>
      </rPr>
      <t>NMI-SA</t>
    </r>
  </si>
  <si>
    <r>
      <rPr>
        <sz val="10"/>
        <rFont val="Times New Roman"/>
        <family val="1"/>
      </rPr>
      <t>D751918</t>
    </r>
  </si>
  <si>
    <r>
      <rPr>
        <sz val="11"/>
        <rFont val="Times New Roman"/>
        <family val="1"/>
      </rPr>
      <t>JP</t>
    </r>
  </si>
  <si>
    <r>
      <rPr>
        <sz val="11"/>
        <rFont val="Times New Roman"/>
        <family val="1"/>
      </rPr>
      <t>Chemicals Evaluation and Research Institute, Saitama, Japan</t>
    </r>
  </si>
  <si>
    <r>
      <rPr>
        <sz val="10"/>
        <rFont val="Times New Roman"/>
        <family val="1"/>
      </rPr>
      <t>NIST</t>
    </r>
  </si>
  <si>
    <r>
      <rPr>
        <sz val="10"/>
        <rFont val="Times New Roman"/>
        <family val="1"/>
      </rPr>
      <t>D751954</t>
    </r>
  </si>
  <si>
    <r>
      <rPr>
        <sz val="11"/>
        <rFont val="Times New Roman"/>
        <family val="1"/>
      </rPr>
      <t>National Metrology Institute of Japan, Tsukuba, Japan</t>
    </r>
  </si>
  <si>
    <r>
      <rPr>
        <sz val="10"/>
        <rFont val="Times New Roman"/>
        <family val="1"/>
      </rPr>
      <t>INRiM</t>
    </r>
  </si>
  <si>
    <r>
      <rPr>
        <sz val="10"/>
        <rFont val="Times New Roman"/>
        <family val="1"/>
      </rPr>
      <t>D751935</t>
    </r>
  </si>
  <si>
    <r>
      <rPr>
        <sz val="11"/>
        <rFont val="Times New Roman"/>
        <family val="1"/>
      </rPr>
      <t>KRISS</t>
    </r>
  </si>
  <si>
    <r>
      <rPr>
        <sz val="11"/>
        <rFont val="Times New Roman"/>
        <family val="1"/>
      </rPr>
      <t>KR</t>
    </r>
  </si>
  <si>
    <r>
      <rPr>
        <sz val="11"/>
        <rFont val="Times New Roman"/>
        <family val="1"/>
      </rPr>
      <t>Korea Research Institute of Standards and Science, Daejeon, Republic of Korea</t>
    </r>
  </si>
  <si>
    <r>
      <rPr>
        <sz val="10"/>
        <rFont val="Times New Roman"/>
        <family val="1"/>
      </rPr>
      <t>NPLI</t>
    </r>
  </si>
  <si>
    <r>
      <rPr>
        <sz val="10"/>
        <rFont val="Times New Roman"/>
        <family val="1"/>
      </rPr>
      <t>D751950</t>
    </r>
  </si>
  <si>
    <r>
      <rPr>
        <sz val="11"/>
        <rFont val="Times New Roman"/>
        <family val="1"/>
      </rPr>
      <t>CENAM</t>
    </r>
  </si>
  <si>
    <r>
      <rPr>
        <sz val="11"/>
        <rFont val="Times New Roman"/>
        <family val="1"/>
      </rPr>
      <t>MX</t>
    </r>
  </si>
  <si>
    <r>
      <rPr>
        <sz val="11"/>
        <rFont val="Times New Roman"/>
        <family val="1"/>
      </rPr>
      <t>Centro Nacional de Metrologia, Queretaro, Mexico</t>
    </r>
  </si>
  <si>
    <r>
      <rPr>
        <sz val="10"/>
        <rFont val="Times New Roman"/>
        <family val="1"/>
      </rPr>
      <t>CSIRO-1</t>
    </r>
    <r>
      <rPr>
        <vertAlign val="superscript"/>
        <sz val="7"/>
        <rFont val="Times New Roman"/>
        <family val="1"/>
      </rPr>
      <t>7</t>
    </r>
  </si>
  <si>
    <r>
      <rPr>
        <sz val="10"/>
        <rFont val="Times New Roman"/>
        <family val="1"/>
      </rPr>
      <t>D751926</t>
    </r>
  </si>
  <si>
    <r>
      <rPr>
        <sz val="11"/>
        <rFont val="Times New Roman"/>
        <family val="1"/>
      </rPr>
      <t>NMi VSL</t>
    </r>
  </si>
  <si>
    <r>
      <rPr>
        <sz val="11"/>
        <rFont val="Times New Roman"/>
        <family val="1"/>
      </rPr>
      <t>NL</t>
    </r>
  </si>
  <si>
    <r>
      <rPr>
        <sz val="11"/>
        <rFont val="Times New Roman"/>
        <family val="1"/>
      </rPr>
      <t>NMi Van Swinden Laboratorium B.V., Delft, the Netherlands</t>
    </r>
  </si>
  <si>
    <r>
      <rPr>
        <sz val="10"/>
        <rFont val="Times New Roman"/>
        <family val="1"/>
      </rPr>
      <t>CSIRO-2</t>
    </r>
    <r>
      <rPr>
        <vertAlign val="superscript"/>
        <sz val="7"/>
        <rFont val="Times New Roman"/>
        <family val="1"/>
      </rPr>
      <t>7</t>
    </r>
  </si>
  <si>
    <r>
      <rPr>
        <sz val="11"/>
        <rFont val="Times New Roman"/>
        <family val="1"/>
      </rPr>
      <t>VNIIM</t>
    </r>
  </si>
  <si>
    <r>
      <rPr>
        <sz val="11"/>
        <rFont val="Times New Roman"/>
        <family val="1"/>
      </rPr>
      <t>RU</t>
    </r>
  </si>
  <si>
    <r>
      <rPr>
        <sz val="11"/>
        <rFont val="Times New Roman"/>
        <family val="1"/>
      </rPr>
      <t>D.I. Mendeleyev Institute for Metrology, St. Petersburg, Russia</t>
    </r>
  </si>
  <si>
    <r>
      <rPr>
        <sz val="10"/>
        <rFont val="Times New Roman"/>
        <family val="1"/>
      </rPr>
      <t>BAM</t>
    </r>
  </si>
  <si>
    <r>
      <rPr>
        <sz val="10"/>
        <rFont val="Times New Roman"/>
        <family val="1"/>
      </rPr>
      <t>D751942</t>
    </r>
  </si>
  <si>
    <r>
      <rPr>
        <sz val="11"/>
        <rFont val="Times New Roman"/>
        <family val="1"/>
      </rPr>
      <t>SMU</t>
    </r>
  </si>
  <si>
    <r>
      <rPr>
        <sz val="11"/>
        <rFont val="Times New Roman"/>
        <family val="1"/>
      </rPr>
      <t>SK</t>
    </r>
  </si>
  <si>
    <r>
      <rPr>
        <sz val="11"/>
        <rFont val="Times New Roman"/>
        <family val="1"/>
      </rPr>
      <t>Slovak Institute of Metrology, Bratislava, Slovak Republic</t>
    </r>
  </si>
  <si>
    <r>
      <rPr>
        <sz val="10"/>
        <rFont val="Times New Roman"/>
        <family val="1"/>
      </rPr>
      <t>VNIIM</t>
    </r>
  </si>
  <si>
    <r>
      <rPr>
        <sz val="10"/>
        <rFont val="Times New Roman"/>
        <family val="1"/>
      </rPr>
      <t>D751937</t>
    </r>
  </si>
  <si>
    <r>
      <rPr>
        <sz val="11"/>
        <rFont val="Times New Roman"/>
        <family val="1"/>
      </rPr>
      <t>NPL</t>
    </r>
  </si>
  <si>
    <r>
      <rPr>
        <sz val="11"/>
        <rFont val="Times New Roman"/>
        <family val="1"/>
      </rPr>
      <t>UK</t>
    </r>
  </si>
  <si>
    <r>
      <rPr>
        <sz val="11"/>
        <rFont val="Times New Roman"/>
        <family val="1"/>
      </rPr>
      <t>National Physical Laboratory, Teddington, Middlesex, United Kingdom</t>
    </r>
  </si>
  <si>
    <r>
      <rPr>
        <sz val="10"/>
        <rFont val="Times New Roman"/>
        <family val="1"/>
      </rPr>
      <t>LNE</t>
    </r>
  </si>
  <si>
    <r>
      <rPr>
        <sz val="10"/>
        <rFont val="Times New Roman"/>
        <family val="1"/>
      </rPr>
      <t>D750235</t>
    </r>
  </si>
  <si>
    <r>
      <rPr>
        <sz val="11"/>
        <rFont val="Times New Roman"/>
        <family val="1"/>
      </rPr>
      <t>NIST</t>
    </r>
  </si>
  <si>
    <r>
      <rPr>
        <sz val="11"/>
        <rFont val="Times New Roman"/>
        <family val="1"/>
      </rPr>
      <t>US</t>
    </r>
  </si>
  <si>
    <r>
      <rPr>
        <sz val="11"/>
        <rFont val="Times New Roman"/>
        <family val="1"/>
      </rPr>
      <t>National Institute of Standards and Technology, Gaithersburg, United States of America</t>
    </r>
  </si>
  <si>
    <r>
      <rPr>
        <sz val="10"/>
        <rFont val="Times New Roman"/>
        <family val="1"/>
      </rPr>
      <t>NIM</t>
    </r>
  </si>
  <si>
    <r>
      <rPr>
        <sz val="10"/>
        <rFont val="Times New Roman"/>
        <family val="1"/>
      </rPr>
      <t>D751943</t>
    </r>
  </si>
  <si>
    <r>
      <rPr>
        <sz val="11"/>
        <rFont val="Times New Roman"/>
        <family val="1"/>
      </rPr>
      <t>NMISA</t>
    </r>
  </si>
  <si>
    <r>
      <rPr>
        <sz val="11"/>
        <rFont val="Times New Roman"/>
        <family val="1"/>
      </rPr>
      <t>ZA</t>
    </r>
  </si>
  <si>
    <r>
      <rPr>
        <sz val="11"/>
        <rFont val="Times New Roman"/>
        <family val="1"/>
      </rPr>
      <t>National Metrology Institute of South Africa, Pretoria, South Africa</t>
    </r>
  </si>
  <si>
    <r>
      <rPr>
        <b/>
        <sz val="10"/>
        <rFont val="Times New Roman"/>
        <family val="1"/>
      </rPr>
      <t>Laboratory</t>
    </r>
  </si>
  <si>
    <t>xprep</t>
  </si>
  <si>
    <r>
      <rPr>
        <sz val="10"/>
        <rFont val="Times New Roman"/>
        <family val="1"/>
      </rPr>
      <t>KRISS</t>
    </r>
  </si>
  <si>
    <r>
      <rPr>
        <sz val="10"/>
        <rFont val="Times New Roman"/>
        <family val="1"/>
      </rPr>
      <t>D751977</t>
    </r>
  </si>
  <si>
    <t>CCQM-K53</t>
  </si>
  <si>
    <t>O2/N2 : 100 umol/mol</t>
  </si>
  <si>
    <t>This  key  comparison  will  support  claims  for  capability  to  perform  a  gravimetric preparation,</t>
    <phoneticPr fontId="4"/>
  </si>
  <si>
    <r>
      <t xml:space="preserve">including purity assessment, on primary gas mixtures from </t>
    </r>
    <r>
      <rPr>
        <sz val="10"/>
        <color rgb="FFFF0000"/>
        <rFont val="Times New Roman"/>
        <family val="1"/>
      </rPr>
      <t xml:space="preserve">10 µmol/mol to 10 mmol/mol of oxygen in nitrogen. </t>
    </r>
    <phoneticPr fontId="4"/>
  </si>
  <si>
    <r>
      <t xml:space="preserve">As a result of the comparison, CMCs can also be recognised  for  </t>
    </r>
    <r>
      <rPr>
        <sz val="10"/>
        <color rgb="FFFF0000"/>
        <rFont val="Times New Roman"/>
        <family val="1"/>
      </rPr>
      <t>stable  gas  species,  such  as  argon,  neon,  helium,  hydrogen,  in  nitrogen</t>
    </r>
    <r>
      <rPr>
        <sz val="10"/>
        <color rgb="FF000000"/>
        <rFont val="Times New Roman"/>
        <family val="1"/>
      </rPr>
      <t xml:space="preserve"> because of similarity in the preparation and purity measurement processes.</t>
    </r>
    <phoneticPr fontId="4"/>
  </si>
  <si>
    <t>O2</t>
  </si>
  <si>
    <r>
      <rPr>
        <sz val="10"/>
        <rFont val="Times New Roman"/>
        <family val="1"/>
      </rPr>
      <t>NMI</t>
    </r>
  </si>
  <si>
    <t>U(xprep)</t>
  </si>
  <si>
    <r>
      <rPr>
        <i/>
        <sz val="10"/>
        <rFont val="Times New Roman"/>
        <family val="1"/>
      </rPr>
      <t>y</t>
    </r>
  </si>
  <si>
    <r>
      <rPr>
        <i/>
        <sz val="10"/>
        <rFont val="Times New Roman"/>
        <family val="1"/>
      </rPr>
      <t>u(y)</t>
    </r>
  </si>
  <si>
    <t>xadj</t>
  </si>
  <si>
    <t>u(xadj)</t>
  </si>
  <si>
    <t>xpred</t>
  </si>
  <si>
    <t>u(xpred)</t>
  </si>
  <si>
    <r>
      <rPr>
        <sz val="10"/>
        <color rgb="FF000000"/>
        <rFont val="ＭＳ Ｐゴシック"/>
        <family val="3"/>
        <charset val="128"/>
      </rPr>
      <t>∆</t>
    </r>
    <r>
      <rPr>
        <sz val="10"/>
        <color rgb="FF000000"/>
        <rFont val="Times New Roman"/>
        <family val="1"/>
      </rPr>
      <t>x(Di)</t>
    </r>
    <phoneticPr fontId="4"/>
  </si>
  <si>
    <r>
      <t>U(</t>
    </r>
    <r>
      <rPr>
        <sz val="10"/>
        <color rgb="FF000000"/>
        <rFont val="ＭＳ Ｐゴシック"/>
        <family val="3"/>
        <charset val="128"/>
      </rPr>
      <t>∆</t>
    </r>
    <r>
      <rPr>
        <sz val="10"/>
        <color rgb="FF000000"/>
        <rFont val="Times New Roman"/>
        <family val="1"/>
      </rPr>
      <t>x),k=2</t>
    </r>
    <phoneticPr fontId="4"/>
  </si>
  <si>
    <r>
      <rPr>
        <sz val="10"/>
        <rFont val="Times New Roman"/>
        <family val="1"/>
      </rPr>
      <t>E</t>
    </r>
    <r>
      <rPr>
        <vertAlign val="subscript"/>
        <sz val="7"/>
        <rFont val="Times New Roman"/>
        <family val="1"/>
      </rPr>
      <t>n</t>
    </r>
    <phoneticPr fontId="4"/>
  </si>
  <si>
    <r>
      <t>[</t>
    </r>
    <r>
      <rPr>
        <sz val="10"/>
        <color rgb="FF000000"/>
        <rFont val="ＭＳ Ｐゴシック"/>
        <family val="3"/>
        <charset val="128"/>
      </rPr>
      <t>µ</t>
    </r>
    <r>
      <rPr>
        <sz val="10"/>
        <color rgb="FF000000"/>
        <rFont val="Times New Roman"/>
        <family val="1"/>
      </rPr>
      <t>mol/mol]</t>
    </r>
    <phoneticPr fontId="4"/>
  </si>
  <si>
    <r>
      <t xml:space="preserve">This key comparison supports the measurement capability of </t>
    </r>
    <r>
      <rPr>
        <sz val="10"/>
        <color rgb="FFFF0000"/>
        <rFont val="Times New Roman"/>
        <family val="1"/>
      </rPr>
      <t>N2O in the range of 200 nmol/mol to 20 μmol/mol in synthetic air.</t>
    </r>
    <phoneticPr fontId="4"/>
  </si>
  <si>
    <t>Nitrous Oxide in synthetic air at 320 nmo/mol</t>
    <phoneticPr fontId="4"/>
  </si>
  <si>
    <r>
      <t>u</t>
    </r>
    <r>
      <rPr>
        <sz val="10"/>
        <color rgb="FF000000"/>
        <rFont val="Times New Roman"/>
        <family val="1"/>
      </rPr>
      <t>nit :  nmol/mol</t>
    </r>
    <phoneticPr fontId="4"/>
  </si>
  <si>
    <t>u(Dx)</t>
    <phoneticPr fontId="4"/>
  </si>
  <si>
    <t>U(Dx)</t>
    <phoneticPr fontId="4"/>
  </si>
  <si>
    <t>xKCRV</t>
  </si>
  <si>
    <t>uKCRV</t>
  </si>
  <si>
    <t>ulab</t>
    <phoneticPr fontId="4"/>
  </si>
  <si>
    <t>Dx</t>
    <phoneticPr fontId="4"/>
  </si>
  <si>
    <r>
      <t>k</t>
    </r>
    <r>
      <rPr>
        <sz val="10"/>
        <color rgb="FF000000"/>
        <rFont val="Times New Roman"/>
        <family val="1"/>
      </rPr>
      <t>=1</t>
    </r>
    <phoneticPr fontId="4"/>
  </si>
  <si>
    <r>
      <t>k</t>
    </r>
    <r>
      <rPr>
        <sz val="10"/>
        <color rgb="FF000000"/>
        <rFont val="Times New Roman"/>
        <family val="1"/>
      </rPr>
      <t>=2</t>
    </r>
    <phoneticPr fontId="4"/>
  </si>
  <si>
    <r>
      <rPr>
        <sz val="11"/>
        <rFont val="Times New Roman"/>
        <family val="1"/>
      </rPr>
      <t>ME5524</t>
    </r>
  </si>
  <si>
    <r>
      <rPr>
        <sz val="11"/>
        <rFont val="Times New Roman"/>
        <family val="1"/>
      </rPr>
      <t>ME5622</t>
    </r>
  </si>
  <si>
    <r>
      <rPr>
        <sz val="11"/>
        <rFont val="Times New Roman"/>
        <family val="1"/>
      </rPr>
      <t>ME5591</t>
    </r>
  </si>
  <si>
    <r>
      <rPr>
        <sz val="11"/>
        <rFont val="Times New Roman"/>
        <family val="1"/>
      </rPr>
      <t>ME5547</t>
    </r>
  </si>
  <si>
    <r>
      <rPr>
        <sz val="11"/>
        <rFont val="Times New Roman"/>
        <family val="1"/>
      </rPr>
      <t>ME5563</t>
    </r>
  </si>
  <si>
    <r>
      <rPr>
        <sz val="11"/>
        <rFont val="Times New Roman"/>
        <family val="1"/>
      </rPr>
      <t>VSL</t>
    </r>
  </si>
  <si>
    <r>
      <rPr>
        <sz val="11"/>
        <rFont val="Times New Roman"/>
        <family val="1"/>
      </rPr>
      <t>ME5589</t>
    </r>
  </si>
  <si>
    <t>ESRL/NOAA</t>
    <phoneticPr fontId="4"/>
  </si>
  <si>
    <r>
      <rPr>
        <sz val="11"/>
        <rFont val="Times New Roman"/>
        <family val="1"/>
      </rPr>
      <t>ME5572</t>
    </r>
  </si>
  <si>
    <t>CCQM-K71</t>
  </si>
  <si>
    <t>Stack gas</t>
  </si>
  <si>
    <r>
      <rPr>
        <b/>
        <sz val="9"/>
        <rFont val="Arial"/>
        <family val="2"/>
      </rPr>
      <t>Table 2: Nominal composition of the mixtures</t>
    </r>
  </si>
  <si>
    <r>
      <rPr>
        <b/>
        <sz val="9"/>
        <rFont val="Arial"/>
        <family val="2"/>
      </rPr>
      <t>Component</t>
    </r>
  </si>
  <si>
    <r>
      <rPr>
        <b/>
        <i/>
        <sz val="9"/>
        <rFont val="Arial"/>
        <family val="2"/>
      </rPr>
      <t>x</t>
    </r>
  </si>
  <si>
    <r>
      <rPr>
        <sz val="9"/>
        <rFont val="Arial"/>
        <family val="2"/>
      </rPr>
      <t>Nitrogen monoxide</t>
    </r>
  </si>
  <si>
    <r>
      <rPr>
        <sz val="9"/>
        <rFont val="Arial"/>
        <family val="2"/>
      </rPr>
      <t>10-100 µmol/mol</t>
    </r>
  </si>
  <si>
    <r>
      <rPr>
        <sz val="9"/>
        <rFont val="Arial"/>
        <family val="2"/>
      </rPr>
      <t>Carbon dioxide</t>
    </r>
  </si>
  <si>
    <r>
      <rPr>
        <sz val="9"/>
        <rFont val="Arial"/>
        <family val="2"/>
      </rPr>
      <t>Carbon monoxide</t>
    </r>
  </si>
  <si>
    <r>
      <rPr>
        <sz val="9"/>
        <rFont val="Arial"/>
        <family val="2"/>
      </rPr>
      <t>Propane</t>
    </r>
  </si>
  <si>
    <r>
      <rPr>
        <sz val="9"/>
        <rFont val="Arial"/>
        <family val="2"/>
      </rPr>
      <t>1-10 µmol/mol</t>
    </r>
  </si>
  <si>
    <r>
      <rPr>
        <sz val="9"/>
        <rFont val="Arial"/>
        <family val="2"/>
      </rPr>
      <t>Sulphur dioxide</t>
    </r>
  </si>
  <si>
    <r>
      <rPr>
        <sz val="9"/>
        <rFont val="Arial"/>
        <family val="2"/>
      </rPr>
      <t>20-200 µmol/mol</t>
    </r>
  </si>
  <si>
    <r>
      <rPr>
        <sz val="9"/>
        <rFont val="Arial"/>
        <family val="2"/>
      </rPr>
      <t>At the November 2009 meeting in Rio de Janeiro, the HFTLS statement was modified to include concentration ranges for the components in the standards.</t>
    </r>
  </si>
  <si>
    <r>
      <rPr>
        <sz val="9"/>
        <rFont val="Arial"/>
        <family val="2"/>
      </rPr>
      <t>HFTLS: “This key comparison can be used to support CMC</t>
    </r>
    <r>
      <rPr>
        <vertAlign val="superscript"/>
        <sz val="6"/>
        <rFont val="Arial"/>
        <family val="2"/>
      </rPr>
      <t xml:space="preserve">3 </t>
    </r>
    <r>
      <rPr>
        <sz val="9"/>
        <rFont val="Arial"/>
        <family val="2"/>
      </rPr>
      <t>claims for stack gas type multi component mixtures.” The following ranges in a nitrogen matrix were suggested:</t>
    </r>
  </si>
  <si>
    <r>
      <rPr>
        <sz val="9"/>
        <rFont val="Arial"/>
        <family val="2"/>
      </rPr>
      <t>NO 10-1000 µmol/mol</t>
    </r>
  </si>
  <si>
    <r>
      <rPr>
        <sz val="9"/>
        <rFont val="Arial"/>
        <family val="2"/>
      </rPr>
      <t>CO 10-1000 µmol/mol</t>
    </r>
  </si>
  <si>
    <r>
      <rPr>
        <sz val="9"/>
        <rFont val="Arial"/>
        <family val="2"/>
      </rPr>
      <t>CO</t>
    </r>
    <r>
      <rPr>
        <vertAlign val="subscript"/>
        <sz val="6"/>
        <rFont val="Arial"/>
        <family val="2"/>
      </rPr>
      <t xml:space="preserve">2 </t>
    </r>
    <r>
      <rPr>
        <sz val="9"/>
        <rFont val="Arial"/>
        <family val="2"/>
      </rPr>
      <t>50-200 mmol/mol</t>
    </r>
  </si>
  <si>
    <r>
      <rPr>
        <sz val="9"/>
        <rFont val="Arial"/>
        <family val="2"/>
      </rPr>
      <t>C</t>
    </r>
    <r>
      <rPr>
        <vertAlign val="subscript"/>
        <sz val="6"/>
        <rFont val="Arial"/>
        <family val="2"/>
      </rPr>
      <t>3</t>
    </r>
    <r>
      <rPr>
        <sz val="9"/>
        <rFont val="Arial"/>
        <family val="2"/>
      </rPr>
      <t>H</t>
    </r>
    <r>
      <rPr>
        <vertAlign val="subscript"/>
        <sz val="6"/>
        <rFont val="Arial"/>
        <family val="2"/>
      </rPr>
      <t xml:space="preserve">8 </t>
    </r>
    <r>
      <rPr>
        <sz val="9"/>
        <rFont val="Arial"/>
        <family val="2"/>
      </rPr>
      <t>1-100 µmol/mol</t>
    </r>
  </si>
  <si>
    <r>
      <rPr>
        <sz val="9"/>
        <rFont val="Arial"/>
        <family val="2"/>
      </rPr>
      <t>SO</t>
    </r>
    <r>
      <rPr>
        <vertAlign val="subscript"/>
        <sz val="6"/>
        <rFont val="Arial"/>
        <family val="2"/>
      </rPr>
      <t xml:space="preserve">2 </t>
    </r>
    <r>
      <rPr>
        <sz val="9"/>
        <rFont val="Arial"/>
        <family val="2"/>
      </rPr>
      <t>10-1000 µmol/mol.</t>
    </r>
  </si>
  <si>
    <r>
      <rPr>
        <b/>
        <sz val="12"/>
        <rFont val="Arial"/>
        <family val="2"/>
      </rPr>
      <t>3.2    Results</t>
    </r>
  </si>
  <si>
    <r>
      <rPr>
        <sz val="9"/>
        <rFont val="Arial"/>
        <family val="2"/>
      </rPr>
      <t>In this section, the results of the key comparison are summarised. In the tables, the following data is presented</t>
    </r>
  </si>
  <si>
    <r>
      <rPr>
        <i/>
        <sz val="9"/>
        <rFont val="Arial"/>
        <family val="2"/>
      </rPr>
      <t>x</t>
    </r>
    <r>
      <rPr>
        <i/>
        <vertAlign val="subscript"/>
        <sz val="6"/>
        <rFont val="Arial"/>
        <family val="2"/>
      </rPr>
      <t xml:space="preserve">prep        </t>
    </r>
    <r>
      <rPr>
        <sz val="9"/>
        <rFont val="Arial"/>
        <family val="2"/>
      </rPr>
      <t>amount of substance fraction, from preparation</t>
    </r>
  </si>
  <si>
    <r>
      <rPr>
        <i/>
        <sz val="9"/>
        <rFont val="Arial"/>
        <family val="2"/>
      </rPr>
      <t>u</t>
    </r>
    <r>
      <rPr>
        <i/>
        <vertAlign val="subscript"/>
        <sz val="6"/>
        <rFont val="Arial"/>
        <family val="2"/>
      </rPr>
      <t xml:space="preserve">prep        </t>
    </r>
    <r>
      <rPr>
        <sz val="9"/>
        <rFont val="Arial"/>
        <family val="2"/>
      </rPr>
      <t xml:space="preserve">standard uncertainty associated with </t>
    </r>
    <r>
      <rPr>
        <i/>
        <sz val="9"/>
        <rFont val="Arial"/>
        <family val="2"/>
      </rPr>
      <t>x</t>
    </r>
    <r>
      <rPr>
        <i/>
        <vertAlign val="subscript"/>
        <sz val="6"/>
        <rFont val="Arial"/>
        <family val="2"/>
      </rPr>
      <t xml:space="preserve">prep </t>
    </r>
    <r>
      <rPr>
        <i/>
        <sz val="9"/>
        <rFont val="Arial"/>
        <family val="2"/>
      </rPr>
      <t>u</t>
    </r>
    <r>
      <rPr>
        <i/>
        <vertAlign val="subscript"/>
        <sz val="6"/>
        <rFont val="Arial"/>
        <family val="2"/>
      </rPr>
      <t xml:space="preserve">ver         </t>
    </r>
    <r>
      <rPr>
        <sz val="9"/>
        <rFont val="Arial"/>
        <family val="2"/>
      </rPr>
      <t>standard uncertainty from verification</t>
    </r>
  </si>
  <si>
    <r>
      <rPr>
        <i/>
        <sz val="9"/>
        <rFont val="Arial"/>
        <family val="2"/>
      </rPr>
      <t>u</t>
    </r>
    <r>
      <rPr>
        <i/>
        <vertAlign val="subscript"/>
        <sz val="6"/>
        <rFont val="Arial"/>
        <family val="2"/>
      </rPr>
      <t xml:space="preserve">KCRV      </t>
    </r>
    <r>
      <rPr>
        <sz val="9"/>
        <rFont val="Arial"/>
        <family val="2"/>
      </rPr>
      <t>combined standard uncertainty of reference value</t>
    </r>
  </si>
  <si>
    <r>
      <rPr>
        <i/>
        <sz val="9"/>
        <rFont val="Arial"/>
        <family val="2"/>
      </rPr>
      <t>x</t>
    </r>
    <r>
      <rPr>
        <i/>
        <vertAlign val="subscript"/>
        <sz val="6"/>
        <rFont val="Arial"/>
        <family val="2"/>
      </rPr>
      <t xml:space="preserve">lab         </t>
    </r>
    <r>
      <rPr>
        <sz val="9"/>
        <rFont val="Arial"/>
        <family val="2"/>
      </rPr>
      <t>result of laboratory</t>
    </r>
  </si>
  <si>
    <r>
      <rPr>
        <i/>
        <sz val="9"/>
        <rFont val="Arial"/>
        <family val="2"/>
      </rPr>
      <t>U</t>
    </r>
    <r>
      <rPr>
        <i/>
        <vertAlign val="subscript"/>
        <sz val="6"/>
        <rFont val="Arial"/>
        <family val="2"/>
      </rPr>
      <t xml:space="preserve">lab         </t>
    </r>
    <r>
      <rPr>
        <sz val="9"/>
        <rFont val="Arial"/>
        <family val="2"/>
      </rPr>
      <t>stated expanded uncertainty of laboratory, at 95% level of confidence</t>
    </r>
  </si>
  <si>
    <r>
      <rPr>
        <i/>
        <sz val="9"/>
        <rFont val="Arial"/>
        <family val="2"/>
      </rPr>
      <t>k</t>
    </r>
    <r>
      <rPr>
        <i/>
        <vertAlign val="subscript"/>
        <sz val="6"/>
        <rFont val="Arial"/>
        <family val="2"/>
      </rPr>
      <t xml:space="preserve">lab         </t>
    </r>
    <r>
      <rPr>
        <sz val="9"/>
        <rFont val="Arial"/>
        <family val="2"/>
      </rPr>
      <t>stated coverage factor</t>
    </r>
  </si>
  <si>
    <r>
      <rPr>
        <i/>
        <sz val="9"/>
        <rFont val="Arial"/>
        <family val="2"/>
      </rPr>
      <t xml:space="preserve">D            </t>
    </r>
    <r>
      <rPr>
        <sz val="9"/>
        <rFont val="Arial"/>
        <family val="2"/>
      </rPr>
      <t>difference between laboratory result and reference value</t>
    </r>
  </si>
  <si>
    <r>
      <rPr>
        <i/>
        <sz val="9"/>
        <rFont val="Arial"/>
        <family val="2"/>
      </rPr>
      <t xml:space="preserve">k             </t>
    </r>
    <r>
      <rPr>
        <sz val="9"/>
        <rFont val="Arial"/>
        <family val="2"/>
      </rPr>
      <t>assigned coverage factor for degree of equivalence</t>
    </r>
  </si>
  <si>
    <r>
      <rPr>
        <i/>
        <sz val="9"/>
        <rFont val="Arial"/>
        <family val="2"/>
      </rPr>
      <t>U</t>
    </r>
    <r>
      <rPr>
        <sz val="9"/>
        <rFont val="Arial"/>
        <family val="2"/>
      </rPr>
      <t>(</t>
    </r>
    <r>
      <rPr>
        <i/>
        <sz val="9"/>
        <rFont val="Arial"/>
        <family val="2"/>
      </rPr>
      <t>D</t>
    </r>
    <r>
      <rPr>
        <sz val="9"/>
        <rFont val="Arial"/>
        <family val="2"/>
      </rPr>
      <t xml:space="preserve">)       Expanded uncertainty associated with difference </t>
    </r>
    <r>
      <rPr>
        <i/>
        <sz val="9"/>
        <rFont val="Arial"/>
        <family val="2"/>
      </rPr>
      <t>D</t>
    </r>
    <r>
      <rPr>
        <sz val="9"/>
        <rFont val="Arial"/>
        <family val="2"/>
      </rPr>
      <t>, at 95% level of confidence</t>
    </r>
    <r>
      <rPr>
        <vertAlign val="superscript"/>
        <sz val="6"/>
        <rFont val="Arial"/>
        <family val="2"/>
      </rPr>
      <t>5</t>
    </r>
  </si>
  <si>
    <r>
      <rPr>
        <b/>
        <i/>
        <sz val="9"/>
        <rFont val="Arial"/>
        <family val="2"/>
      </rPr>
      <t>k</t>
    </r>
  </si>
  <si>
    <r>
      <rPr>
        <b/>
        <i/>
        <sz val="9"/>
        <rFont val="Arial"/>
        <family val="2"/>
      </rPr>
      <t>U</t>
    </r>
    <r>
      <rPr>
        <b/>
        <sz val="9"/>
        <rFont val="Arial"/>
        <family val="2"/>
      </rPr>
      <t>(</t>
    </r>
    <r>
      <rPr>
        <b/>
        <i/>
        <sz val="9"/>
        <rFont val="Arial"/>
        <family val="2"/>
      </rPr>
      <t>D</t>
    </r>
    <r>
      <rPr>
        <b/>
        <sz val="9"/>
        <rFont val="Arial"/>
        <family val="2"/>
      </rPr>
      <t xml:space="preserve">)
</t>
    </r>
    <r>
      <rPr>
        <b/>
        <sz val="9"/>
        <rFont val="Arial"/>
        <family val="2"/>
      </rPr>
      <t>μmol/mol</t>
    </r>
  </si>
  <si>
    <t>100-160 mmol/mol</t>
  </si>
  <si>
    <t>CO2</t>
    <phoneticPr fontId="4"/>
  </si>
  <si>
    <t>C3H8</t>
    <phoneticPr fontId="4"/>
  </si>
  <si>
    <t>SO2</t>
    <phoneticPr fontId="4"/>
  </si>
  <si>
    <t>CCQM-K76</t>
    <phoneticPr fontId="8"/>
  </si>
  <si>
    <t>SO2 in N2 at 100umol/mol</t>
    <phoneticPr fontId="4"/>
  </si>
  <si>
    <r>
      <t>This Key Comparison provides evidence in support of CMCs for</t>
    </r>
    <r>
      <rPr>
        <sz val="10"/>
        <color rgb="FFFF0000"/>
        <rFont val="Arial"/>
        <family val="2"/>
      </rPr>
      <t xml:space="preserve"> </t>
    </r>
    <r>
      <rPr>
        <u/>
        <sz val="10"/>
        <color rgb="FFFF0000"/>
        <rFont val="Arial"/>
        <family val="2"/>
      </rPr>
      <t xml:space="preserve">sulfur dioxide in the range of 50 µmol/mol to 1 % mol/mol, in a balance of nitrogen or air.  </t>
    </r>
    <phoneticPr fontId="4"/>
  </si>
  <si>
    <r>
      <rPr>
        <sz val="10"/>
        <rFont val="Arial"/>
        <family val="2"/>
      </rPr>
      <t xml:space="preserve">In addition this comparison provides evidence in support of CMC claims extending to </t>
    </r>
    <r>
      <rPr>
        <u/>
        <sz val="10"/>
        <rFont val="Arial"/>
        <family val="2"/>
      </rPr>
      <t>all core compounds</t>
    </r>
    <r>
      <rPr>
        <sz val="10"/>
        <rFont val="Arial"/>
        <family val="2"/>
      </rPr>
      <t xml:space="preserve"> and concentrations as defined by the Gas Analysis Working Group (GAWG).  Institutes which may claim core competences under the rules of the GAWG may use the results of this comparison to support core competency claims.</t>
    </r>
    <phoneticPr fontId="4"/>
  </si>
  <si>
    <r>
      <rPr>
        <sz val="10"/>
        <rFont val="Arial"/>
        <family val="2"/>
      </rPr>
      <t>In order to justify CMCs at amount fractions lower than 50 µmol/mol using this comparison as supporting</t>
    </r>
  </si>
  <si>
    <r>
      <rPr>
        <sz val="10"/>
        <rFont val="Arial"/>
        <family val="2"/>
      </rPr>
      <t>evidence, it will be necessary for the NMI to provide evidence that they have sufficient capability to analyze the level of impurity of the minor component in the balance gas at less than half their stated uncertainty claim. They must also have analytical methods with sufficient stability and reproducibility to measure changes in concentration of less than their uncertainty over time. In addition, to justify CMCs for CRMs at lower amount fractions it will be necessary to provide evidence of stability trials on cylinders.</t>
    </r>
  </si>
  <si>
    <t>This comparison shall not be used as evidence for claims below 1 µmol/mol.</t>
    <phoneticPr fontId="4"/>
  </si>
  <si>
    <r>
      <rPr>
        <b/>
        <i/>
        <sz val="10"/>
        <rFont val="Arial"/>
        <family val="2"/>
      </rPr>
      <t xml:space="preserve">x </t>
    </r>
    <r>
      <rPr>
        <b/>
        <sz val="6"/>
        <rFont val="Arial"/>
        <family val="2"/>
      </rPr>
      <t>Lab</t>
    </r>
    <r>
      <rPr>
        <b/>
        <i/>
        <sz val="6"/>
        <rFont val="Arial"/>
        <family val="2"/>
      </rPr>
      <t xml:space="preserve">i </t>
    </r>
    <r>
      <rPr>
        <sz val="10"/>
        <rFont val="Arial"/>
        <family val="2"/>
      </rPr>
      <t xml:space="preserve">result of measurement carried out by laboratory </t>
    </r>
    <r>
      <rPr>
        <i/>
        <sz val="10"/>
        <rFont val="Arial"/>
        <family val="2"/>
      </rPr>
      <t>i</t>
    </r>
  </si>
  <si>
    <r>
      <rPr>
        <b/>
        <i/>
        <sz val="10"/>
        <rFont val="Arial"/>
        <family val="2"/>
      </rPr>
      <t xml:space="preserve">u </t>
    </r>
    <r>
      <rPr>
        <b/>
        <sz val="6"/>
        <rFont val="Arial"/>
        <family val="2"/>
      </rPr>
      <t>Lab</t>
    </r>
    <r>
      <rPr>
        <b/>
        <i/>
        <sz val="6"/>
        <rFont val="Arial"/>
        <family val="2"/>
      </rPr>
      <t xml:space="preserve">i </t>
    </r>
    <r>
      <rPr>
        <sz val="10"/>
        <rFont val="Arial"/>
        <family val="2"/>
      </rPr>
      <t xml:space="preserve">combined standard uncertainty of </t>
    </r>
    <r>
      <rPr>
        <b/>
        <i/>
        <sz val="10"/>
        <rFont val="Arial"/>
        <family val="2"/>
      </rPr>
      <t xml:space="preserve">x </t>
    </r>
    <r>
      <rPr>
        <b/>
        <sz val="6"/>
        <rFont val="Arial"/>
        <family val="2"/>
      </rPr>
      <t>Lab</t>
    </r>
    <r>
      <rPr>
        <b/>
        <i/>
        <sz val="6"/>
        <rFont val="Arial"/>
        <family val="2"/>
      </rPr>
      <t>i</t>
    </r>
  </si>
  <si>
    <r>
      <rPr>
        <b/>
        <i/>
        <sz val="10"/>
        <rFont val="Arial"/>
        <family val="2"/>
      </rPr>
      <t xml:space="preserve">x </t>
    </r>
    <r>
      <rPr>
        <b/>
        <i/>
        <sz val="6"/>
        <rFont val="Arial"/>
        <family val="2"/>
      </rPr>
      <t xml:space="preserve">i </t>
    </r>
    <r>
      <rPr>
        <b/>
        <sz val="6"/>
        <rFont val="Arial"/>
        <family val="2"/>
      </rPr>
      <t xml:space="preserve">ref </t>
    </r>
    <r>
      <rPr>
        <sz val="10"/>
        <rFont val="Arial"/>
        <family val="2"/>
      </rPr>
      <t xml:space="preserve">reference value for the cylinder sent to laboratory </t>
    </r>
    <r>
      <rPr>
        <i/>
        <sz val="10"/>
        <rFont val="Arial"/>
        <family val="2"/>
      </rPr>
      <t xml:space="preserve">i </t>
    </r>
    <r>
      <rPr>
        <sz val="10"/>
        <rFont val="Arial"/>
        <family val="2"/>
      </rPr>
      <t>(see page 6 of the Final Report)</t>
    </r>
  </si>
  <si>
    <r>
      <rPr>
        <b/>
        <i/>
        <sz val="10"/>
        <rFont val="Arial"/>
        <family val="2"/>
      </rPr>
      <t xml:space="preserve">u </t>
    </r>
    <r>
      <rPr>
        <b/>
        <i/>
        <sz val="6"/>
        <rFont val="Arial"/>
        <family val="2"/>
      </rPr>
      <t xml:space="preserve">i </t>
    </r>
    <r>
      <rPr>
        <b/>
        <sz val="6"/>
        <rFont val="Arial"/>
        <family val="2"/>
      </rPr>
      <t xml:space="preserve">ref </t>
    </r>
    <r>
      <rPr>
        <sz val="10"/>
        <rFont val="Arial"/>
        <family val="2"/>
      </rPr>
      <t xml:space="preserve">combined standard uncertainty of </t>
    </r>
    <r>
      <rPr>
        <b/>
        <i/>
        <sz val="10"/>
        <rFont val="Arial"/>
        <family val="2"/>
      </rPr>
      <t xml:space="preserve">x </t>
    </r>
    <r>
      <rPr>
        <b/>
        <i/>
        <sz val="6"/>
        <rFont val="Arial"/>
        <family val="2"/>
      </rPr>
      <t xml:space="preserve">i </t>
    </r>
    <r>
      <rPr>
        <b/>
        <sz val="6"/>
        <rFont val="Arial"/>
        <family val="2"/>
      </rPr>
      <t>ref</t>
    </r>
  </si>
  <si>
    <r>
      <rPr>
        <b/>
        <sz val="12"/>
        <rFont val="Arial"/>
        <family val="2"/>
      </rPr>
      <t xml:space="preserve">Lab </t>
    </r>
    <r>
      <rPr>
        <b/>
        <i/>
        <sz val="12"/>
        <rFont val="Arial"/>
        <family val="2"/>
      </rPr>
      <t>i</t>
    </r>
  </si>
  <si>
    <r>
      <rPr>
        <b/>
        <sz val="12"/>
        <rFont val="Arial"/>
        <family val="2"/>
      </rPr>
      <t>Cylinder number</t>
    </r>
  </si>
  <si>
    <r>
      <rPr>
        <b/>
        <i/>
        <vertAlign val="superscript"/>
        <sz val="12"/>
        <rFont val="Arial"/>
        <family val="2"/>
      </rPr>
      <t>x</t>
    </r>
    <r>
      <rPr>
        <b/>
        <sz val="8"/>
        <rFont val="Arial"/>
        <family val="2"/>
      </rPr>
      <t>Lab</t>
    </r>
    <r>
      <rPr>
        <b/>
        <i/>
        <sz val="8"/>
        <rFont val="Arial"/>
        <family val="2"/>
      </rPr>
      <t xml:space="preserve">i
</t>
    </r>
    <r>
      <rPr>
        <b/>
        <sz val="12"/>
        <rFont val="Arial"/>
        <family val="2"/>
      </rPr>
      <t>/ (µmol/mol)</t>
    </r>
  </si>
  <si>
    <r>
      <rPr>
        <b/>
        <i/>
        <vertAlign val="superscript"/>
        <sz val="12"/>
        <rFont val="Arial"/>
        <family val="2"/>
      </rPr>
      <t>u</t>
    </r>
    <r>
      <rPr>
        <sz val="8"/>
        <rFont val="Arial"/>
        <family val="2"/>
      </rPr>
      <t>Lab</t>
    </r>
    <r>
      <rPr>
        <i/>
        <sz val="8"/>
        <rFont val="Arial"/>
        <family val="2"/>
      </rPr>
      <t xml:space="preserve">i
</t>
    </r>
    <r>
      <rPr>
        <b/>
        <sz val="12"/>
        <rFont val="Arial"/>
        <family val="2"/>
      </rPr>
      <t>/ (µmol/mol)</t>
    </r>
  </si>
  <si>
    <r>
      <rPr>
        <b/>
        <i/>
        <vertAlign val="superscript"/>
        <sz val="12"/>
        <rFont val="Arial"/>
        <family val="2"/>
      </rPr>
      <t>x</t>
    </r>
    <r>
      <rPr>
        <i/>
        <sz val="8"/>
        <rFont val="Arial"/>
        <family val="2"/>
      </rPr>
      <t xml:space="preserve">i </t>
    </r>
    <r>
      <rPr>
        <sz val="8"/>
        <rFont val="Arial"/>
        <family val="2"/>
      </rPr>
      <t xml:space="preserve">ref
</t>
    </r>
    <r>
      <rPr>
        <b/>
        <sz val="12"/>
        <rFont val="Arial"/>
        <family val="2"/>
      </rPr>
      <t>/ (µmol/mol)</t>
    </r>
  </si>
  <si>
    <r>
      <rPr>
        <b/>
        <i/>
        <vertAlign val="superscript"/>
        <sz val="12"/>
        <rFont val="Arial"/>
        <family val="2"/>
      </rPr>
      <t>u</t>
    </r>
    <r>
      <rPr>
        <i/>
        <sz val="8"/>
        <rFont val="Arial"/>
        <family val="2"/>
      </rPr>
      <t xml:space="preserve">i </t>
    </r>
    <r>
      <rPr>
        <sz val="8"/>
        <rFont val="Arial"/>
        <family val="2"/>
      </rPr>
      <t xml:space="preserve">ref
</t>
    </r>
    <r>
      <rPr>
        <b/>
        <sz val="12"/>
        <rFont val="Arial"/>
        <family val="2"/>
      </rPr>
      <t>/ (µmol/mol)</t>
    </r>
  </si>
  <si>
    <r>
      <rPr>
        <sz val="11"/>
        <rFont val="Calibri"/>
        <family val="2"/>
      </rPr>
      <t xml:space="preserve">D i               U i
</t>
    </r>
    <r>
      <rPr>
        <sz val="11"/>
        <rFont val="Calibri"/>
        <family val="2"/>
      </rPr>
      <t>/ (µmol/mol)</t>
    </r>
  </si>
  <si>
    <r>
      <rPr>
        <b/>
        <sz val="10"/>
        <rFont val="Arial"/>
        <family val="2"/>
      </rPr>
      <t>Acronym</t>
    </r>
  </si>
  <si>
    <r>
      <rPr>
        <b/>
        <sz val="10"/>
        <rFont val="Arial"/>
        <family val="2"/>
      </rPr>
      <t>Country</t>
    </r>
  </si>
  <si>
    <r>
      <rPr>
        <b/>
        <sz val="10"/>
        <rFont val="Arial"/>
        <family val="2"/>
      </rPr>
      <t>Institute</t>
    </r>
  </si>
  <si>
    <r>
      <rPr>
        <b/>
        <sz val="11"/>
        <rFont val="Arial"/>
        <family val="2"/>
      </rPr>
      <t>CENAM</t>
    </r>
  </si>
  <si>
    <r>
      <rPr>
        <b/>
        <sz val="11"/>
        <rFont val="Arial"/>
        <family val="2"/>
      </rPr>
      <t>SG080089A</t>
    </r>
  </si>
  <si>
    <r>
      <rPr>
        <b/>
        <sz val="10"/>
        <rFont val="Arial"/>
        <family val="2"/>
      </rPr>
      <t>CENAM</t>
    </r>
  </si>
  <si>
    <r>
      <rPr>
        <sz val="10"/>
        <rFont val="Arial"/>
        <family val="2"/>
      </rPr>
      <t>MX</t>
    </r>
  </si>
  <si>
    <r>
      <rPr>
        <sz val="10"/>
        <rFont val="Arial"/>
        <family val="2"/>
      </rPr>
      <t>Centro Nacional De Metrologíe</t>
    </r>
  </si>
  <si>
    <r>
      <rPr>
        <b/>
        <sz val="11"/>
        <rFont val="Arial"/>
        <family val="2"/>
      </rPr>
      <t>CERI</t>
    </r>
  </si>
  <si>
    <r>
      <rPr>
        <b/>
        <sz val="11"/>
        <rFont val="Arial"/>
        <family val="2"/>
      </rPr>
      <t>SG080104A</t>
    </r>
  </si>
  <si>
    <r>
      <rPr>
        <b/>
        <sz val="10"/>
        <rFont val="Arial"/>
        <family val="2"/>
      </rPr>
      <t>CERI</t>
    </r>
  </si>
  <si>
    <r>
      <rPr>
        <sz val="10"/>
        <rFont val="Arial"/>
        <family val="2"/>
      </rPr>
      <t>JP</t>
    </r>
  </si>
  <si>
    <r>
      <rPr>
        <sz val="10"/>
        <rFont val="Arial"/>
        <family val="2"/>
      </rPr>
      <t>Chemicals Evaluation and Research Institute</t>
    </r>
  </si>
  <si>
    <r>
      <rPr>
        <b/>
        <sz val="11"/>
        <rFont val="Arial"/>
        <family val="2"/>
      </rPr>
      <t>GUM</t>
    </r>
  </si>
  <si>
    <r>
      <rPr>
        <b/>
        <sz val="11"/>
        <rFont val="Arial"/>
        <family val="2"/>
      </rPr>
      <t>SG080110A</t>
    </r>
  </si>
  <si>
    <r>
      <rPr>
        <b/>
        <sz val="10"/>
        <rFont val="Arial"/>
        <family val="2"/>
      </rPr>
      <t>GUM</t>
    </r>
  </si>
  <si>
    <r>
      <rPr>
        <sz val="10"/>
        <rFont val="Arial"/>
        <family val="2"/>
      </rPr>
      <t>PL</t>
    </r>
  </si>
  <si>
    <r>
      <rPr>
        <sz val="10"/>
        <rFont val="Arial"/>
        <family val="2"/>
      </rPr>
      <t>Central Office of Measures (Glowny Urzad Miar)</t>
    </r>
  </si>
  <si>
    <r>
      <rPr>
        <b/>
        <sz val="11"/>
        <rFont val="Arial"/>
        <family val="2"/>
      </rPr>
      <t>INMETRO</t>
    </r>
  </si>
  <si>
    <r>
      <rPr>
        <b/>
        <sz val="11"/>
        <rFont val="Arial"/>
        <family val="2"/>
      </rPr>
      <t>SG080102A</t>
    </r>
  </si>
  <si>
    <r>
      <rPr>
        <b/>
        <sz val="10"/>
        <rFont val="Arial"/>
        <family val="2"/>
      </rPr>
      <t>INMETRO</t>
    </r>
  </si>
  <si>
    <r>
      <rPr>
        <sz val="10"/>
        <rFont val="Arial"/>
        <family val="2"/>
      </rPr>
      <t>BR</t>
    </r>
  </si>
  <si>
    <r>
      <rPr>
        <sz val="10"/>
        <rFont val="Arial"/>
        <family val="2"/>
      </rPr>
      <t>National Institute of Metrology, Standardization and Industrial Quality</t>
    </r>
  </si>
  <si>
    <r>
      <rPr>
        <b/>
        <sz val="11"/>
        <rFont val="Arial"/>
        <family val="2"/>
      </rPr>
      <t>IPQ</t>
    </r>
  </si>
  <si>
    <r>
      <rPr>
        <b/>
        <sz val="11"/>
        <rFont val="Arial"/>
        <family val="2"/>
      </rPr>
      <t>SG080095A</t>
    </r>
  </si>
  <si>
    <r>
      <rPr>
        <b/>
        <sz val="10"/>
        <rFont val="Arial"/>
        <family val="2"/>
      </rPr>
      <t>IPQ</t>
    </r>
  </si>
  <si>
    <r>
      <rPr>
        <sz val="10"/>
        <rFont val="Arial"/>
        <family val="2"/>
      </rPr>
      <t>PT</t>
    </r>
  </si>
  <si>
    <r>
      <rPr>
        <sz val="10"/>
        <rFont val="Arial"/>
        <family val="2"/>
      </rPr>
      <t>Instituto Português da Qualidade</t>
    </r>
  </si>
  <si>
    <r>
      <rPr>
        <b/>
        <sz val="11"/>
        <rFont val="Arial"/>
        <family val="2"/>
      </rPr>
      <t>KRISS</t>
    </r>
  </si>
  <si>
    <r>
      <rPr>
        <b/>
        <sz val="11"/>
        <rFont val="Arial"/>
        <family val="2"/>
      </rPr>
      <t>SG080101A</t>
    </r>
  </si>
  <si>
    <r>
      <rPr>
        <b/>
        <sz val="10"/>
        <rFont val="Arial"/>
        <family val="2"/>
      </rPr>
      <t>KRISS</t>
    </r>
  </si>
  <si>
    <r>
      <rPr>
        <sz val="10"/>
        <rFont val="Arial"/>
        <family val="2"/>
      </rPr>
      <t>KR</t>
    </r>
  </si>
  <si>
    <r>
      <rPr>
        <sz val="10"/>
        <rFont val="Arial"/>
        <family val="2"/>
      </rPr>
      <t>Korea Research Institute of Standards and Science</t>
    </r>
  </si>
  <si>
    <r>
      <rPr>
        <b/>
        <sz val="11"/>
        <rFont val="Arial"/>
        <family val="2"/>
      </rPr>
      <t>LNE</t>
    </r>
  </si>
  <si>
    <r>
      <rPr>
        <b/>
        <sz val="11"/>
        <rFont val="Arial"/>
        <family val="2"/>
      </rPr>
      <t>SG080093A</t>
    </r>
  </si>
  <si>
    <r>
      <rPr>
        <b/>
        <sz val="10"/>
        <rFont val="Arial"/>
        <family val="2"/>
      </rPr>
      <t>LNE</t>
    </r>
  </si>
  <si>
    <r>
      <rPr>
        <sz val="10"/>
        <rFont val="Arial"/>
        <family val="2"/>
      </rPr>
      <t>FR</t>
    </r>
  </si>
  <si>
    <r>
      <rPr>
        <sz val="10"/>
        <rFont val="Arial"/>
        <family val="2"/>
      </rPr>
      <t>Laboratoire National de métrologie et d’Essais</t>
    </r>
  </si>
  <si>
    <r>
      <rPr>
        <b/>
        <sz val="11"/>
        <rFont val="Arial"/>
        <family val="2"/>
      </rPr>
      <t>MKEH</t>
    </r>
  </si>
  <si>
    <r>
      <rPr>
        <b/>
        <sz val="11"/>
        <rFont val="Arial"/>
        <family val="2"/>
      </rPr>
      <t>SG080097A</t>
    </r>
  </si>
  <si>
    <r>
      <rPr>
        <b/>
        <sz val="10"/>
        <rFont val="Arial"/>
        <family val="2"/>
      </rPr>
      <t>MKEH</t>
    </r>
  </si>
  <si>
    <r>
      <rPr>
        <sz val="10"/>
        <rFont val="Arial"/>
        <family val="2"/>
      </rPr>
      <t>HU</t>
    </r>
  </si>
  <si>
    <r>
      <rPr>
        <sz val="10"/>
        <rFont val="Arial"/>
        <family val="2"/>
      </rPr>
      <t>Hungarian Trade Licensing Office</t>
    </r>
  </si>
  <si>
    <r>
      <rPr>
        <b/>
        <sz val="11"/>
        <rFont val="Arial"/>
        <family val="2"/>
      </rPr>
      <t>NIM</t>
    </r>
  </si>
  <si>
    <r>
      <rPr>
        <b/>
        <sz val="11"/>
        <rFont val="Arial"/>
        <family val="2"/>
      </rPr>
      <t>SG080125A</t>
    </r>
  </si>
  <si>
    <r>
      <rPr>
        <b/>
        <sz val="10"/>
        <rFont val="Arial"/>
        <family val="2"/>
      </rPr>
      <t>NIM</t>
    </r>
  </si>
  <si>
    <r>
      <rPr>
        <sz val="10"/>
        <rFont val="Arial"/>
        <family val="2"/>
      </rPr>
      <t>CN</t>
    </r>
  </si>
  <si>
    <r>
      <rPr>
        <sz val="10"/>
        <rFont val="Arial"/>
        <family val="2"/>
      </rPr>
      <t>National Institute of Metrology</t>
    </r>
  </si>
  <si>
    <r>
      <rPr>
        <b/>
        <sz val="11"/>
        <rFont val="Arial"/>
        <family val="2"/>
      </rPr>
      <t>NIST</t>
    </r>
  </si>
  <si>
    <r>
      <rPr>
        <b/>
        <sz val="11"/>
        <rFont val="Arial"/>
        <family val="2"/>
      </rPr>
      <t>SG080122A</t>
    </r>
  </si>
  <si>
    <r>
      <rPr>
        <b/>
        <sz val="10"/>
        <rFont val="Arial"/>
        <family val="2"/>
      </rPr>
      <t>NIST</t>
    </r>
  </si>
  <si>
    <r>
      <rPr>
        <sz val="10"/>
        <rFont val="Arial"/>
        <family val="2"/>
      </rPr>
      <t>US</t>
    </r>
  </si>
  <si>
    <r>
      <rPr>
        <sz val="10"/>
        <rFont val="Arial"/>
        <family val="2"/>
      </rPr>
      <t>National Institute of Standards and Technology</t>
    </r>
  </si>
  <si>
    <r>
      <rPr>
        <b/>
        <sz val="11"/>
        <rFont val="Arial"/>
        <family val="2"/>
      </rPr>
      <t>NMISA</t>
    </r>
  </si>
  <si>
    <r>
      <rPr>
        <b/>
        <sz val="11"/>
        <rFont val="Arial"/>
        <family val="2"/>
      </rPr>
      <t>SG080113A</t>
    </r>
  </si>
  <si>
    <r>
      <rPr>
        <b/>
        <sz val="10"/>
        <rFont val="Arial"/>
        <family val="2"/>
      </rPr>
      <t>NMISA</t>
    </r>
  </si>
  <si>
    <r>
      <rPr>
        <sz val="10"/>
        <rFont val="Arial"/>
        <family val="2"/>
      </rPr>
      <t>ZA</t>
    </r>
  </si>
  <si>
    <r>
      <rPr>
        <sz val="10"/>
        <rFont val="Arial"/>
        <family val="2"/>
      </rPr>
      <t>National Metrology Institute of South Africa</t>
    </r>
  </si>
  <si>
    <r>
      <rPr>
        <b/>
        <sz val="11"/>
        <rFont val="Arial"/>
        <family val="2"/>
      </rPr>
      <t>NPL</t>
    </r>
  </si>
  <si>
    <r>
      <rPr>
        <b/>
        <sz val="11"/>
        <rFont val="Arial"/>
        <family val="2"/>
      </rPr>
      <t>SG080114A</t>
    </r>
  </si>
  <si>
    <r>
      <rPr>
        <b/>
        <sz val="10"/>
        <rFont val="Arial"/>
        <family val="2"/>
      </rPr>
      <t>NPL</t>
    </r>
  </si>
  <si>
    <r>
      <rPr>
        <sz val="10"/>
        <rFont val="Arial"/>
        <family val="2"/>
      </rPr>
      <t>GB</t>
    </r>
  </si>
  <si>
    <r>
      <rPr>
        <sz val="10"/>
        <rFont val="Arial"/>
        <family val="2"/>
      </rPr>
      <t>National Physical Laboratory</t>
    </r>
  </si>
  <si>
    <r>
      <rPr>
        <b/>
        <sz val="11"/>
        <rFont val="Arial"/>
        <family val="2"/>
      </rPr>
      <t>NPLI</t>
    </r>
  </si>
  <si>
    <r>
      <rPr>
        <b/>
        <sz val="11"/>
        <rFont val="Arial"/>
        <family val="2"/>
      </rPr>
      <t>SG080085A</t>
    </r>
  </si>
  <si>
    <r>
      <rPr>
        <b/>
        <sz val="10"/>
        <rFont val="Arial"/>
        <family val="2"/>
      </rPr>
      <t>NPLI</t>
    </r>
  </si>
  <si>
    <r>
      <rPr>
        <sz val="10"/>
        <rFont val="Arial"/>
        <family val="2"/>
      </rPr>
      <t>IN</t>
    </r>
  </si>
  <si>
    <r>
      <rPr>
        <sz val="10"/>
        <rFont val="Arial"/>
        <family val="2"/>
      </rPr>
      <t>National Physical Laboratory India</t>
    </r>
  </si>
  <si>
    <r>
      <rPr>
        <b/>
        <sz val="11"/>
        <rFont val="Arial"/>
        <family val="2"/>
      </rPr>
      <t>SMU</t>
    </r>
  </si>
  <si>
    <r>
      <rPr>
        <b/>
        <sz val="11"/>
        <rFont val="Arial"/>
        <family val="2"/>
      </rPr>
      <t>SG080117A</t>
    </r>
  </si>
  <si>
    <r>
      <rPr>
        <b/>
        <sz val="10"/>
        <rFont val="Arial"/>
        <family val="2"/>
      </rPr>
      <t>SMU</t>
    </r>
  </si>
  <si>
    <r>
      <rPr>
        <sz val="10"/>
        <rFont val="Arial"/>
        <family val="2"/>
      </rPr>
      <t>SK</t>
    </r>
  </si>
  <si>
    <r>
      <rPr>
        <sz val="10"/>
        <rFont val="Arial"/>
        <family val="2"/>
      </rPr>
      <t>Slovak Institute of Metrology</t>
    </r>
  </si>
  <si>
    <r>
      <rPr>
        <b/>
        <sz val="11"/>
        <rFont val="Arial"/>
        <family val="2"/>
      </rPr>
      <t>VNIIM</t>
    </r>
  </si>
  <si>
    <r>
      <rPr>
        <b/>
        <sz val="11"/>
        <rFont val="Arial"/>
        <family val="2"/>
      </rPr>
      <t>SG080119A</t>
    </r>
  </si>
  <si>
    <r>
      <rPr>
        <b/>
        <sz val="10"/>
        <rFont val="Arial"/>
        <family val="2"/>
      </rPr>
      <t>VNIIM</t>
    </r>
  </si>
  <si>
    <r>
      <rPr>
        <sz val="10"/>
        <rFont val="Arial"/>
        <family val="2"/>
      </rPr>
      <t>RU</t>
    </r>
  </si>
  <si>
    <r>
      <rPr>
        <sz val="10"/>
        <rFont val="Arial"/>
        <family val="2"/>
      </rPr>
      <t>D.I.Mendeleyev Institute for Metrology</t>
    </r>
  </si>
  <si>
    <r>
      <rPr>
        <b/>
        <sz val="11"/>
        <rFont val="Arial"/>
        <family val="2"/>
      </rPr>
      <t>VSL</t>
    </r>
  </si>
  <si>
    <r>
      <rPr>
        <b/>
        <sz val="11"/>
        <rFont val="Arial"/>
        <family val="2"/>
      </rPr>
      <t>SG080123A</t>
    </r>
  </si>
  <si>
    <r>
      <rPr>
        <b/>
        <sz val="10"/>
        <rFont val="Arial"/>
        <family val="2"/>
      </rPr>
      <t>VSL</t>
    </r>
  </si>
  <si>
    <r>
      <rPr>
        <sz val="10"/>
        <rFont val="Arial"/>
        <family val="2"/>
      </rPr>
      <t>NL</t>
    </r>
  </si>
  <si>
    <r>
      <rPr>
        <sz val="10"/>
        <rFont val="Arial"/>
        <family val="2"/>
      </rPr>
      <t>VSL</t>
    </r>
  </si>
  <si>
    <t>CCQM-K77</t>
  </si>
  <si>
    <t>Refinery gas</t>
  </si>
  <si>
    <t>x (10-2  mol mol-1)</t>
  </si>
  <si>
    <t>Methane</t>
  </si>
  <si>
    <t>10 – 15</t>
  </si>
  <si>
    <t>Ethene</t>
  </si>
  <si>
    <t>Ethane</t>
  </si>
  <si>
    <t>1 – 5</t>
  </si>
  <si>
    <t>Propene</t>
  </si>
  <si>
    <t>Propane</t>
  </si>
  <si>
    <t>0.4 – 1</t>
  </si>
  <si>
    <t>1,3-Butadiene</t>
  </si>
  <si>
    <t>0.5 – 3</t>
  </si>
  <si>
    <t>1-Butene</t>
  </si>
  <si>
    <t>0.3 – 0.7</t>
  </si>
  <si>
    <t>Iso-butene</t>
  </si>
  <si>
    <t>Hydrogen</t>
  </si>
  <si>
    <t>7 – 10</t>
  </si>
  <si>
    <t>Nitrogen</t>
  </si>
  <si>
    <t>3 – 5</t>
  </si>
  <si>
    <t>Helium</t>
  </si>
  <si>
    <t>Balance</t>
  </si>
  <si>
    <r>
      <rPr>
        <sz val="9"/>
        <rFont val="Arial"/>
        <family val="2"/>
      </rPr>
      <t>During its twenty sixth meeting, the CCQM-GAWG decided that this key comparison can be used to support CMC</t>
    </r>
  </si>
  <si>
    <r>
      <rPr>
        <sz val="9"/>
        <rFont val="Arial"/>
        <family val="2"/>
      </rPr>
      <t>claims for typical refinery gas and coke oven type gas mixtures containing the following components over the amount–of–substance fraction ranges listed.</t>
    </r>
  </si>
  <si>
    <r>
      <rPr>
        <b/>
        <sz val="9"/>
        <rFont val="Arial"/>
        <family val="2"/>
      </rPr>
      <t>Table 3: Ranges supported by this key comparison</t>
    </r>
  </si>
  <si>
    <r>
      <rPr>
        <b/>
        <sz val="9"/>
        <rFont val="Arial"/>
        <family val="2"/>
      </rPr>
      <t xml:space="preserve">Range
</t>
    </r>
    <r>
      <rPr>
        <b/>
        <sz val="9"/>
        <rFont val="Arial"/>
        <family val="2"/>
      </rPr>
      <t>(10</t>
    </r>
    <r>
      <rPr>
        <b/>
        <vertAlign val="superscript"/>
        <sz val="6"/>
        <rFont val="Arial"/>
        <family val="2"/>
      </rPr>
      <t xml:space="preserve">-2 </t>
    </r>
    <r>
      <rPr>
        <b/>
        <sz val="9"/>
        <rFont val="Arial"/>
        <family val="2"/>
      </rPr>
      <t>mol mol</t>
    </r>
    <r>
      <rPr>
        <b/>
        <vertAlign val="superscript"/>
        <sz val="6"/>
        <rFont val="Arial"/>
        <family val="2"/>
      </rPr>
      <t>-1</t>
    </r>
    <r>
      <rPr>
        <b/>
        <sz val="9"/>
        <rFont val="Arial"/>
        <family val="2"/>
      </rPr>
      <t>)</t>
    </r>
  </si>
  <si>
    <r>
      <rPr>
        <sz val="9"/>
        <rFont val="Arial"/>
        <family val="2"/>
      </rPr>
      <t>methane</t>
    </r>
  </si>
  <si>
    <r>
      <rPr>
        <sz val="9"/>
        <rFont val="Arial"/>
        <family val="2"/>
      </rPr>
      <t>5 to 70</t>
    </r>
  </si>
  <si>
    <r>
      <rPr>
        <sz val="9"/>
        <rFont val="Arial"/>
        <family val="2"/>
      </rPr>
      <t>ethene</t>
    </r>
  </si>
  <si>
    <r>
      <rPr>
        <sz val="9"/>
        <rFont val="Arial"/>
        <family val="2"/>
      </rPr>
      <t>5 to 20</t>
    </r>
  </si>
  <si>
    <r>
      <rPr>
        <sz val="9"/>
        <rFont val="Arial"/>
        <family val="2"/>
      </rPr>
      <t>ethane</t>
    </r>
  </si>
  <si>
    <r>
      <rPr>
        <sz val="9"/>
        <rFont val="Arial"/>
        <family val="2"/>
      </rPr>
      <t>1 to 10</t>
    </r>
  </si>
  <si>
    <r>
      <rPr>
        <sz val="9"/>
        <rFont val="Arial"/>
        <family val="2"/>
      </rPr>
      <t>propene</t>
    </r>
  </si>
  <si>
    <r>
      <rPr>
        <sz val="9"/>
        <rFont val="Arial"/>
        <family val="2"/>
      </rPr>
      <t>0.5 to 10</t>
    </r>
  </si>
  <si>
    <r>
      <rPr>
        <sz val="9"/>
        <rFont val="Arial"/>
        <family val="2"/>
      </rPr>
      <t>propane</t>
    </r>
  </si>
  <si>
    <r>
      <rPr>
        <sz val="9"/>
        <rFont val="Arial"/>
        <family val="2"/>
      </rPr>
      <t>0.1 to 5</t>
    </r>
  </si>
  <si>
    <r>
      <rPr>
        <sz val="9"/>
        <rFont val="Arial"/>
        <family val="2"/>
      </rPr>
      <t>1,3-butadiene</t>
    </r>
  </si>
  <si>
    <r>
      <rPr>
        <sz val="9"/>
        <rFont val="Arial"/>
        <family val="2"/>
      </rPr>
      <t>0.5 to 3</t>
    </r>
  </si>
  <si>
    <r>
      <rPr>
        <sz val="9"/>
        <rFont val="Arial"/>
        <family val="2"/>
      </rPr>
      <t>1-butene</t>
    </r>
  </si>
  <si>
    <r>
      <rPr>
        <sz val="9"/>
        <rFont val="Arial"/>
        <family val="2"/>
      </rPr>
      <t>0.1 to 1</t>
    </r>
  </si>
  <si>
    <r>
      <rPr>
        <sz val="9"/>
        <rFont val="Arial"/>
        <family val="2"/>
      </rPr>
      <t>iso-butene</t>
    </r>
  </si>
  <si>
    <r>
      <rPr>
        <sz val="9"/>
        <rFont val="Arial"/>
        <family val="2"/>
      </rPr>
      <t>n-butane</t>
    </r>
  </si>
  <si>
    <r>
      <rPr>
        <sz val="9"/>
        <rFont val="Arial"/>
        <family val="2"/>
      </rPr>
      <t>0.1 to 2</t>
    </r>
  </si>
  <si>
    <r>
      <rPr>
        <sz val="9"/>
        <rFont val="Arial"/>
        <family val="2"/>
      </rPr>
      <t>n-pentane</t>
    </r>
  </si>
  <si>
    <r>
      <rPr>
        <sz val="9"/>
        <rFont val="Arial"/>
        <family val="2"/>
      </rPr>
      <t>hydrogen</t>
    </r>
  </si>
  <si>
    <r>
      <rPr>
        <sz val="9"/>
        <rFont val="Arial"/>
        <family val="2"/>
      </rPr>
      <t>nitrogen</t>
    </r>
  </si>
  <si>
    <r>
      <rPr>
        <sz val="9"/>
        <rFont val="Arial"/>
        <family val="2"/>
      </rPr>
      <t>1 to 70</t>
    </r>
  </si>
  <si>
    <r>
      <rPr>
        <sz val="9"/>
        <rFont val="Arial"/>
        <family val="2"/>
      </rPr>
      <t>helium</t>
    </r>
  </si>
  <si>
    <t>methane</t>
  </si>
  <si>
    <t>ethene</t>
  </si>
  <si>
    <t>ethane</t>
  </si>
  <si>
    <t>propene</t>
  </si>
  <si>
    <t>propane</t>
  </si>
  <si>
    <t>1,3-butadiene</t>
    <phoneticPr fontId="4"/>
  </si>
  <si>
    <t>1-butene</t>
    <phoneticPr fontId="4"/>
  </si>
  <si>
    <t>iso-butene</t>
    <phoneticPr fontId="4"/>
  </si>
  <si>
    <t>hydrogen</t>
    <phoneticPr fontId="4"/>
  </si>
  <si>
    <t>nitrogen</t>
  </si>
  <si>
    <t>helium</t>
  </si>
  <si>
    <r>
      <rPr>
        <b/>
        <sz val="9"/>
        <rFont val="Arial"/>
        <family val="2"/>
      </rPr>
      <t>Table 5: Results and degrees–of–equivalence for methane (10</t>
    </r>
    <r>
      <rPr>
        <b/>
        <vertAlign val="superscript"/>
        <sz val="6"/>
        <rFont val="Arial"/>
        <family val="2"/>
      </rPr>
      <t xml:space="preserve">-2  </t>
    </r>
    <r>
      <rPr>
        <b/>
        <sz val="9"/>
        <rFont val="Arial"/>
        <family val="2"/>
      </rPr>
      <t>mol mol</t>
    </r>
    <r>
      <rPr>
        <b/>
        <vertAlign val="superscript"/>
        <sz val="6"/>
        <rFont val="Arial"/>
        <family val="2"/>
      </rPr>
      <t>-1</t>
    </r>
    <r>
      <rPr>
        <b/>
        <sz val="9"/>
        <rFont val="Arial"/>
        <family val="2"/>
      </rPr>
      <t>)</t>
    </r>
  </si>
  <si>
    <r>
      <rPr>
        <b/>
        <i/>
        <vertAlign val="superscript"/>
        <sz val="9"/>
        <rFont val="Arial"/>
        <family val="2"/>
      </rPr>
      <t>x</t>
    </r>
    <r>
      <rPr>
        <b/>
        <i/>
        <sz val="6"/>
        <rFont val="Arial"/>
        <family val="2"/>
      </rPr>
      <t>prep</t>
    </r>
  </si>
  <si>
    <r>
      <rPr>
        <b/>
        <i/>
        <vertAlign val="superscript"/>
        <sz val="9"/>
        <rFont val="Arial"/>
        <family val="2"/>
      </rPr>
      <t>u</t>
    </r>
    <r>
      <rPr>
        <b/>
        <i/>
        <sz val="6"/>
        <rFont val="Arial"/>
        <family val="2"/>
      </rPr>
      <t>prep</t>
    </r>
  </si>
  <si>
    <r>
      <rPr>
        <b/>
        <i/>
        <vertAlign val="superscript"/>
        <sz val="9"/>
        <rFont val="Arial"/>
        <family val="2"/>
      </rPr>
      <t>u</t>
    </r>
    <r>
      <rPr>
        <b/>
        <i/>
        <sz val="6"/>
        <rFont val="Arial"/>
        <family val="2"/>
      </rPr>
      <t>ver</t>
    </r>
  </si>
  <si>
    <r>
      <rPr>
        <b/>
        <i/>
        <vertAlign val="superscript"/>
        <sz val="9"/>
        <rFont val="Arial"/>
        <family val="2"/>
      </rPr>
      <t>u</t>
    </r>
    <r>
      <rPr>
        <b/>
        <i/>
        <sz val="6"/>
        <rFont val="Arial"/>
        <family val="2"/>
      </rPr>
      <t>ref</t>
    </r>
  </si>
  <si>
    <r>
      <rPr>
        <b/>
        <i/>
        <vertAlign val="superscript"/>
        <sz val="9"/>
        <rFont val="Arial"/>
        <family val="2"/>
      </rPr>
      <t>x</t>
    </r>
    <r>
      <rPr>
        <b/>
        <i/>
        <sz val="6"/>
        <rFont val="Arial"/>
        <family val="2"/>
      </rPr>
      <t>lab</t>
    </r>
  </si>
  <si>
    <r>
      <rPr>
        <b/>
        <i/>
        <vertAlign val="superscript"/>
        <sz val="9"/>
        <rFont val="Arial"/>
        <family val="2"/>
      </rPr>
      <t>U</t>
    </r>
    <r>
      <rPr>
        <b/>
        <i/>
        <sz val="6"/>
        <rFont val="Arial"/>
        <family val="2"/>
      </rPr>
      <t>lab</t>
    </r>
  </si>
  <si>
    <r>
      <rPr>
        <b/>
        <i/>
        <vertAlign val="superscript"/>
        <sz val="9"/>
        <rFont val="Arial"/>
        <family val="2"/>
      </rPr>
      <t>D</t>
    </r>
    <r>
      <rPr>
        <b/>
        <i/>
        <sz val="6"/>
        <rFont val="Arial"/>
        <family val="2"/>
      </rPr>
      <t>i</t>
    </r>
  </si>
  <si>
    <r>
      <rPr>
        <b/>
        <i/>
        <vertAlign val="superscript"/>
        <sz val="9"/>
        <rFont val="Arial"/>
        <family val="2"/>
      </rPr>
      <t>D</t>
    </r>
    <r>
      <rPr>
        <b/>
        <i/>
        <sz val="6"/>
        <rFont val="Arial"/>
        <family val="2"/>
      </rPr>
      <t>i</t>
    </r>
    <r>
      <rPr>
        <b/>
        <vertAlign val="superscript"/>
        <sz val="9"/>
        <rFont val="Arial"/>
        <family val="2"/>
      </rPr>
      <t>/</t>
    </r>
    <r>
      <rPr>
        <b/>
        <i/>
        <vertAlign val="superscript"/>
        <sz val="9"/>
        <rFont val="Arial"/>
        <family val="2"/>
      </rPr>
      <t>x</t>
    </r>
  </si>
  <si>
    <r>
      <rPr>
        <b/>
        <i/>
        <vertAlign val="superscript"/>
        <sz val="9"/>
        <rFont val="Arial"/>
        <family val="2"/>
      </rPr>
      <t>U</t>
    </r>
    <r>
      <rPr>
        <b/>
        <vertAlign val="superscript"/>
        <sz val="9"/>
        <rFont val="Arial"/>
        <family val="2"/>
      </rPr>
      <t>(</t>
    </r>
    <r>
      <rPr>
        <b/>
        <i/>
        <vertAlign val="superscript"/>
        <sz val="9"/>
        <rFont val="Arial"/>
        <family val="2"/>
      </rPr>
      <t>D</t>
    </r>
    <r>
      <rPr>
        <b/>
        <i/>
        <sz val="6"/>
        <rFont val="Arial"/>
        <family val="2"/>
      </rPr>
      <t>i</t>
    </r>
    <r>
      <rPr>
        <b/>
        <vertAlign val="superscript"/>
        <sz val="9"/>
        <rFont val="Arial"/>
        <family val="2"/>
      </rPr>
      <t>)</t>
    </r>
  </si>
  <si>
    <r>
      <rPr>
        <b/>
        <i/>
        <vertAlign val="superscript"/>
        <sz val="9"/>
        <rFont val="Arial"/>
        <family val="2"/>
      </rPr>
      <t>U</t>
    </r>
    <r>
      <rPr>
        <b/>
        <vertAlign val="superscript"/>
        <sz val="9"/>
        <rFont val="Arial"/>
        <family val="2"/>
      </rPr>
      <t>(</t>
    </r>
    <r>
      <rPr>
        <b/>
        <i/>
        <vertAlign val="superscript"/>
        <sz val="9"/>
        <rFont val="Arial"/>
        <family val="2"/>
      </rPr>
      <t>D</t>
    </r>
    <r>
      <rPr>
        <b/>
        <i/>
        <sz val="6"/>
        <rFont val="Arial"/>
        <family val="2"/>
      </rPr>
      <t>i</t>
    </r>
    <r>
      <rPr>
        <b/>
        <vertAlign val="superscript"/>
        <sz val="9"/>
        <rFont val="Arial"/>
        <family val="2"/>
      </rPr>
      <t>)/</t>
    </r>
    <r>
      <rPr>
        <b/>
        <i/>
        <vertAlign val="superscript"/>
        <sz val="9"/>
        <rFont val="Arial"/>
        <family val="2"/>
      </rPr>
      <t>x</t>
    </r>
  </si>
  <si>
    <r>
      <rPr>
        <sz val="10"/>
        <rFont val="Arial"/>
        <family val="2"/>
      </rPr>
      <t>D248209</t>
    </r>
  </si>
  <si>
    <r>
      <rPr>
        <sz val="10"/>
        <rFont val="Arial"/>
        <family val="2"/>
      </rPr>
      <t>BAM</t>
    </r>
  </si>
  <si>
    <r>
      <rPr>
        <sz val="10"/>
        <rFont val="Arial"/>
        <family val="2"/>
      </rPr>
      <t>D248163</t>
    </r>
  </si>
  <si>
    <r>
      <rPr>
        <sz val="10"/>
        <rFont val="Arial"/>
        <family val="2"/>
      </rPr>
      <t>MKEH</t>
    </r>
  </si>
  <si>
    <r>
      <rPr>
        <sz val="10"/>
        <rFont val="Arial"/>
        <family val="2"/>
      </rPr>
      <t>D248168</t>
    </r>
  </si>
  <si>
    <r>
      <rPr>
        <sz val="10"/>
        <rFont val="Arial"/>
        <family val="2"/>
      </rPr>
      <t>KRISS</t>
    </r>
  </si>
  <si>
    <r>
      <rPr>
        <sz val="10"/>
        <rFont val="Arial"/>
        <family val="2"/>
      </rPr>
      <t>D248205</t>
    </r>
  </si>
  <si>
    <r>
      <rPr>
        <sz val="10"/>
        <rFont val="Arial"/>
        <family val="2"/>
      </rPr>
      <t>NIM</t>
    </r>
  </si>
  <si>
    <r>
      <rPr>
        <sz val="10"/>
        <rFont val="Arial"/>
        <family val="2"/>
      </rPr>
      <t>D248188</t>
    </r>
  </si>
  <si>
    <r>
      <rPr>
        <sz val="10"/>
        <rFont val="Arial"/>
        <family val="2"/>
      </rPr>
      <t>NPL</t>
    </r>
  </si>
  <si>
    <r>
      <rPr>
        <sz val="10"/>
        <rFont val="Arial"/>
        <family val="2"/>
      </rPr>
      <t>D248159</t>
    </r>
  </si>
  <si>
    <r>
      <rPr>
        <sz val="10"/>
        <rFont val="Arial"/>
        <family val="2"/>
      </rPr>
      <t>SMU</t>
    </r>
  </si>
  <si>
    <r>
      <rPr>
        <sz val="10"/>
        <rFont val="Arial"/>
        <family val="2"/>
      </rPr>
      <t>D248206</t>
    </r>
  </si>
  <si>
    <r>
      <rPr>
        <sz val="10"/>
        <rFont val="Arial"/>
        <family val="2"/>
      </rPr>
      <t>VNIIM</t>
    </r>
  </si>
  <si>
    <r>
      <rPr>
        <sz val="10"/>
        <rFont val="Arial"/>
        <family val="2"/>
      </rPr>
      <t>D248176</t>
    </r>
  </si>
  <si>
    <r>
      <rPr>
        <b/>
        <sz val="9"/>
        <rFont val="Arial"/>
        <family val="2"/>
      </rPr>
      <t>Table 6: Results and degrees–of–equivalence for ethene (10</t>
    </r>
    <r>
      <rPr>
        <b/>
        <vertAlign val="superscript"/>
        <sz val="6"/>
        <rFont val="Arial"/>
        <family val="2"/>
      </rPr>
      <t xml:space="preserve">-2 </t>
    </r>
    <r>
      <rPr>
        <b/>
        <sz val="9"/>
        <rFont val="Arial"/>
        <family val="2"/>
      </rPr>
      <t>mol mol</t>
    </r>
    <r>
      <rPr>
        <b/>
        <vertAlign val="superscript"/>
        <sz val="6"/>
        <rFont val="Arial"/>
        <family val="2"/>
      </rPr>
      <t>-1</t>
    </r>
    <r>
      <rPr>
        <b/>
        <sz val="9"/>
        <rFont val="Arial"/>
        <family val="2"/>
      </rPr>
      <t>)</t>
    </r>
  </si>
  <si>
    <r>
      <rPr>
        <b/>
        <sz val="9"/>
        <rFont val="Arial"/>
        <family val="2"/>
      </rPr>
      <t>Table 7: Results and degrees–of–equivalence for ethane (10</t>
    </r>
    <r>
      <rPr>
        <b/>
        <vertAlign val="superscript"/>
        <sz val="6"/>
        <rFont val="Arial"/>
        <family val="2"/>
      </rPr>
      <t xml:space="preserve">-2 </t>
    </r>
    <r>
      <rPr>
        <b/>
        <sz val="9"/>
        <rFont val="Arial"/>
        <family val="2"/>
      </rPr>
      <t>mol mol</t>
    </r>
    <r>
      <rPr>
        <b/>
        <vertAlign val="superscript"/>
        <sz val="6"/>
        <rFont val="Arial"/>
        <family val="2"/>
      </rPr>
      <t>-1</t>
    </r>
    <r>
      <rPr>
        <b/>
        <sz val="9"/>
        <rFont val="Arial"/>
        <family val="2"/>
      </rPr>
      <t>)</t>
    </r>
  </si>
  <si>
    <r>
      <rPr>
        <b/>
        <sz val="9"/>
        <rFont val="Arial"/>
        <family val="2"/>
      </rPr>
      <t>Table 8: Results and degrees–of–equivalence for propene (10</t>
    </r>
    <r>
      <rPr>
        <b/>
        <vertAlign val="superscript"/>
        <sz val="6"/>
        <rFont val="Arial"/>
        <family val="2"/>
      </rPr>
      <t xml:space="preserve">-2  </t>
    </r>
    <r>
      <rPr>
        <b/>
        <sz val="9"/>
        <rFont val="Arial"/>
        <family val="2"/>
      </rPr>
      <t>mol mol</t>
    </r>
    <r>
      <rPr>
        <b/>
        <vertAlign val="superscript"/>
        <sz val="6"/>
        <rFont val="Arial"/>
        <family val="2"/>
      </rPr>
      <t>-1</t>
    </r>
    <r>
      <rPr>
        <b/>
        <sz val="9"/>
        <rFont val="Arial"/>
        <family val="2"/>
      </rPr>
      <t>)</t>
    </r>
  </si>
  <si>
    <r>
      <rPr>
        <b/>
        <sz val="9"/>
        <rFont val="Arial"/>
        <family val="2"/>
      </rPr>
      <t>Table 9: Results and degrees–of–equivalence for propane (10</t>
    </r>
    <r>
      <rPr>
        <b/>
        <vertAlign val="superscript"/>
        <sz val="6"/>
        <rFont val="Arial"/>
        <family val="2"/>
      </rPr>
      <t xml:space="preserve">-2  </t>
    </r>
    <r>
      <rPr>
        <b/>
        <sz val="9"/>
        <rFont val="Arial"/>
        <family val="2"/>
      </rPr>
      <t>mol mol</t>
    </r>
    <r>
      <rPr>
        <b/>
        <vertAlign val="superscript"/>
        <sz val="6"/>
        <rFont val="Arial"/>
        <family val="2"/>
      </rPr>
      <t>-1</t>
    </r>
    <r>
      <rPr>
        <b/>
        <sz val="9"/>
        <rFont val="Arial"/>
        <family val="2"/>
      </rPr>
      <t>)</t>
    </r>
  </si>
  <si>
    <r>
      <rPr>
        <b/>
        <sz val="9"/>
        <rFont val="Arial"/>
        <family val="2"/>
      </rPr>
      <t>Table 10: Results and degrees–of–equivalence for 1,3-butadiene (10</t>
    </r>
    <r>
      <rPr>
        <b/>
        <vertAlign val="superscript"/>
        <sz val="6"/>
        <rFont val="Arial"/>
        <family val="2"/>
      </rPr>
      <t xml:space="preserve">-2  </t>
    </r>
    <r>
      <rPr>
        <b/>
        <sz val="9"/>
        <rFont val="Arial"/>
        <family val="2"/>
      </rPr>
      <t>mol mol</t>
    </r>
    <r>
      <rPr>
        <b/>
        <vertAlign val="superscript"/>
        <sz val="6"/>
        <rFont val="Arial"/>
        <family val="2"/>
      </rPr>
      <t>-1</t>
    </r>
    <r>
      <rPr>
        <b/>
        <sz val="9"/>
        <rFont val="Arial"/>
        <family val="2"/>
      </rPr>
      <t>)</t>
    </r>
  </si>
  <si>
    <r>
      <rPr>
        <b/>
        <sz val="9"/>
        <rFont val="Arial"/>
        <family val="2"/>
      </rPr>
      <t>Table 11: Results and degrees–of–equivalence for 1-butene (10</t>
    </r>
    <r>
      <rPr>
        <b/>
        <vertAlign val="superscript"/>
        <sz val="6"/>
        <rFont val="Arial"/>
        <family val="2"/>
      </rPr>
      <t xml:space="preserve">-2 </t>
    </r>
    <r>
      <rPr>
        <b/>
        <sz val="9"/>
        <rFont val="Arial"/>
        <family val="2"/>
      </rPr>
      <t>mol mol</t>
    </r>
    <r>
      <rPr>
        <b/>
        <vertAlign val="superscript"/>
        <sz val="6"/>
        <rFont val="Arial"/>
        <family val="2"/>
      </rPr>
      <t>-1</t>
    </r>
    <r>
      <rPr>
        <b/>
        <sz val="9"/>
        <rFont val="Arial"/>
        <family val="2"/>
      </rPr>
      <t>)</t>
    </r>
  </si>
  <si>
    <r>
      <rPr>
        <b/>
        <sz val="9"/>
        <rFont val="Arial"/>
        <family val="2"/>
      </rPr>
      <t>Table 12: Results and degrees–of–equivalence for iso-butene (10</t>
    </r>
    <r>
      <rPr>
        <b/>
        <vertAlign val="superscript"/>
        <sz val="6"/>
        <rFont val="Arial"/>
        <family val="2"/>
      </rPr>
      <t xml:space="preserve">-2 </t>
    </r>
    <r>
      <rPr>
        <b/>
        <sz val="9"/>
        <rFont val="Arial"/>
        <family val="2"/>
      </rPr>
      <t>mol mol</t>
    </r>
    <r>
      <rPr>
        <b/>
        <vertAlign val="superscript"/>
        <sz val="6"/>
        <rFont val="Arial"/>
        <family val="2"/>
      </rPr>
      <t>-1</t>
    </r>
    <r>
      <rPr>
        <b/>
        <sz val="9"/>
        <rFont val="Arial"/>
        <family val="2"/>
      </rPr>
      <t>)</t>
    </r>
  </si>
  <si>
    <r>
      <rPr>
        <b/>
        <sz val="9"/>
        <rFont val="Arial"/>
        <family val="2"/>
      </rPr>
      <t>Table 13: Results and degrees–of–equivalence for hydrogen (10</t>
    </r>
    <r>
      <rPr>
        <b/>
        <vertAlign val="superscript"/>
        <sz val="6"/>
        <rFont val="Arial"/>
        <family val="2"/>
      </rPr>
      <t xml:space="preserve">-2  </t>
    </r>
    <r>
      <rPr>
        <b/>
        <sz val="9"/>
        <rFont val="Arial"/>
        <family val="2"/>
      </rPr>
      <t>mol mol</t>
    </r>
    <r>
      <rPr>
        <b/>
        <vertAlign val="superscript"/>
        <sz val="6"/>
        <rFont val="Arial"/>
        <family val="2"/>
      </rPr>
      <t>-1</t>
    </r>
    <r>
      <rPr>
        <b/>
        <sz val="9"/>
        <rFont val="Arial"/>
        <family val="2"/>
      </rPr>
      <t>)</t>
    </r>
  </si>
  <si>
    <r>
      <rPr>
        <b/>
        <sz val="9"/>
        <rFont val="Arial"/>
        <family val="2"/>
      </rPr>
      <t>Table 14: Results and degrees–of–equivalence for nitrogen (10</t>
    </r>
    <r>
      <rPr>
        <b/>
        <vertAlign val="superscript"/>
        <sz val="6"/>
        <rFont val="Arial"/>
        <family val="2"/>
      </rPr>
      <t xml:space="preserve">-2  </t>
    </r>
    <r>
      <rPr>
        <b/>
        <sz val="9"/>
        <rFont val="Arial"/>
        <family val="2"/>
      </rPr>
      <t>mol mol</t>
    </r>
    <r>
      <rPr>
        <b/>
        <vertAlign val="superscript"/>
        <sz val="6"/>
        <rFont val="Arial"/>
        <family val="2"/>
      </rPr>
      <t>-1</t>
    </r>
    <r>
      <rPr>
        <b/>
        <sz val="9"/>
        <rFont val="Arial"/>
        <family val="2"/>
      </rPr>
      <t>)</t>
    </r>
  </si>
  <si>
    <r>
      <rPr>
        <b/>
        <sz val="9"/>
        <rFont val="Arial"/>
        <family val="2"/>
      </rPr>
      <t>Table 15: Results and degrees–of–equivalence for helium (10</t>
    </r>
    <r>
      <rPr>
        <b/>
        <vertAlign val="superscript"/>
        <sz val="6"/>
        <rFont val="Arial"/>
        <family val="2"/>
      </rPr>
      <t xml:space="preserve">-2  </t>
    </r>
    <r>
      <rPr>
        <b/>
        <sz val="9"/>
        <rFont val="Arial"/>
        <family val="2"/>
      </rPr>
      <t>mol mol</t>
    </r>
    <r>
      <rPr>
        <b/>
        <vertAlign val="superscript"/>
        <sz val="6"/>
        <rFont val="Arial"/>
        <family val="2"/>
      </rPr>
      <t>-1</t>
    </r>
    <r>
      <rPr>
        <b/>
        <sz val="9"/>
        <rFont val="Arial"/>
        <family val="2"/>
      </rPr>
      <t>)</t>
    </r>
  </si>
  <si>
    <t>CCQM-K82</t>
  </si>
  <si>
    <t>CH4 in air at 1.8 &amp; 2.2 µmol/mol/mol</t>
    <phoneticPr fontId="4"/>
  </si>
  <si>
    <r>
      <rPr>
        <sz val="11"/>
        <rFont val="Times New Roman"/>
        <family val="1"/>
      </rPr>
      <t>The results of this key comparison can be used to support:</t>
    </r>
  </si>
  <si>
    <r>
      <rPr>
        <sz val="11"/>
        <rFont val="Times New Roman"/>
        <family val="1"/>
      </rPr>
      <t>1)   Claimed  capabilities  CH</t>
    </r>
    <r>
      <rPr>
        <vertAlign val="subscript"/>
        <sz val="8"/>
        <rFont val="Times New Roman"/>
        <family val="1"/>
      </rPr>
      <t xml:space="preserve">4  </t>
    </r>
    <r>
      <rPr>
        <sz val="11"/>
        <rFont val="Times New Roman"/>
        <family val="1"/>
      </rPr>
      <t>in  synthetic  air,  scrubbed  air,  or  in  nitrogen  in  the  range 1700 nmol/mol to 2500 nmol/mol;</t>
    </r>
  </si>
  <si>
    <r>
      <rPr>
        <sz val="11"/>
        <rFont val="Times New Roman"/>
        <family val="1"/>
      </rPr>
      <t>2)   Claimed  capabilities  for  CH</t>
    </r>
    <r>
      <rPr>
        <vertAlign val="subscript"/>
        <sz val="8"/>
        <rFont val="Times New Roman"/>
        <family val="1"/>
      </rPr>
      <t xml:space="preserve">4  </t>
    </r>
    <r>
      <rPr>
        <sz val="11"/>
        <rFont val="Times New Roman"/>
        <family val="1"/>
      </rPr>
      <t>in  nitrogen  or  in  air  in  the  range  2.5  µmol/mol  to  25 mmol/mol, where an NMI’s smallest claimed relative standard uncertainty is equal or greater to the relative standard uncertainty it reported in CCQM-K82 for results that</t>
    </r>
  </si>
  <si>
    <r>
      <rPr>
        <sz val="11"/>
        <rFont val="Times New Roman"/>
        <family val="1"/>
      </rPr>
      <t>agree with the KCRV;</t>
    </r>
  </si>
  <si>
    <r>
      <rPr>
        <sz val="11"/>
        <rFont val="Times New Roman"/>
        <family val="1"/>
      </rPr>
      <t>3)   Claims  of  purity  measurements  in  nitrogen,  oxygen  and  argon  matrix  gases  for  the quantification of methane amount of substance fractions above 1 nmol/mol where the</t>
    </r>
  </si>
  <si>
    <r>
      <rPr>
        <sz val="11"/>
        <rFont val="Times New Roman"/>
        <family val="1"/>
      </rPr>
      <t xml:space="preserve">standard uncertainty is equal or greater to </t>
    </r>
    <r>
      <rPr>
        <i/>
        <sz val="11"/>
        <rFont val="Times New Roman"/>
        <family val="1"/>
      </rPr>
      <t>u</t>
    </r>
    <r>
      <rPr>
        <sz val="11"/>
        <rFont val="Times New Roman"/>
        <family val="1"/>
      </rPr>
      <t>(KCRV).</t>
    </r>
  </si>
  <si>
    <r>
      <rPr>
        <sz val="10"/>
        <rFont val="Times New Roman"/>
        <family val="1"/>
      </rPr>
      <t>Final Report - International comparison CCQM-K82: Methane in Air at Ambient level (1800-2200) nmol mol</t>
    </r>
    <r>
      <rPr>
        <vertAlign val="superscript"/>
        <sz val="6"/>
        <rFont val="Times New Roman"/>
        <family val="1"/>
      </rPr>
      <t>-1</t>
    </r>
  </si>
  <si>
    <r>
      <rPr>
        <sz val="11"/>
        <rFont val="Times New Roman"/>
        <family val="1"/>
      </rPr>
      <t>Participant</t>
    </r>
  </si>
  <si>
    <r>
      <rPr>
        <sz val="11"/>
        <rFont val="Times New Roman"/>
        <family val="1"/>
      </rPr>
      <t>Cylinder</t>
    </r>
  </si>
  <si>
    <r>
      <rPr>
        <i/>
        <vertAlign val="superscript"/>
        <sz val="11"/>
        <rFont val="Times New Roman"/>
        <family val="1"/>
      </rPr>
      <t>x</t>
    </r>
    <r>
      <rPr>
        <sz val="7"/>
        <rFont val="Times New Roman"/>
        <family val="1"/>
      </rPr>
      <t xml:space="preserve">KCRV
</t>
    </r>
    <r>
      <rPr>
        <sz val="11"/>
        <rFont val="Times New Roman"/>
        <family val="1"/>
      </rPr>
      <t>(nmol/mol)</t>
    </r>
  </si>
  <si>
    <r>
      <rPr>
        <i/>
        <vertAlign val="superscript"/>
        <sz val="11"/>
        <rFont val="Times New Roman"/>
        <family val="1"/>
      </rPr>
      <t>u</t>
    </r>
    <r>
      <rPr>
        <vertAlign val="superscript"/>
        <sz val="11"/>
        <rFont val="Times New Roman"/>
        <family val="1"/>
      </rPr>
      <t>(</t>
    </r>
    <r>
      <rPr>
        <i/>
        <vertAlign val="superscript"/>
        <sz val="11"/>
        <rFont val="Times New Roman"/>
        <family val="1"/>
      </rPr>
      <t>x</t>
    </r>
    <r>
      <rPr>
        <sz val="7"/>
        <rFont val="Times New Roman"/>
        <family val="1"/>
      </rPr>
      <t>KCRV</t>
    </r>
    <r>
      <rPr>
        <vertAlign val="superscript"/>
        <sz val="11"/>
        <rFont val="Times New Roman"/>
        <family val="1"/>
      </rPr>
      <t xml:space="preserve">)
</t>
    </r>
    <r>
      <rPr>
        <sz val="11"/>
        <rFont val="Times New Roman"/>
        <family val="1"/>
      </rPr>
      <t>(nmol/mol)</t>
    </r>
  </si>
  <si>
    <r>
      <rPr>
        <i/>
        <vertAlign val="superscript"/>
        <sz val="11"/>
        <rFont val="Times New Roman"/>
        <family val="1"/>
      </rPr>
      <t>x</t>
    </r>
    <r>
      <rPr>
        <sz val="7"/>
        <rFont val="Times New Roman"/>
        <family val="1"/>
      </rPr>
      <t xml:space="preserve">NMI
</t>
    </r>
    <r>
      <rPr>
        <sz val="11"/>
        <rFont val="Times New Roman"/>
        <family val="1"/>
      </rPr>
      <t>(nmol/mol)</t>
    </r>
  </si>
  <si>
    <r>
      <rPr>
        <i/>
        <sz val="11"/>
        <rFont val="Times New Roman"/>
        <family val="1"/>
      </rPr>
      <t>u</t>
    </r>
    <r>
      <rPr>
        <sz val="11"/>
        <rFont val="Times New Roman"/>
        <family val="1"/>
      </rPr>
      <t>(</t>
    </r>
    <r>
      <rPr>
        <i/>
        <sz val="11"/>
        <rFont val="Times New Roman"/>
        <family val="1"/>
      </rPr>
      <t>x</t>
    </r>
    <r>
      <rPr>
        <vertAlign val="subscript"/>
        <sz val="7"/>
        <rFont val="Times New Roman"/>
        <family val="1"/>
      </rPr>
      <t>NMI</t>
    </r>
    <r>
      <rPr>
        <sz val="11"/>
        <rFont val="Times New Roman"/>
        <family val="1"/>
      </rPr>
      <t xml:space="preserve">)
</t>
    </r>
    <r>
      <rPr>
        <sz val="11"/>
        <rFont val="Times New Roman"/>
        <family val="1"/>
      </rPr>
      <t>(nmol/mol)</t>
    </r>
  </si>
  <si>
    <r>
      <rPr>
        <i/>
        <vertAlign val="superscript"/>
        <sz val="11"/>
        <rFont val="Times New Roman"/>
        <family val="1"/>
      </rPr>
      <t>D</t>
    </r>
    <r>
      <rPr>
        <vertAlign val="superscript"/>
        <sz val="11"/>
        <rFont val="Times New Roman"/>
        <family val="1"/>
      </rPr>
      <t xml:space="preserve">( </t>
    </r>
    <r>
      <rPr>
        <i/>
        <vertAlign val="superscript"/>
        <sz val="11"/>
        <rFont val="Times New Roman"/>
        <family val="1"/>
      </rPr>
      <t>x</t>
    </r>
    <r>
      <rPr>
        <sz val="7"/>
        <rFont val="Times New Roman"/>
        <family val="1"/>
      </rPr>
      <t xml:space="preserve">NMI-  </t>
    </r>
    <r>
      <rPr>
        <i/>
        <vertAlign val="superscript"/>
        <sz val="11"/>
        <rFont val="Times New Roman"/>
        <family val="1"/>
      </rPr>
      <t>x</t>
    </r>
    <r>
      <rPr>
        <sz val="7"/>
        <rFont val="Times New Roman"/>
        <family val="1"/>
      </rPr>
      <t xml:space="preserve">KCRV </t>
    </r>
    <r>
      <rPr>
        <vertAlign val="superscript"/>
        <sz val="11"/>
        <rFont val="Times New Roman"/>
        <family val="1"/>
      </rPr>
      <t xml:space="preserve">)
</t>
    </r>
    <r>
      <rPr>
        <sz val="11"/>
        <rFont val="Times New Roman"/>
        <family val="1"/>
      </rPr>
      <t>(nmol/mol)</t>
    </r>
  </si>
  <si>
    <r>
      <rPr>
        <i/>
        <sz val="11"/>
        <rFont val="Times New Roman"/>
        <family val="1"/>
      </rPr>
      <t>u</t>
    </r>
    <r>
      <rPr>
        <sz val="11"/>
        <rFont val="Times New Roman"/>
        <family val="1"/>
      </rPr>
      <t>(</t>
    </r>
    <r>
      <rPr>
        <i/>
        <sz val="11"/>
        <rFont val="Times New Roman"/>
        <family val="1"/>
      </rPr>
      <t>D</t>
    </r>
    <r>
      <rPr>
        <sz val="11"/>
        <rFont val="Times New Roman"/>
        <family val="1"/>
      </rPr>
      <t xml:space="preserve">)
</t>
    </r>
    <r>
      <rPr>
        <sz val="11"/>
        <rFont val="Times New Roman"/>
        <family val="1"/>
      </rPr>
      <t>(nmol/mol)</t>
    </r>
  </si>
  <si>
    <r>
      <rPr>
        <i/>
        <sz val="11"/>
        <rFont val="Times New Roman"/>
        <family val="1"/>
      </rPr>
      <t>U</t>
    </r>
    <r>
      <rPr>
        <sz val="11"/>
        <rFont val="Times New Roman"/>
        <family val="1"/>
      </rPr>
      <t>(</t>
    </r>
    <r>
      <rPr>
        <i/>
        <sz val="11"/>
        <rFont val="Times New Roman"/>
        <family val="1"/>
      </rPr>
      <t>D</t>
    </r>
    <r>
      <rPr>
        <sz val="11"/>
        <rFont val="Times New Roman"/>
        <family val="1"/>
      </rPr>
      <t xml:space="preserve">)
</t>
    </r>
    <r>
      <rPr>
        <i/>
        <sz val="11"/>
        <rFont val="Arial"/>
        <family val="2"/>
      </rPr>
      <t xml:space="preserve">(k=2)
</t>
    </r>
    <r>
      <rPr>
        <sz val="11"/>
        <rFont val="Times New Roman"/>
        <family val="1"/>
      </rPr>
      <t>(nmol/mol)</t>
    </r>
  </si>
  <si>
    <r>
      <rPr>
        <sz val="11"/>
        <rFont val="Times New Roman"/>
        <family val="1"/>
      </rPr>
      <t>D 929248</t>
    </r>
  </si>
  <si>
    <r>
      <rPr>
        <sz val="11"/>
        <rFont val="Times New Roman"/>
        <family val="1"/>
      </rPr>
      <t>D 985705</t>
    </r>
  </si>
  <si>
    <r>
      <rPr>
        <sz val="11"/>
        <rFont val="Times New Roman"/>
        <family val="1"/>
      </rPr>
      <t>CAL017763</t>
    </r>
  </si>
  <si>
    <r>
      <rPr>
        <sz val="11"/>
        <rFont val="Times New Roman"/>
        <family val="1"/>
      </rPr>
      <t>CAL017790</t>
    </r>
  </si>
  <si>
    <r>
      <rPr>
        <sz val="11"/>
        <rFont val="Times New Roman"/>
        <family val="1"/>
      </rPr>
      <t>FB03569</t>
    </r>
  </si>
  <si>
    <r>
      <rPr>
        <sz val="11"/>
        <rFont val="Times New Roman"/>
        <family val="1"/>
      </rPr>
      <t>FB03587</t>
    </r>
  </si>
  <si>
    <r>
      <rPr>
        <sz val="11"/>
        <rFont val="Times New Roman"/>
        <family val="1"/>
      </rPr>
      <t>CPB-28035</t>
    </r>
  </si>
  <si>
    <r>
      <rPr>
        <sz val="11"/>
        <rFont val="Times New Roman"/>
        <family val="1"/>
      </rPr>
      <t>CPB-28219</t>
    </r>
  </si>
  <si>
    <r>
      <rPr>
        <sz val="11"/>
        <rFont val="Times New Roman"/>
        <family val="1"/>
      </rPr>
      <t>NOAA</t>
    </r>
  </si>
  <si>
    <r>
      <rPr>
        <sz val="11"/>
        <rFont val="Times New Roman"/>
        <family val="1"/>
      </rPr>
      <t>FB03578</t>
    </r>
  </si>
  <si>
    <r>
      <rPr>
        <sz val="11"/>
        <rFont val="Times New Roman"/>
        <family val="1"/>
      </rPr>
      <t>FB03593</t>
    </r>
  </si>
  <si>
    <r>
      <rPr>
        <sz val="11"/>
        <rFont val="Times New Roman"/>
        <family val="1"/>
      </rPr>
      <t>D 249682</t>
    </r>
  </si>
  <si>
    <r>
      <rPr>
        <sz val="11"/>
        <rFont val="Times New Roman"/>
        <family val="1"/>
      </rPr>
      <t>D 249845</t>
    </r>
  </si>
  <si>
    <r>
      <rPr>
        <sz val="11"/>
        <rFont val="Times New Roman"/>
        <family val="1"/>
      </rPr>
      <t>D 249292</t>
    </r>
  </si>
  <si>
    <r>
      <rPr>
        <sz val="11"/>
        <rFont val="Times New Roman"/>
        <family val="1"/>
      </rPr>
      <t>D 249289</t>
    </r>
  </si>
  <si>
    <t>CCQM-K84</t>
  </si>
  <si>
    <t>CO in Air at 350 nmol/mol</t>
    <phoneticPr fontId="4"/>
  </si>
  <si>
    <t>This  key  comparison  supports  the  measurement  capability  of  CO  at  350  nmol/mol.  The</t>
    <phoneticPr fontId="8"/>
  </si>
  <si>
    <t>results of the comparison identify measurement equivalence between NMIs and WMO. This</t>
    <phoneticPr fontId="8"/>
  </si>
  <si>
    <r>
      <rPr>
        <sz val="12"/>
        <rFont val="Times New Roman"/>
        <family val="1"/>
      </rPr>
      <t xml:space="preserve">key comparison supports the measurement capability of </t>
    </r>
    <r>
      <rPr>
        <u/>
        <sz val="12"/>
        <rFont val="Times New Roman"/>
        <family val="1"/>
      </rPr>
      <t>CO in the range of 50 nmol/mol to</t>
    </r>
    <phoneticPr fontId="8"/>
  </si>
  <si>
    <t>1000 nmol/mol.</t>
    <phoneticPr fontId="8"/>
  </si>
  <si>
    <r>
      <rPr>
        <sz val="10"/>
        <rFont val="Times New Roman"/>
        <family val="1"/>
      </rPr>
      <t>Laboratory</t>
    </r>
  </si>
  <si>
    <r>
      <rPr>
        <sz val="10"/>
        <rFont val="Times New Roman"/>
        <family val="1"/>
      </rPr>
      <t>Cylinder</t>
    </r>
  </si>
  <si>
    <r>
      <rPr>
        <i/>
        <vertAlign val="superscript"/>
        <sz val="10"/>
        <rFont val="Times New Roman"/>
        <family val="1"/>
      </rPr>
      <t>x</t>
    </r>
    <r>
      <rPr>
        <sz val="7"/>
        <rFont val="Times New Roman"/>
        <family val="1"/>
      </rPr>
      <t xml:space="preserve">prep
</t>
    </r>
    <r>
      <rPr>
        <sz val="10"/>
        <rFont val="Times New Roman"/>
        <family val="1"/>
      </rPr>
      <t>[nmol/mol]</t>
    </r>
  </si>
  <si>
    <r>
      <rPr>
        <i/>
        <vertAlign val="superscript"/>
        <sz val="10"/>
        <rFont val="Times New Roman"/>
        <family val="1"/>
      </rPr>
      <t>u</t>
    </r>
    <r>
      <rPr>
        <sz val="7"/>
        <rFont val="Times New Roman"/>
        <family val="1"/>
      </rPr>
      <t>prep_to</t>
    </r>
    <r>
      <rPr>
        <i/>
        <sz val="7"/>
        <rFont val="Times New Roman"/>
        <family val="1"/>
      </rPr>
      <t xml:space="preserve">t
</t>
    </r>
    <r>
      <rPr>
        <sz val="10"/>
        <rFont val="Times New Roman"/>
        <family val="1"/>
      </rPr>
      <t>[nmol/mol]</t>
    </r>
  </si>
  <si>
    <r>
      <rPr>
        <i/>
        <vertAlign val="superscript"/>
        <sz val="10"/>
        <rFont val="Times New Roman"/>
        <family val="1"/>
      </rPr>
      <t>x</t>
    </r>
    <r>
      <rPr>
        <sz val="7"/>
        <rFont val="Times New Roman"/>
        <family val="1"/>
      </rPr>
      <t xml:space="preserve">lab
</t>
    </r>
    <r>
      <rPr>
        <sz val="10"/>
        <rFont val="Times New Roman"/>
        <family val="1"/>
      </rPr>
      <t>[nmol/mol]</t>
    </r>
  </si>
  <si>
    <r>
      <rPr>
        <i/>
        <vertAlign val="superscript"/>
        <sz val="10"/>
        <rFont val="Times New Roman"/>
        <family val="1"/>
      </rPr>
      <t>U</t>
    </r>
    <r>
      <rPr>
        <sz val="7"/>
        <rFont val="Times New Roman"/>
        <family val="1"/>
      </rPr>
      <t xml:space="preserve">lab
</t>
    </r>
    <r>
      <rPr>
        <sz val="10"/>
        <rFont val="Times New Roman"/>
        <family val="1"/>
      </rPr>
      <t>[nmol/mol]</t>
    </r>
  </si>
  <si>
    <r>
      <rPr>
        <sz val="10"/>
        <rFont val="Times New Roman"/>
        <family val="1"/>
      </rPr>
      <t>Δ</t>
    </r>
    <r>
      <rPr>
        <i/>
        <sz val="10"/>
        <rFont val="Times New Roman"/>
        <family val="1"/>
      </rPr>
      <t xml:space="preserve">x </t>
    </r>
    <r>
      <rPr>
        <i/>
        <vertAlign val="superscript"/>
        <sz val="10"/>
        <rFont val="Times New Roman"/>
        <family val="1"/>
      </rPr>
      <t>x</t>
    </r>
    <r>
      <rPr>
        <sz val="7"/>
        <rFont val="Times New Roman"/>
        <family val="1"/>
      </rPr>
      <t xml:space="preserve">lab  </t>
    </r>
    <r>
      <rPr>
        <i/>
        <vertAlign val="superscript"/>
        <sz val="10"/>
        <rFont val="Times New Roman"/>
        <family val="1"/>
      </rPr>
      <t>–x</t>
    </r>
    <r>
      <rPr>
        <sz val="7"/>
        <rFont val="Times New Roman"/>
        <family val="1"/>
      </rPr>
      <t xml:space="preserve">prep
</t>
    </r>
    <r>
      <rPr>
        <sz val="10"/>
        <rFont val="Times New Roman"/>
        <family val="1"/>
      </rPr>
      <t>[nmol/mol]</t>
    </r>
  </si>
  <si>
    <r>
      <rPr>
        <i/>
        <sz val="10"/>
        <rFont val="Times New Roman"/>
        <family val="1"/>
      </rPr>
      <t>u</t>
    </r>
    <r>
      <rPr>
        <sz val="10"/>
        <rFont val="Times New Roman"/>
        <family val="1"/>
      </rPr>
      <t>(Δ</t>
    </r>
    <r>
      <rPr>
        <i/>
        <sz val="10"/>
        <rFont val="Times New Roman"/>
        <family val="1"/>
      </rPr>
      <t xml:space="preserve">x) </t>
    </r>
    <r>
      <rPr>
        <i/>
        <vertAlign val="superscript"/>
        <sz val="10"/>
        <rFont val="Times New Roman"/>
        <family val="1"/>
      </rPr>
      <t>u</t>
    </r>
    <r>
      <rPr>
        <vertAlign val="superscript"/>
        <sz val="10"/>
        <rFont val="Times New Roman"/>
        <family val="1"/>
      </rPr>
      <t>(</t>
    </r>
    <r>
      <rPr>
        <i/>
        <vertAlign val="superscript"/>
        <sz val="10"/>
        <rFont val="Times New Roman"/>
        <family val="1"/>
      </rPr>
      <t>x</t>
    </r>
    <r>
      <rPr>
        <sz val="7"/>
        <rFont val="Times New Roman"/>
        <family val="1"/>
      </rPr>
      <t xml:space="preserve">lab  </t>
    </r>
    <r>
      <rPr>
        <i/>
        <vertAlign val="superscript"/>
        <sz val="10"/>
        <rFont val="Times New Roman"/>
        <family val="1"/>
      </rPr>
      <t>-x</t>
    </r>
    <r>
      <rPr>
        <sz val="7"/>
        <rFont val="Times New Roman"/>
        <family val="1"/>
      </rPr>
      <t>prep</t>
    </r>
    <r>
      <rPr>
        <vertAlign val="superscript"/>
        <sz val="10"/>
        <rFont val="Times New Roman"/>
        <family val="1"/>
      </rPr>
      <t xml:space="preserve">) </t>
    </r>
    <r>
      <rPr>
        <sz val="10"/>
        <rFont val="Times New Roman"/>
        <family val="1"/>
      </rPr>
      <t>[nmol/mol]</t>
    </r>
  </si>
  <si>
    <r>
      <rPr>
        <sz val="10"/>
        <rFont val="Times New Roman"/>
        <family val="1"/>
      </rPr>
      <t>D015224</t>
    </r>
  </si>
  <si>
    <r>
      <rPr>
        <sz val="10"/>
        <rFont val="Times New Roman"/>
        <family val="1"/>
      </rPr>
      <t>D015230</t>
    </r>
  </si>
  <si>
    <r>
      <rPr>
        <sz val="10"/>
        <rFont val="Times New Roman"/>
        <family val="1"/>
      </rPr>
      <t>NOAA</t>
    </r>
  </si>
  <si>
    <r>
      <rPr>
        <sz val="10"/>
        <rFont val="Times New Roman"/>
        <family val="1"/>
      </rPr>
      <t>D015283</t>
    </r>
  </si>
  <si>
    <r>
      <rPr>
        <sz val="10"/>
        <rFont val="Times New Roman"/>
        <family val="1"/>
      </rPr>
      <t>FMI</t>
    </r>
  </si>
  <si>
    <r>
      <rPr>
        <sz val="10"/>
        <rFont val="Times New Roman"/>
        <family val="1"/>
      </rPr>
      <t>D015285</t>
    </r>
  </si>
  <si>
    <r>
      <rPr>
        <sz val="10"/>
        <rFont val="Times New Roman"/>
        <family val="1"/>
      </rPr>
      <t>D015215</t>
    </r>
  </si>
  <si>
    <r>
      <rPr>
        <sz val="10"/>
        <rFont val="Times New Roman"/>
        <family val="1"/>
      </rPr>
      <t>JRC</t>
    </r>
  </si>
  <si>
    <r>
      <rPr>
        <sz val="10"/>
        <rFont val="Times New Roman"/>
        <family val="1"/>
      </rPr>
      <t>D015217</t>
    </r>
  </si>
  <si>
    <r>
      <rPr>
        <sz val="10"/>
        <rFont val="Times New Roman"/>
        <family val="1"/>
      </rPr>
      <t>D015275</t>
    </r>
  </si>
  <si>
    <r>
      <rPr>
        <sz val="10"/>
        <rFont val="Times New Roman"/>
        <family val="1"/>
      </rPr>
      <t>D015286</t>
    </r>
  </si>
  <si>
    <r>
      <rPr>
        <sz val="10"/>
        <rFont val="Times New Roman"/>
        <family val="1"/>
      </rPr>
      <t>D015220</t>
    </r>
  </si>
  <si>
    <r>
      <rPr>
        <sz val="10"/>
        <rFont val="Times New Roman"/>
        <family val="1"/>
      </rPr>
      <t>D015223</t>
    </r>
  </si>
  <si>
    <r>
      <rPr>
        <i/>
        <sz val="12"/>
        <rFont val="Times New Roman"/>
        <family val="1"/>
      </rPr>
      <t>d</t>
    </r>
    <r>
      <rPr>
        <vertAlign val="subscript"/>
        <sz val="8"/>
        <rFont val="Times New Roman"/>
        <family val="1"/>
      </rPr>
      <t xml:space="preserve">i
</t>
    </r>
    <r>
      <rPr>
        <sz val="10"/>
        <rFont val="Times New Roman"/>
        <family val="1"/>
      </rPr>
      <t>[nmol/mol]</t>
    </r>
  </si>
  <si>
    <r>
      <rPr>
        <i/>
        <sz val="12"/>
        <rFont val="Times New Roman"/>
        <family val="1"/>
      </rPr>
      <t>U</t>
    </r>
    <r>
      <rPr>
        <sz val="12"/>
        <rFont val="Times New Roman"/>
        <family val="1"/>
      </rPr>
      <t>(</t>
    </r>
    <r>
      <rPr>
        <i/>
        <sz val="12"/>
        <rFont val="Times New Roman"/>
        <family val="1"/>
      </rPr>
      <t>d</t>
    </r>
    <r>
      <rPr>
        <vertAlign val="subscript"/>
        <sz val="8"/>
        <rFont val="Times New Roman"/>
        <family val="1"/>
      </rPr>
      <t>i</t>
    </r>
    <r>
      <rPr>
        <sz val="12"/>
        <rFont val="Times New Roman"/>
        <family val="1"/>
      </rPr>
      <t xml:space="preserve">)
</t>
    </r>
    <r>
      <rPr>
        <sz val="10"/>
        <rFont val="Times New Roman"/>
        <family val="1"/>
      </rPr>
      <t>[nmol/mol]</t>
    </r>
  </si>
  <si>
    <t>CCQM-K93</t>
  </si>
  <si>
    <r>
      <rPr>
        <sz val="11"/>
        <rFont val="Calibri"/>
        <family val="2"/>
      </rPr>
      <t>During its 28</t>
    </r>
    <r>
      <rPr>
        <vertAlign val="superscript"/>
        <sz val="7"/>
        <rFont val="Calibri"/>
        <family val="2"/>
      </rPr>
      <t xml:space="preserve">th </t>
    </r>
    <r>
      <rPr>
        <sz val="11"/>
        <rFont val="Calibri"/>
        <family val="2"/>
      </rPr>
      <t>meeting in October 2012, the CCQM GAWG agreed that this key comparison can be</t>
    </r>
  </si>
  <si>
    <r>
      <rPr>
        <sz val="11"/>
        <rFont val="Calibri"/>
        <family val="2"/>
      </rPr>
      <t xml:space="preserve">used to support CMC claims for </t>
    </r>
    <r>
      <rPr>
        <sz val="11"/>
        <color rgb="FFFF0000"/>
        <rFont val="Calibri"/>
        <family val="2"/>
      </rPr>
      <t xml:space="preserve">ethanol over </t>
    </r>
    <r>
      <rPr>
        <u/>
        <sz val="11"/>
        <color rgb="FFFF0000"/>
        <rFont val="Calibri"/>
        <family val="2"/>
      </rPr>
      <t>an amount fraction range of 50 – 500 μmol/mol in a</t>
    </r>
    <r>
      <rPr>
        <sz val="11"/>
        <color rgb="FFFF0000"/>
        <rFont val="Calibri"/>
        <family val="2"/>
      </rPr>
      <t xml:space="preserve"> </t>
    </r>
    <r>
      <rPr>
        <u/>
        <sz val="11"/>
        <color rgb="FFFF0000"/>
        <rFont val="Calibri"/>
        <family val="2"/>
      </rPr>
      <t>matrix of either nitrogen or synthetic air.</t>
    </r>
    <phoneticPr fontId="4"/>
  </si>
  <si>
    <t>Ethanol in N2 at 120 umol/mol</t>
    <phoneticPr fontId="4"/>
  </si>
  <si>
    <r>
      <rPr>
        <b/>
        <sz val="10"/>
        <rFont val="Calibri"/>
        <family val="2"/>
      </rPr>
      <t>Participant</t>
    </r>
  </si>
  <si>
    <r>
      <rPr>
        <b/>
        <i/>
        <vertAlign val="subscript"/>
        <sz val="10"/>
        <rFont val="Calibri"/>
        <family val="2"/>
      </rPr>
      <t>x</t>
    </r>
    <r>
      <rPr>
        <b/>
        <vertAlign val="subscript"/>
        <sz val="7"/>
        <rFont val="Calibri"/>
        <family val="2"/>
      </rPr>
      <t>i</t>
    </r>
    <r>
      <rPr>
        <b/>
        <sz val="7"/>
        <rFont val="Calibri"/>
        <family val="2"/>
      </rPr>
      <t xml:space="preserve">NMI
</t>
    </r>
    <r>
      <rPr>
        <b/>
        <sz val="10"/>
        <rFont val="Calibri"/>
        <family val="2"/>
      </rPr>
      <t>(µmol/mol)</t>
    </r>
  </si>
  <si>
    <r>
      <rPr>
        <b/>
        <i/>
        <sz val="10"/>
        <rFont val="Calibri"/>
        <family val="2"/>
      </rPr>
      <t>u</t>
    </r>
    <r>
      <rPr>
        <b/>
        <sz val="10"/>
        <rFont val="Calibri"/>
        <family val="2"/>
      </rPr>
      <t>(</t>
    </r>
    <r>
      <rPr>
        <b/>
        <i/>
        <sz val="10"/>
        <rFont val="Calibri"/>
        <family val="2"/>
      </rPr>
      <t>x</t>
    </r>
    <r>
      <rPr>
        <b/>
        <vertAlign val="subscript"/>
        <sz val="7"/>
        <rFont val="Calibri"/>
        <family val="2"/>
      </rPr>
      <t>i</t>
    </r>
    <r>
      <rPr>
        <b/>
        <vertAlign val="superscript"/>
        <sz val="7"/>
        <rFont val="Calibri"/>
        <family val="2"/>
      </rPr>
      <t>NMI</t>
    </r>
    <r>
      <rPr>
        <b/>
        <sz val="10"/>
        <rFont val="Calibri"/>
        <family val="2"/>
      </rPr>
      <t>) (μmol/mol)</t>
    </r>
  </si>
  <si>
    <r>
      <rPr>
        <b/>
        <i/>
        <sz val="10"/>
        <rFont val="Calibri"/>
        <family val="2"/>
      </rPr>
      <t>r</t>
    </r>
    <r>
      <rPr>
        <b/>
        <vertAlign val="subscript"/>
        <sz val="7"/>
        <rFont val="Calibri"/>
        <family val="2"/>
      </rPr>
      <t>i</t>
    </r>
  </si>
  <si>
    <r>
      <rPr>
        <b/>
        <sz val="10"/>
        <rFont val="Calibri"/>
        <family val="2"/>
      </rPr>
      <t>Inferred value for WRS (µmol/mol)</t>
    </r>
  </si>
  <si>
    <r>
      <rPr>
        <b/>
        <i/>
        <sz val="10"/>
        <rFont val="Calibri"/>
        <family val="2"/>
      </rPr>
      <t>DoE</t>
    </r>
    <r>
      <rPr>
        <b/>
        <vertAlign val="subscript"/>
        <sz val="7"/>
        <rFont val="Calibri"/>
        <family val="2"/>
      </rPr>
      <t xml:space="preserve">i
</t>
    </r>
    <r>
      <rPr>
        <b/>
        <sz val="10"/>
        <rFont val="Calibri"/>
        <family val="2"/>
      </rPr>
      <t>(µmol/mol)</t>
    </r>
  </si>
  <si>
    <r>
      <rPr>
        <b/>
        <i/>
        <sz val="10"/>
        <rFont val="Calibri"/>
        <family val="2"/>
      </rPr>
      <t>u</t>
    </r>
    <r>
      <rPr>
        <b/>
        <sz val="10"/>
        <rFont val="Calibri"/>
        <family val="2"/>
      </rPr>
      <t>(</t>
    </r>
    <r>
      <rPr>
        <b/>
        <i/>
        <sz val="10"/>
        <rFont val="Calibri"/>
        <family val="2"/>
      </rPr>
      <t>DoE</t>
    </r>
    <r>
      <rPr>
        <b/>
        <vertAlign val="subscript"/>
        <sz val="7"/>
        <rFont val="Calibri"/>
        <family val="2"/>
      </rPr>
      <t>i</t>
    </r>
    <r>
      <rPr>
        <b/>
        <sz val="10"/>
        <rFont val="Calibri"/>
        <family val="2"/>
      </rPr>
      <t>) (µmol/mol)</t>
    </r>
  </si>
  <si>
    <r>
      <rPr>
        <sz val="10"/>
        <rFont val="Calibri"/>
        <family val="2"/>
      </rPr>
      <t>IPQ</t>
    </r>
  </si>
  <si>
    <r>
      <rPr>
        <sz val="10"/>
        <rFont val="Calibri"/>
        <family val="2"/>
      </rPr>
      <t>INMETRO</t>
    </r>
  </si>
  <si>
    <r>
      <rPr>
        <sz val="10"/>
        <rFont val="Calibri"/>
        <family val="2"/>
      </rPr>
      <t>SMU</t>
    </r>
  </si>
  <si>
    <r>
      <rPr>
        <sz val="10"/>
        <rFont val="Calibri"/>
        <family val="2"/>
      </rPr>
      <t>MKEH</t>
    </r>
  </si>
  <si>
    <t>EtOH</t>
  </si>
  <si>
    <t>CCQM-K94</t>
  </si>
  <si>
    <t>Dimethyl sulfide in N2 at 10 µmol/mol</t>
    <phoneticPr fontId="4"/>
  </si>
  <si>
    <r>
      <t xml:space="preserve">This key comparison supports CMC claims for the following sulphur-containing compounds in a balance gas of </t>
    </r>
    <r>
      <rPr>
        <sz val="10"/>
        <color rgb="FFFF0000"/>
        <rFont val="Times New Roman"/>
        <family val="1"/>
      </rPr>
      <t>nitrogen or methane in the range 0.5 - 100 μmol/mol:</t>
    </r>
    <phoneticPr fontId="4"/>
  </si>
  <si>
    <t>Carbonyl sulfide</t>
  </si>
  <si>
    <t>Carbon disulfide</t>
  </si>
  <si>
    <t>Dimethyl sulfide</t>
  </si>
  <si>
    <t>Ethyl methyl sulfide</t>
  </si>
  <si>
    <t>Diethyl sulfide</t>
  </si>
  <si>
    <t>Methanethiol</t>
  </si>
  <si>
    <t>Ethanethiol</t>
  </si>
  <si>
    <t>2-propanethiol</t>
  </si>
  <si>
    <t>1-propanethiol</t>
  </si>
  <si>
    <t>2-methyl-2-propanethiol</t>
  </si>
  <si>
    <t>Tetrahydrothiophene</t>
  </si>
  <si>
    <t>Table 4.</t>
    <phoneticPr fontId="4"/>
  </si>
  <si>
    <t>Summary of the results (µmol/mol) for CCQM-K94</t>
    <phoneticPr fontId="4"/>
  </si>
  <si>
    <t>Laboratory</t>
    <phoneticPr fontId="4"/>
  </si>
  <si>
    <t>Cylinder</t>
    <phoneticPr fontId="4"/>
  </si>
  <si>
    <r>
      <rPr>
        <sz val="10"/>
        <color rgb="FF000000"/>
        <rFont val="Cambria Math"/>
        <family val="1"/>
      </rPr>
      <t>𝑥𝑖,𝑟𝑒𝑓</t>
    </r>
    <r>
      <rPr>
        <sz val="10"/>
        <color rgb="FF000000"/>
        <rFont val="Times New Roman"/>
        <family val="1"/>
      </rPr>
      <t xml:space="preserve">
</t>
    </r>
    <phoneticPr fontId="4"/>
  </si>
  <si>
    <t>𝑢𝑖,𝑝𝑟𝑒𝑝</t>
  </si>
  <si>
    <t>𝑢𝑖,𝑣𝑒𝑟</t>
  </si>
  <si>
    <r>
      <rPr>
        <sz val="10"/>
        <color rgb="FF000000"/>
        <rFont val="Cambria Math"/>
        <family val="1"/>
      </rPr>
      <t>𝑢𝑖</t>
    </r>
    <r>
      <rPr>
        <sz val="10"/>
        <color rgb="FF000000"/>
        <rFont val="Times New Roman"/>
        <family val="1"/>
      </rPr>
      <t>,</t>
    </r>
    <r>
      <rPr>
        <sz val="10"/>
        <color rgb="FF000000"/>
        <rFont val="Cambria Math"/>
        <family val="1"/>
      </rPr>
      <t>𝑟𝑒𝑓</t>
    </r>
    <phoneticPr fontId="4"/>
  </si>
  <si>
    <t>𝑥𝑖,𝑙𝑎𝑏</t>
  </si>
  <si>
    <t>𝑢𝑖,𝑙𝑎𝑏</t>
  </si>
  <si>
    <t>𝐷𝑖</t>
  </si>
  <si>
    <t>U(𝐷𝑖)</t>
  </si>
  <si>
    <t>D929219</t>
  </si>
  <si>
    <t>D929214</t>
  </si>
  <si>
    <t>D929234</t>
  </si>
  <si>
    <t>D727499</t>
  </si>
  <si>
    <t>KRISS</t>
    <phoneticPr fontId="4"/>
  </si>
  <si>
    <t>D731952</t>
    <phoneticPr fontId="4"/>
  </si>
  <si>
    <t>CCQM-K111</t>
  </si>
  <si>
    <r>
      <rPr>
        <sz val="11"/>
        <rFont val="Times New Roman"/>
        <family val="1"/>
      </rPr>
      <t>The results of this key comparison can be used to support CMC claims in two different ways:</t>
    </r>
  </si>
  <si>
    <r>
      <rPr>
        <sz val="11"/>
        <rFont val="Times New Roman"/>
        <family val="1"/>
      </rPr>
      <t>1)   For core capabilities, under the flexible scheme, using the pooling mechanism for the stated uncertainties;</t>
    </r>
  </si>
  <si>
    <r>
      <rPr>
        <sz val="11"/>
        <rFont val="Times New Roman"/>
        <family val="1"/>
      </rPr>
      <t>2)   For propane in nitrogen, air and automotive gas mixtures, under the default scheme.</t>
    </r>
  </si>
  <si>
    <r>
      <rPr>
        <sz val="11"/>
        <rFont val="Times New Roman"/>
        <family val="1"/>
      </rPr>
      <t>3)   For the purity analysis of propane.</t>
    </r>
  </si>
  <si>
    <r>
      <rPr>
        <sz val="11"/>
        <rFont val="Times New Roman"/>
        <family val="1"/>
      </rPr>
      <t>The way in which this key comparison supports CMC claims is described in more detail in the “GAWG strategy for comparisons and CMC claims” [9].</t>
    </r>
  </si>
  <si>
    <t>Propane in N2 at 1000 µmol/mol</t>
    <phoneticPr fontId="4"/>
  </si>
  <si>
    <r>
      <rPr>
        <b/>
        <sz val="10"/>
        <rFont val="Times New Roman"/>
        <family val="1"/>
      </rPr>
      <t>Table 4: Results of CCQM-K111</t>
    </r>
  </si>
  <si>
    <r>
      <rPr>
        <b/>
        <sz val="11"/>
        <rFont val="Times New Roman"/>
        <family val="1"/>
      </rPr>
      <t>Laboratory</t>
    </r>
  </si>
  <si>
    <r>
      <rPr>
        <b/>
        <sz val="11"/>
        <rFont val="Times New Roman"/>
        <family val="1"/>
      </rPr>
      <t>Cylinder</t>
    </r>
  </si>
  <si>
    <r>
      <rPr>
        <b/>
        <i/>
        <vertAlign val="superscript"/>
        <sz val="11"/>
        <rFont val="Times New Roman"/>
        <family val="1"/>
      </rPr>
      <t>x</t>
    </r>
    <r>
      <rPr>
        <b/>
        <sz val="7"/>
        <rFont val="Times New Roman"/>
        <family val="1"/>
      </rPr>
      <t>prep</t>
    </r>
  </si>
  <si>
    <r>
      <rPr>
        <b/>
        <i/>
        <vertAlign val="superscript"/>
        <sz val="11"/>
        <rFont val="Times New Roman"/>
        <family val="1"/>
      </rPr>
      <t>u</t>
    </r>
    <r>
      <rPr>
        <b/>
        <sz val="7"/>
        <rFont val="Times New Roman"/>
        <family val="1"/>
      </rPr>
      <t>prep</t>
    </r>
  </si>
  <si>
    <r>
      <rPr>
        <b/>
        <i/>
        <vertAlign val="superscript"/>
        <sz val="11"/>
        <rFont val="Times New Roman"/>
        <family val="1"/>
      </rPr>
      <t>u</t>
    </r>
    <r>
      <rPr>
        <b/>
        <sz val="7"/>
        <rFont val="Times New Roman"/>
        <family val="1"/>
      </rPr>
      <t>ver</t>
    </r>
  </si>
  <si>
    <r>
      <rPr>
        <b/>
        <i/>
        <vertAlign val="superscript"/>
        <sz val="11"/>
        <rFont val="Times New Roman"/>
        <family val="1"/>
      </rPr>
      <t>u</t>
    </r>
    <r>
      <rPr>
        <b/>
        <sz val="7"/>
        <rFont val="Times New Roman"/>
        <family val="1"/>
      </rPr>
      <t>ref</t>
    </r>
  </si>
  <si>
    <r>
      <rPr>
        <b/>
        <i/>
        <vertAlign val="superscript"/>
        <sz val="11"/>
        <rFont val="Times New Roman"/>
        <family val="1"/>
      </rPr>
      <t>x</t>
    </r>
    <r>
      <rPr>
        <b/>
        <sz val="7"/>
        <rFont val="Times New Roman"/>
        <family val="1"/>
      </rPr>
      <t>lab</t>
    </r>
  </si>
  <si>
    <r>
      <rPr>
        <b/>
        <i/>
        <vertAlign val="superscript"/>
        <sz val="11"/>
        <rFont val="Times New Roman"/>
        <family val="1"/>
      </rPr>
      <t>U</t>
    </r>
    <r>
      <rPr>
        <b/>
        <sz val="7"/>
        <rFont val="Times New Roman"/>
        <family val="1"/>
      </rPr>
      <t>lab</t>
    </r>
  </si>
  <si>
    <r>
      <rPr>
        <b/>
        <i/>
        <vertAlign val="superscript"/>
        <sz val="11"/>
        <rFont val="Times New Roman"/>
        <family val="1"/>
      </rPr>
      <t>k</t>
    </r>
    <r>
      <rPr>
        <b/>
        <sz val="7"/>
        <rFont val="Times New Roman"/>
        <family val="1"/>
      </rPr>
      <t>lab</t>
    </r>
  </si>
  <si>
    <r>
      <rPr>
        <b/>
        <i/>
        <sz val="11"/>
        <rFont val="Times New Roman"/>
        <family val="1"/>
      </rPr>
      <t>d</t>
    </r>
    <r>
      <rPr>
        <b/>
        <i/>
        <vertAlign val="subscript"/>
        <sz val="7"/>
        <rFont val="Times New Roman"/>
        <family val="1"/>
      </rPr>
      <t>i</t>
    </r>
  </si>
  <si>
    <r>
      <rPr>
        <b/>
        <i/>
        <sz val="11"/>
        <rFont val="Times New Roman"/>
        <family val="1"/>
      </rPr>
      <t>k</t>
    </r>
  </si>
  <si>
    <r>
      <rPr>
        <b/>
        <i/>
        <sz val="11"/>
        <rFont val="Times New Roman"/>
        <family val="1"/>
      </rPr>
      <t>U</t>
    </r>
    <r>
      <rPr>
        <b/>
        <sz val="11"/>
        <rFont val="Times New Roman"/>
        <family val="1"/>
      </rPr>
      <t>(</t>
    </r>
    <r>
      <rPr>
        <b/>
        <i/>
        <sz val="11"/>
        <rFont val="Times New Roman"/>
        <family val="1"/>
      </rPr>
      <t>d</t>
    </r>
    <r>
      <rPr>
        <b/>
        <i/>
        <vertAlign val="subscript"/>
        <sz val="7"/>
        <rFont val="Times New Roman"/>
        <family val="1"/>
      </rPr>
      <t>i</t>
    </r>
    <r>
      <rPr>
        <b/>
        <sz val="11"/>
        <rFont val="Times New Roman"/>
        <family val="1"/>
      </rPr>
      <t>)</t>
    </r>
  </si>
  <si>
    <r>
      <t xml:space="preserve">Uncertainty  at LB (%)
</t>
    </r>
    <r>
      <rPr>
        <b/>
        <sz val="10"/>
        <rFont val="Times New Roman"/>
        <family val="1"/>
      </rPr>
      <t>Expanded Unc.</t>
    </r>
    <phoneticPr fontId="4"/>
  </si>
  <si>
    <r>
      <t xml:space="preserve">Uncertainty  at UB (%)
</t>
    </r>
    <r>
      <rPr>
        <b/>
        <sz val="10"/>
        <rFont val="Times New Roman"/>
        <family val="1"/>
      </rPr>
      <t>Expanded Unc.</t>
    </r>
    <phoneticPr fontId="4"/>
  </si>
  <si>
    <r>
      <t xml:space="preserve">Uncertainty  at LB (µmol/mol)
</t>
    </r>
    <r>
      <rPr>
        <b/>
        <sz val="10"/>
        <rFont val="Times New Roman"/>
        <family val="1"/>
      </rPr>
      <t>Expanded Unc.</t>
    </r>
    <phoneticPr fontId="4"/>
  </si>
  <si>
    <r>
      <t xml:space="preserve">Uncertainty  at UB (µmol/mol)
</t>
    </r>
    <r>
      <rPr>
        <b/>
        <sz val="10"/>
        <rFont val="Times New Roman"/>
        <family val="1"/>
      </rPr>
      <t>Expanded Unc.</t>
    </r>
    <phoneticPr fontId="4"/>
  </si>
  <si>
    <r>
      <t xml:space="preserve">Uncertainty  at LB (nmol/mol)
</t>
    </r>
    <r>
      <rPr>
        <b/>
        <sz val="10"/>
        <rFont val="Times New Roman"/>
        <family val="1"/>
      </rPr>
      <t>Expanded Unc.</t>
    </r>
    <phoneticPr fontId="4"/>
  </si>
  <si>
    <r>
      <t xml:space="preserve">Uncertainty  at UB (nmol/mol)
</t>
    </r>
    <r>
      <rPr>
        <b/>
        <sz val="10"/>
        <rFont val="Times New Roman"/>
        <family val="1"/>
      </rPr>
      <t>Expanded Unc.</t>
    </r>
    <phoneticPr fontId="4"/>
  </si>
  <si>
    <t>Min Unc at Transition Point (%)</t>
    <phoneticPr fontId="4"/>
  </si>
  <si>
    <t>Min Unc at Transition Point
(µmol/mol)</t>
    <phoneticPr fontId="4"/>
  </si>
  <si>
    <t>Ver 1.1 (2021/12/22)</t>
    <phoneticPr fontId="4"/>
  </si>
  <si>
    <t>show "Error" if min uncertainty is greater than 100 %.</t>
    <phoneticPr fontId="4"/>
  </si>
  <si>
    <t>Record</t>
    <phoneticPr fontId="4"/>
  </si>
  <si>
    <t>first version</t>
    <phoneticPr fontId="4"/>
  </si>
  <si>
    <t>Ver 1.0</t>
    <phoneticPr fontId="4"/>
  </si>
  <si>
    <t>Ver 1.1</t>
    <phoneticPr fontId="4"/>
  </si>
  <si>
    <t>XXXXX in N2 at XXXX µmol/mol</t>
    <phoneticPr fontId="4"/>
  </si>
  <si>
    <t>KazInMetr</t>
  </si>
  <si>
    <t>Lab</t>
  </si>
  <si>
    <t>Natural
Natural gas types I and III</t>
    <phoneticPr fontId="4"/>
  </si>
  <si>
    <r>
      <rPr>
        <b/>
        <sz val="11"/>
        <rFont val="Times New Roman"/>
        <family val="1"/>
      </rPr>
      <t>Component</t>
    </r>
  </si>
  <si>
    <r>
      <rPr>
        <b/>
        <sz val="11"/>
        <rFont val="Times New Roman"/>
        <family val="1"/>
      </rPr>
      <t xml:space="preserve">Range
</t>
    </r>
    <r>
      <rPr>
        <b/>
        <i/>
        <sz val="11"/>
        <rFont val="Times New Roman"/>
        <family val="1"/>
      </rPr>
      <t xml:space="preserve">x </t>
    </r>
    <r>
      <rPr>
        <b/>
        <sz val="11"/>
        <rFont val="Times New Roman"/>
        <family val="1"/>
      </rPr>
      <t>(10</t>
    </r>
    <r>
      <rPr>
        <b/>
        <vertAlign val="superscript"/>
        <sz val="11"/>
        <rFont val="Times New Roman"/>
        <family val="1"/>
      </rPr>
      <t>-2</t>
    </r>
    <r>
      <rPr>
        <b/>
        <sz val="11"/>
        <rFont val="Times New Roman"/>
        <family val="1"/>
      </rPr>
      <t xml:space="preserve"> mol mol</t>
    </r>
    <r>
      <rPr>
        <b/>
        <vertAlign val="superscript"/>
        <sz val="11"/>
        <rFont val="Times New Roman"/>
        <family val="1"/>
      </rPr>
      <t>-1</t>
    </r>
    <r>
      <rPr>
        <b/>
        <sz val="11"/>
        <rFont val="Times New Roman"/>
        <family val="1"/>
      </rPr>
      <t>)</t>
    </r>
  </si>
  <si>
    <r>
      <rPr>
        <sz val="11"/>
        <rFont val="Times New Roman"/>
        <family val="1"/>
      </rPr>
      <t>Nitrogen</t>
    </r>
  </si>
  <si>
    <r>
      <rPr>
        <sz val="11"/>
        <rFont val="Times New Roman"/>
        <family val="1"/>
      </rPr>
      <t>1 – 20</t>
    </r>
  </si>
  <si>
    <r>
      <rPr>
        <sz val="11"/>
        <rFont val="Times New Roman"/>
        <family val="1"/>
      </rPr>
      <t>Carbon dioxide</t>
    </r>
  </si>
  <si>
    <r>
      <rPr>
        <sz val="11"/>
        <rFont val="Times New Roman"/>
        <family val="1"/>
      </rPr>
      <t>0.1 – 5</t>
    </r>
  </si>
  <si>
    <r>
      <rPr>
        <sz val="11"/>
        <rFont val="Times New Roman"/>
        <family val="1"/>
      </rPr>
      <t>Ethane</t>
    </r>
  </si>
  <si>
    <r>
      <rPr>
        <sz val="11"/>
        <rFont val="Times New Roman"/>
        <family val="1"/>
      </rPr>
      <t>Propane</t>
    </r>
  </si>
  <si>
    <r>
      <rPr>
        <i/>
        <sz val="11"/>
        <rFont val="Times New Roman"/>
        <family val="1"/>
      </rPr>
      <t>n-</t>
    </r>
    <r>
      <rPr>
        <sz val="11"/>
        <rFont val="Times New Roman"/>
        <family val="1"/>
      </rPr>
      <t>Butane</t>
    </r>
  </si>
  <si>
    <r>
      <rPr>
        <sz val="11"/>
        <rFont val="Times New Roman"/>
        <family val="1"/>
      </rPr>
      <t>0.05 – 1.5</t>
    </r>
  </si>
  <si>
    <r>
      <rPr>
        <i/>
        <sz val="11"/>
        <rFont val="Times New Roman"/>
        <family val="1"/>
      </rPr>
      <t>iso</t>
    </r>
    <r>
      <rPr>
        <sz val="11"/>
        <rFont val="Times New Roman"/>
        <family val="1"/>
      </rPr>
      <t>-Butane</t>
    </r>
  </si>
  <si>
    <r>
      <rPr>
        <sz val="11"/>
        <rFont val="Times New Roman"/>
        <family val="1"/>
      </rPr>
      <t>Methane</t>
    </r>
  </si>
  <si>
    <r>
      <rPr>
        <sz val="11"/>
        <rFont val="Times New Roman"/>
        <family val="1"/>
      </rPr>
      <t>70 – 98</t>
    </r>
  </si>
  <si>
    <r>
      <rPr>
        <b/>
        <sz val="9"/>
        <rFont val="Times New Roman"/>
        <family val="1"/>
      </rPr>
      <t>Laboratory</t>
    </r>
  </si>
  <si>
    <r>
      <rPr>
        <b/>
        <sz val="9"/>
        <rFont val="Times New Roman"/>
        <family val="1"/>
      </rPr>
      <t>Cylinder</t>
    </r>
  </si>
  <si>
    <r>
      <rPr>
        <b/>
        <i/>
        <vertAlign val="superscript"/>
        <sz val="9"/>
        <rFont val="Times New Roman"/>
        <family val="1"/>
      </rPr>
      <t>x</t>
    </r>
    <r>
      <rPr>
        <b/>
        <i/>
        <sz val="6"/>
        <rFont val="Times New Roman"/>
        <family val="1"/>
      </rPr>
      <t>prep</t>
    </r>
  </si>
  <si>
    <r>
      <rPr>
        <b/>
        <i/>
        <vertAlign val="superscript"/>
        <sz val="9"/>
        <rFont val="Times New Roman"/>
        <family val="1"/>
      </rPr>
      <t>u</t>
    </r>
    <r>
      <rPr>
        <b/>
        <i/>
        <sz val="6"/>
        <rFont val="Times New Roman"/>
        <family val="1"/>
      </rPr>
      <t>prep</t>
    </r>
  </si>
  <si>
    <r>
      <rPr>
        <b/>
        <i/>
        <vertAlign val="superscript"/>
        <sz val="9"/>
        <rFont val="Times New Roman"/>
        <family val="1"/>
      </rPr>
      <t>u</t>
    </r>
    <r>
      <rPr>
        <b/>
        <i/>
        <sz val="6"/>
        <rFont val="Times New Roman"/>
        <family val="1"/>
      </rPr>
      <t>ver</t>
    </r>
  </si>
  <si>
    <r>
      <rPr>
        <b/>
        <i/>
        <vertAlign val="superscript"/>
        <sz val="9"/>
        <rFont val="Times New Roman"/>
        <family val="1"/>
      </rPr>
      <t>u</t>
    </r>
    <r>
      <rPr>
        <b/>
        <i/>
        <sz val="6"/>
        <rFont val="Times New Roman"/>
        <family val="1"/>
      </rPr>
      <t>ref</t>
    </r>
  </si>
  <si>
    <r>
      <rPr>
        <b/>
        <i/>
        <vertAlign val="superscript"/>
        <sz val="9"/>
        <rFont val="Times New Roman"/>
        <family val="1"/>
      </rPr>
      <t>x</t>
    </r>
    <r>
      <rPr>
        <b/>
        <i/>
        <sz val="6"/>
        <rFont val="Times New Roman"/>
        <family val="1"/>
      </rPr>
      <t>lab</t>
    </r>
  </si>
  <si>
    <r>
      <rPr>
        <b/>
        <i/>
        <vertAlign val="superscript"/>
        <sz val="9"/>
        <rFont val="Times New Roman"/>
        <family val="1"/>
      </rPr>
      <t>U</t>
    </r>
    <r>
      <rPr>
        <b/>
        <i/>
        <sz val="6"/>
        <rFont val="Times New Roman"/>
        <family val="1"/>
      </rPr>
      <t>lab</t>
    </r>
  </si>
  <si>
    <r>
      <rPr>
        <b/>
        <i/>
        <vertAlign val="superscript"/>
        <sz val="9"/>
        <rFont val="Times New Roman"/>
        <family val="1"/>
      </rPr>
      <t>k</t>
    </r>
    <r>
      <rPr>
        <b/>
        <i/>
        <sz val="6"/>
        <rFont val="Times New Roman"/>
        <family val="1"/>
      </rPr>
      <t>lab</t>
    </r>
  </si>
  <si>
    <r>
      <rPr>
        <b/>
        <sz val="9"/>
        <rFont val="Symbol"/>
        <family val="1"/>
      </rPr>
      <t>Δ</t>
    </r>
    <r>
      <rPr>
        <b/>
        <i/>
        <sz val="9"/>
        <rFont val="Times New Roman"/>
        <family val="1"/>
      </rPr>
      <t>x</t>
    </r>
  </si>
  <si>
    <r>
      <rPr>
        <b/>
        <i/>
        <sz val="9"/>
        <rFont val="Times New Roman"/>
        <family val="1"/>
      </rPr>
      <t>k</t>
    </r>
  </si>
  <si>
    <r>
      <rPr>
        <b/>
        <i/>
        <sz val="9"/>
        <rFont val="Times New Roman"/>
        <family val="1"/>
      </rPr>
      <t>U</t>
    </r>
    <r>
      <rPr>
        <b/>
        <sz val="9"/>
        <rFont val="Times New Roman"/>
        <family val="1"/>
      </rPr>
      <t>(</t>
    </r>
    <r>
      <rPr>
        <b/>
        <sz val="9"/>
        <rFont val="Symbol"/>
        <family val="1"/>
      </rPr>
      <t>Δ</t>
    </r>
    <r>
      <rPr>
        <b/>
        <i/>
        <sz val="9"/>
        <rFont val="Times New Roman"/>
        <family val="1"/>
      </rPr>
      <t>x</t>
    </r>
    <r>
      <rPr>
        <b/>
        <sz val="9"/>
        <rFont val="Times New Roman"/>
        <family val="1"/>
      </rPr>
      <t>)</t>
    </r>
  </si>
  <si>
    <r>
      <rPr>
        <sz val="9"/>
        <rFont val="Times New Roman"/>
        <family val="1"/>
      </rPr>
      <t>NPL</t>
    </r>
  </si>
  <si>
    <r>
      <rPr>
        <sz val="9"/>
        <rFont val="Times New Roman"/>
        <family val="1"/>
      </rPr>
      <t>VSL202748</t>
    </r>
  </si>
  <si>
    <r>
      <rPr>
        <sz val="9"/>
        <rFont val="Times New Roman"/>
        <family val="1"/>
      </rPr>
      <t>SMU</t>
    </r>
  </si>
  <si>
    <r>
      <rPr>
        <sz val="9"/>
        <rFont val="Times New Roman"/>
        <family val="1"/>
      </rPr>
      <t>VSL100039</t>
    </r>
  </si>
  <si>
    <r>
      <rPr>
        <sz val="9"/>
        <rFont val="Times New Roman"/>
        <family val="1"/>
      </rPr>
      <t>CMI</t>
    </r>
  </si>
  <si>
    <r>
      <rPr>
        <sz val="9"/>
        <rFont val="Times New Roman"/>
        <family val="1"/>
      </rPr>
      <t>VSL100059</t>
    </r>
  </si>
  <si>
    <r>
      <rPr>
        <sz val="9"/>
        <rFont val="Times New Roman"/>
        <family val="1"/>
      </rPr>
      <t>VNIIM</t>
    </r>
  </si>
  <si>
    <r>
      <rPr>
        <sz val="9"/>
        <rFont val="Times New Roman"/>
        <family val="1"/>
      </rPr>
      <t>VSL126708</t>
    </r>
  </si>
  <si>
    <r>
      <rPr>
        <sz val="9"/>
        <rFont val="Times New Roman"/>
        <family val="1"/>
      </rPr>
      <t>OMH</t>
    </r>
  </si>
  <si>
    <r>
      <rPr>
        <sz val="9"/>
        <rFont val="Times New Roman"/>
        <family val="1"/>
      </rPr>
      <t>VSL100051</t>
    </r>
  </si>
  <si>
    <r>
      <rPr>
        <sz val="9"/>
        <rFont val="Times New Roman"/>
        <family val="1"/>
      </rPr>
      <t>LNE</t>
    </r>
  </si>
  <si>
    <r>
      <rPr>
        <sz val="9"/>
        <rFont val="Times New Roman"/>
        <family val="1"/>
      </rPr>
      <t>VSL124466</t>
    </r>
  </si>
  <si>
    <r>
      <rPr>
        <sz val="9"/>
        <rFont val="Times New Roman"/>
        <family val="1"/>
      </rPr>
      <t>NMi VSL</t>
    </r>
  </si>
  <si>
    <r>
      <rPr>
        <sz val="9"/>
        <rFont val="Times New Roman"/>
        <family val="1"/>
      </rPr>
      <t>VSL226686</t>
    </r>
  </si>
  <si>
    <r>
      <rPr>
        <sz val="9"/>
        <rFont val="Times New Roman"/>
        <family val="1"/>
      </rPr>
      <t>CENAM</t>
    </r>
  </si>
  <si>
    <r>
      <rPr>
        <sz val="9"/>
        <rFont val="Times New Roman"/>
        <family val="1"/>
      </rPr>
      <t>VSL126717</t>
    </r>
  </si>
  <si>
    <r>
      <rPr>
        <sz val="9"/>
        <rFont val="Times New Roman"/>
        <family val="1"/>
      </rPr>
      <t>CEM</t>
    </r>
  </si>
  <si>
    <r>
      <rPr>
        <sz val="9"/>
        <rFont val="Times New Roman"/>
        <family val="1"/>
      </rPr>
      <t>VSL100066</t>
    </r>
  </si>
  <si>
    <r>
      <rPr>
        <sz val="9"/>
        <rFont val="Times New Roman"/>
        <family val="1"/>
      </rPr>
      <t>BAM</t>
    </r>
  </si>
  <si>
    <r>
      <rPr>
        <sz val="9"/>
        <rFont val="Times New Roman"/>
        <family val="1"/>
      </rPr>
      <t>VSL100042</t>
    </r>
  </si>
  <si>
    <r>
      <rPr>
        <sz val="9"/>
        <rFont val="Times New Roman"/>
        <family val="1"/>
      </rPr>
      <t>NMIA</t>
    </r>
  </si>
  <si>
    <r>
      <rPr>
        <sz val="9"/>
        <rFont val="Times New Roman"/>
        <family val="1"/>
      </rPr>
      <t>VSL126712</t>
    </r>
  </si>
  <si>
    <r>
      <rPr>
        <sz val="9"/>
        <rFont val="Times New Roman"/>
        <family val="1"/>
      </rPr>
      <t>IPQ</t>
    </r>
  </si>
  <si>
    <r>
      <rPr>
        <sz val="9"/>
        <rFont val="Times New Roman"/>
        <family val="1"/>
      </rPr>
      <t>VSL100038</t>
    </r>
  </si>
  <si>
    <r>
      <rPr>
        <sz val="9"/>
        <rFont val="Times New Roman"/>
        <family val="1"/>
      </rPr>
      <t>INMETRO</t>
    </r>
  </si>
  <si>
    <r>
      <rPr>
        <sz val="9"/>
        <rFont val="Times New Roman"/>
        <family val="1"/>
      </rPr>
      <t>VSL100041</t>
    </r>
  </si>
  <si>
    <r>
      <rPr>
        <sz val="9"/>
        <rFont val="Times New Roman"/>
        <family val="1"/>
      </rPr>
      <t>GUM</t>
    </r>
  </si>
  <si>
    <r>
      <rPr>
        <sz val="9"/>
        <rFont val="Times New Roman"/>
        <family val="1"/>
      </rPr>
      <t>VSL100044</t>
    </r>
  </si>
  <si>
    <r>
      <rPr>
        <sz val="9"/>
        <rFont val="Times New Roman"/>
        <family val="1"/>
      </rPr>
      <t>NRCCRM</t>
    </r>
  </si>
  <si>
    <r>
      <rPr>
        <sz val="9"/>
        <rFont val="Times New Roman"/>
        <family val="1"/>
      </rPr>
      <t>VSL126730</t>
    </r>
  </si>
  <si>
    <r>
      <rPr>
        <sz val="9"/>
        <rFont val="Times New Roman"/>
        <family val="1"/>
      </rPr>
      <t>KRISS</t>
    </r>
  </si>
  <si>
    <r>
      <rPr>
        <sz val="9"/>
        <rFont val="Times New Roman"/>
        <family val="1"/>
      </rPr>
      <t>VSL126709</t>
    </r>
  </si>
  <si>
    <r>
      <rPr>
        <sz val="9"/>
        <rFont val="Times New Roman"/>
        <family val="1"/>
      </rPr>
      <t>VSL206333</t>
    </r>
  </si>
  <si>
    <r>
      <rPr>
        <sz val="9"/>
        <rFont val="Times New Roman"/>
        <family val="1"/>
      </rPr>
      <t>VSL202622</t>
    </r>
  </si>
  <si>
    <r>
      <rPr>
        <sz val="9"/>
        <rFont val="Times New Roman"/>
        <family val="1"/>
      </rPr>
      <t>VSL205133</t>
    </r>
  </si>
  <si>
    <r>
      <rPr>
        <sz val="9"/>
        <rFont val="Times New Roman"/>
        <family val="1"/>
      </rPr>
      <t>VSL202624</t>
    </r>
  </si>
  <si>
    <r>
      <rPr>
        <sz val="9"/>
        <rFont val="Times New Roman"/>
        <family val="1"/>
      </rPr>
      <t>VSL206344</t>
    </r>
  </si>
  <si>
    <r>
      <rPr>
        <sz val="9"/>
        <rFont val="Times New Roman"/>
        <family val="1"/>
      </rPr>
      <t>VSL202614</t>
    </r>
  </si>
  <si>
    <r>
      <rPr>
        <sz val="9"/>
        <rFont val="Times New Roman"/>
        <family val="1"/>
      </rPr>
      <t>VSL300636</t>
    </r>
  </si>
  <si>
    <r>
      <rPr>
        <sz val="9"/>
        <rFont val="Times New Roman"/>
        <family val="1"/>
      </rPr>
      <t>VSL160258</t>
    </r>
  </si>
  <si>
    <r>
      <rPr>
        <sz val="9"/>
        <rFont val="Times New Roman"/>
        <family val="1"/>
      </rPr>
      <t>VSL202677</t>
    </r>
  </si>
  <si>
    <r>
      <rPr>
        <sz val="9"/>
        <rFont val="Times New Roman"/>
        <family val="1"/>
      </rPr>
      <t>VSL205189</t>
    </r>
  </si>
  <si>
    <r>
      <rPr>
        <sz val="9"/>
        <rFont val="Times New Roman"/>
        <family val="1"/>
      </rPr>
      <t>VSL228583</t>
    </r>
  </si>
  <si>
    <r>
      <rPr>
        <sz val="9"/>
        <rFont val="Times New Roman"/>
        <family val="1"/>
      </rPr>
      <t>VSL220210</t>
    </r>
  </si>
  <si>
    <r>
      <rPr>
        <sz val="9"/>
        <rFont val="Times New Roman"/>
        <family val="1"/>
      </rPr>
      <t>VSL202750</t>
    </r>
  </si>
  <si>
    <r>
      <rPr>
        <sz val="9"/>
        <rFont val="Times New Roman"/>
        <family val="1"/>
      </rPr>
      <t>VSL223562</t>
    </r>
  </si>
  <si>
    <r>
      <rPr>
        <sz val="9"/>
        <rFont val="Times New Roman"/>
        <family val="1"/>
      </rPr>
      <t>VSL228668</t>
    </r>
  </si>
  <si>
    <r>
      <rPr>
        <sz val="9"/>
        <rFont val="Times New Roman"/>
        <family val="1"/>
      </rPr>
      <t>VSL229332</t>
    </r>
  </si>
  <si>
    <t>CMI</t>
  </si>
  <si>
    <t>xprep amount of substance fraction, from preparation (10-2 mol/mol)</t>
  </si>
  <si>
    <t>uprep uncertainty of xprep (10-2 mol/mol)</t>
  </si>
  <si>
    <t>uver uncertainty from verification (10-2 mol/mol)</t>
  </si>
  <si>
    <t>uref uncertainty of reference value (10-2 mol/mol)</t>
  </si>
  <si>
    <t>xlab result of laboratory (10-2 mol/mol)</t>
  </si>
  <si>
    <t>Ulab stated uncertainty of laboratory, at 95% level of confidence (10-2 mol/mol)</t>
  </si>
  <si>
    <t>klab stated coverage factor</t>
  </si>
  <si>
    <t>Δx difference between laboratory result and reference value (10-2 mol/mol)</t>
  </si>
  <si>
    <t>k assigned coverage factor for degree of equivalence</t>
  </si>
  <si>
    <t>U(Δx) Expanded uncertainty of difference Δx, at 95% level of confidence3 (10-2 mol/mol)</t>
  </si>
  <si>
    <t>Nitrogen, mixture I</t>
    <phoneticPr fontId="4"/>
  </si>
  <si>
    <t>Nitrogen, mixture  III</t>
    <phoneticPr fontId="4"/>
  </si>
  <si>
    <t>Carbon dioxide, mixture I</t>
    <phoneticPr fontId="4"/>
  </si>
  <si>
    <t>Carbon dioxide, mixture  III</t>
    <phoneticPr fontId="4"/>
  </si>
  <si>
    <t>Ethane, mixture I</t>
    <phoneticPr fontId="4"/>
  </si>
  <si>
    <t>Ethane, mixture  III</t>
    <phoneticPr fontId="4"/>
  </si>
  <si>
    <t>Propane, mixture I</t>
    <phoneticPr fontId="4"/>
  </si>
  <si>
    <t>Propane, mixture III</t>
    <phoneticPr fontId="4"/>
  </si>
  <si>
    <r>
      <rPr>
        <b/>
        <i/>
        <sz val="10"/>
        <color rgb="FF000000"/>
        <rFont val="Times New Roman"/>
        <family val="1"/>
      </rPr>
      <t>iso</t>
    </r>
    <r>
      <rPr>
        <b/>
        <sz val="10"/>
        <color rgb="FF000000"/>
        <rFont val="Times New Roman"/>
        <family val="1"/>
      </rPr>
      <t>-butane, mixture I</t>
    </r>
    <phoneticPr fontId="4"/>
  </si>
  <si>
    <r>
      <rPr>
        <b/>
        <i/>
        <sz val="10"/>
        <color rgb="FF000000"/>
        <rFont val="Times New Roman"/>
        <family val="1"/>
      </rPr>
      <t>iso</t>
    </r>
    <r>
      <rPr>
        <b/>
        <sz val="10"/>
        <color rgb="FF000000"/>
        <rFont val="Times New Roman"/>
        <family val="1"/>
      </rPr>
      <t>-butane, mixture III</t>
    </r>
    <phoneticPr fontId="4"/>
  </si>
  <si>
    <r>
      <rPr>
        <b/>
        <i/>
        <sz val="10"/>
        <color rgb="FF000000"/>
        <rFont val="Times New Roman"/>
        <family val="1"/>
      </rPr>
      <t>n</t>
    </r>
    <r>
      <rPr>
        <b/>
        <sz val="10"/>
        <color rgb="FF000000"/>
        <rFont val="Times New Roman"/>
        <family val="1"/>
      </rPr>
      <t>-butane, mixture I</t>
    </r>
    <phoneticPr fontId="4"/>
  </si>
  <si>
    <r>
      <rPr>
        <b/>
        <i/>
        <sz val="10"/>
        <color rgb="FF000000"/>
        <rFont val="Times New Roman"/>
        <family val="1"/>
      </rPr>
      <t>n</t>
    </r>
    <r>
      <rPr>
        <b/>
        <sz val="10"/>
        <color rgb="FF000000"/>
        <rFont val="Times New Roman"/>
        <family val="1"/>
      </rPr>
      <t>-butane, mixture III</t>
    </r>
    <phoneticPr fontId="4"/>
  </si>
  <si>
    <t>Methane, mixture I</t>
    <phoneticPr fontId="4"/>
  </si>
  <si>
    <t>Methane, mixture III</t>
    <phoneticPr fontId="4"/>
  </si>
  <si>
    <t>CCQM-K15</t>
    <phoneticPr fontId="8"/>
  </si>
  <si>
    <t>CF4 and SF6 in N2 at 100 µmol/mol</t>
    <phoneticPr fontId="4"/>
  </si>
  <si>
    <r>
      <rPr>
        <sz val="9"/>
        <rFont val="Times New Roman"/>
        <family val="1"/>
      </rPr>
      <t>Lab</t>
    </r>
  </si>
  <si>
    <r>
      <rPr>
        <sz val="9"/>
        <rFont val="Times New Roman"/>
        <family val="1"/>
      </rPr>
      <t>Cylinder</t>
    </r>
  </si>
  <si>
    <r>
      <rPr>
        <i/>
        <vertAlign val="superscript"/>
        <sz val="10"/>
        <rFont val="Times New Roman"/>
        <family val="1"/>
      </rPr>
      <t>x</t>
    </r>
    <r>
      <rPr>
        <i/>
        <sz val="6.5"/>
        <rFont val="Times New Roman"/>
        <family val="1"/>
      </rPr>
      <t xml:space="preserve">grav
</t>
    </r>
    <r>
      <rPr>
        <sz val="9"/>
        <rFont val="Times New Roman"/>
        <family val="1"/>
      </rPr>
      <t>(</t>
    </r>
    <r>
      <rPr>
        <i/>
        <sz val="9"/>
        <rFont val="Times New Roman"/>
        <family val="1"/>
      </rPr>
      <t>µ</t>
    </r>
    <r>
      <rPr>
        <sz val="9"/>
        <rFont val="Times New Roman"/>
        <family val="1"/>
      </rPr>
      <t>mol/mol)</t>
    </r>
  </si>
  <si>
    <r>
      <rPr>
        <i/>
        <vertAlign val="superscript"/>
        <sz val="10"/>
        <rFont val="Times New Roman"/>
        <family val="1"/>
      </rPr>
      <t>u</t>
    </r>
    <r>
      <rPr>
        <i/>
        <sz val="6.5"/>
        <rFont val="Times New Roman"/>
        <family val="1"/>
      </rPr>
      <t xml:space="preserve">grav
</t>
    </r>
    <r>
      <rPr>
        <sz val="9"/>
        <rFont val="Times New Roman"/>
        <family val="1"/>
      </rPr>
      <t>(</t>
    </r>
    <r>
      <rPr>
        <i/>
        <sz val="9"/>
        <rFont val="Times New Roman"/>
        <family val="1"/>
      </rPr>
      <t>µ</t>
    </r>
    <r>
      <rPr>
        <sz val="9"/>
        <rFont val="Times New Roman"/>
        <family val="1"/>
      </rPr>
      <t>mol/mol)</t>
    </r>
  </si>
  <si>
    <r>
      <rPr>
        <i/>
        <vertAlign val="superscript"/>
        <sz val="10"/>
        <rFont val="Times New Roman"/>
        <family val="1"/>
      </rPr>
      <t>x</t>
    </r>
    <r>
      <rPr>
        <i/>
        <sz val="6.5"/>
        <rFont val="Times New Roman"/>
        <family val="1"/>
      </rPr>
      <t xml:space="preserve">lab
</t>
    </r>
    <r>
      <rPr>
        <sz val="9"/>
        <rFont val="Times New Roman"/>
        <family val="1"/>
      </rPr>
      <t>(µmol/mol)</t>
    </r>
  </si>
  <si>
    <r>
      <rPr>
        <i/>
        <vertAlign val="superscript"/>
        <sz val="10"/>
        <rFont val="Times New Roman"/>
        <family val="1"/>
      </rPr>
      <t>U</t>
    </r>
    <r>
      <rPr>
        <i/>
        <sz val="6.5"/>
        <rFont val="Times New Roman"/>
        <family val="1"/>
      </rPr>
      <t xml:space="preserve">lab
</t>
    </r>
    <r>
      <rPr>
        <sz val="9"/>
        <rFont val="Times New Roman"/>
        <family val="1"/>
      </rPr>
      <t>(</t>
    </r>
    <r>
      <rPr>
        <i/>
        <sz val="9"/>
        <rFont val="Times New Roman"/>
        <family val="1"/>
      </rPr>
      <t>µ</t>
    </r>
    <r>
      <rPr>
        <sz val="9"/>
        <rFont val="Times New Roman"/>
        <family val="1"/>
      </rPr>
      <t>mol/mol)</t>
    </r>
  </si>
  <si>
    <r>
      <rPr>
        <i/>
        <vertAlign val="superscript"/>
        <sz val="10"/>
        <rFont val="Times New Roman"/>
        <family val="1"/>
      </rPr>
      <t>k</t>
    </r>
    <r>
      <rPr>
        <i/>
        <sz val="6.5"/>
        <rFont val="Times New Roman"/>
        <family val="1"/>
      </rPr>
      <t>lab</t>
    </r>
  </si>
  <si>
    <r>
      <rPr>
        <i/>
        <sz val="10"/>
        <rFont val="Times New Roman"/>
        <family val="1"/>
      </rPr>
      <t>D</t>
    </r>
    <r>
      <rPr>
        <i/>
        <vertAlign val="subscript"/>
        <sz val="10"/>
        <rFont val="Times New Roman"/>
        <family val="1"/>
      </rPr>
      <t xml:space="preserve">i
</t>
    </r>
    <r>
      <rPr>
        <sz val="9"/>
        <rFont val="Times New Roman"/>
        <family val="1"/>
      </rPr>
      <t>(µmol/mol)</t>
    </r>
  </si>
  <si>
    <r>
      <rPr>
        <i/>
        <sz val="10"/>
        <rFont val="Times New Roman"/>
        <family val="1"/>
      </rPr>
      <t>U(D</t>
    </r>
    <r>
      <rPr>
        <i/>
        <vertAlign val="subscript"/>
        <sz val="10"/>
        <rFont val="Times New Roman"/>
        <family val="1"/>
      </rPr>
      <t>i</t>
    </r>
    <r>
      <rPr>
        <i/>
        <sz val="10"/>
        <rFont val="Times New Roman"/>
        <family val="1"/>
      </rPr>
      <t xml:space="preserve">)
</t>
    </r>
    <r>
      <rPr>
        <sz val="9"/>
        <rFont val="Times New Roman"/>
        <family val="1"/>
      </rPr>
      <t>(µmol/mol)</t>
    </r>
  </si>
  <si>
    <r>
      <rPr>
        <sz val="9"/>
        <rFont val="Times New Roman"/>
        <family val="1"/>
      </rPr>
      <t>ME2233</t>
    </r>
  </si>
  <si>
    <r>
      <rPr>
        <sz val="9"/>
        <rFont val="Times New Roman"/>
        <family val="1"/>
      </rPr>
      <t>NMIJ</t>
    </r>
  </si>
  <si>
    <r>
      <rPr>
        <sz val="9"/>
        <rFont val="Times New Roman"/>
        <family val="1"/>
      </rPr>
      <t>ME2208</t>
    </r>
  </si>
  <si>
    <r>
      <rPr>
        <sz val="9"/>
        <rFont val="Times New Roman"/>
        <family val="1"/>
      </rPr>
      <t>ME2212</t>
    </r>
  </si>
  <si>
    <r>
      <rPr>
        <sz val="9"/>
        <rFont val="Times New Roman"/>
        <family val="1"/>
      </rPr>
      <t>NIST</t>
    </r>
  </si>
  <si>
    <r>
      <rPr>
        <sz val="9"/>
        <rFont val="Times New Roman"/>
        <family val="1"/>
      </rPr>
      <t>ME2195</t>
    </r>
  </si>
  <si>
    <t>CF4</t>
    <phoneticPr fontId="4"/>
  </si>
  <si>
    <r>
      <t>SF</t>
    </r>
    <r>
      <rPr>
        <vertAlign val="subscript"/>
        <sz val="10"/>
        <rFont val="Times New Roman"/>
        <family val="1"/>
      </rPr>
      <t>6</t>
    </r>
    <phoneticPr fontId="4"/>
  </si>
  <si>
    <t>This key comparison will cover the comparability of the gas CRMs on the emission level (10. 10-6</t>
  </si>
  <si>
    <r>
      <t xml:space="preserve">mol/mol – 100 mmol/mol </t>
    </r>
    <r>
      <rPr>
        <sz val="10"/>
        <color rgb="FFFF0000"/>
        <rFont val="Times New Roman"/>
        <family val="1"/>
      </rPr>
      <t>in Nitrogen or Air</t>
    </r>
    <r>
      <rPr>
        <sz val="10"/>
        <rFont val="Times New Roman"/>
        <family val="1"/>
      </rPr>
      <t xml:space="preserve">) of following chemicals; </t>
    </r>
    <r>
      <rPr>
        <sz val="10"/>
        <color rgb="FFFF0000"/>
        <rFont val="Times New Roman"/>
        <family val="1"/>
      </rPr>
      <t>CF4, C2F6, CHF3, SF6, and NF3</t>
    </r>
    <r>
      <rPr>
        <sz val="10"/>
        <rFont val="Times New Roman"/>
        <family val="1"/>
      </rPr>
      <t>.</t>
    </r>
    <phoneticPr fontId="4"/>
  </si>
  <si>
    <t>CCQM-K112</t>
    <phoneticPr fontId="8"/>
  </si>
  <si>
    <t>Bio-Gas</t>
  </si>
  <si>
    <t>Table 15: Supported component ranges</t>
    <phoneticPr fontId="4"/>
  </si>
  <si>
    <t>Component</t>
  </si>
  <si>
    <t>fraction</t>
  </si>
  <si>
    <t>x</t>
  </si>
  <si>
    <t>(cmol</t>
  </si>
  <si>
    <t>mol􀀀1)</t>
  </si>
  <si>
    <t>–</t>
  </si>
  <si>
    <t>Carbon dioxide</t>
    <phoneticPr fontId="4"/>
  </si>
  <si>
    <t>Oxygen</t>
  </si>
  <si>
    <t xml:space="preserve">Table 7: Consensus values based on selected results from participants and the key comparison reference
values </t>
    <phoneticPr fontId="4"/>
  </si>
  <si>
    <r>
      <t xml:space="preserve">as computed using procedure B using the median, expressed as amount fractions </t>
    </r>
    <r>
      <rPr>
        <sz val="10"/>
        <color rgb="FFFF0000"/>
        <rFont val="Times New Roman"/>
        <family val="1"/>
      </rPr>
      <t>(cmol mol-1)</t>
    </r>
    <phoneticPr fontId="4"/>
  </si>
  <si>
    <t>LCS/Excess</t>
  </si>
  <si>
    <r>
      <t>Procedure</t>
    </r>
    <r>
      <rPr>
        <sz val="10"/>
        <color rgb="FF000000"/>
        <rFont val="Times New Roman"/>
        <family val="1"/>
      </rPr>
      <t xml:space="preserve"> </t>
    </r>
    <r>
      <rPr>
        <sz val="10"/>
        <color rgb="FF000000"/>
        <rFont val="Times New Roman"/>
        <family val="1"/>
      </rPr>
      <t>B</t>
    </r>
    <phoneticPr fontId="4"/>
  </si>
  <si>
    <t>Component</t>
    <phoneticPr fontId="4"/>
  </si>
  <si>
    <t>x</t>
    <phoneticPr fontId="4"/>
  </si>
  <si>
    <r>
      <t>u(</t>
    </r>
    <r>
      <rPr>
        <sz val="10"/>
        <color rgb="FF000000"/>
        <rFont val="Times New Roman"/>
        <family val="1"/>
      </rPr>
      <t>x</t>
    </r>
    <r>
      <rPr>
        <sz val="10"/>
        <color rgb="FF000000"/>
        <rFont val="Times New Roman"/>
        <family val="1"/>
      </rPr>
      <t>)</t>
    </r>
    <phoneticPr fontId="4"/>
  </si>
  <si>
    <r>
      <t>x</t>
    </r>
    <r>
      <rPr>
        <sz val="10"/>
        <color rgb="FF000000"/>
        <rFont val="Times New Roman"/>
        <family val="1"/>
      </rPr>
      <t>_</t>
    </r>
    <r>
      <rPr>
        <sz val="10"/>
        <color rgb="FF000000"/>
        <rFont val="Times New Roman"/>
        <family val="1"/>
      </rPr>
      <t>KCRV</t>
    </r>
    <phoneticPr fontId="4"/>
  </si>
  <si>
    <t>u(xKCRV)</t>
  </si>
  <si>
    <r>
      <t>Carbon</t>
    </r>
    <r>
      <rPr>
        <sz val="10"/>
        <color rgb="FF000000"/>
        <rFont val="Times New Roman"/>
        <family val="1"/>
      </rPr>
      <t xml:space="preserve"> dioxide</t>
    </r>
    <phoneticPr fontId="4"/>
  </si>
  <si>
    <r>
      <t xml:space="preserve">Table 8:  Corrected amount fraction of </t>
    </r>
    <r>
      <rPr>
        <sz val="10"/>
        <color rgb="FFFF0000"/>
        <rFont val="Times New Roman"/>
        <family val="1"/>
      </rPr>
      <t>methane</t>
    </r>
    <r>
      <rPr>
        <sz val="10"/>
        <rFont val="Times New Roman"/>
        <family val="1"/>
      </rPr>
      <t xml:space="preserve"> from the participants (</t>
    </r>
    <r>
      <rPr>
        <i/>
        <sz val="10"/>
        <rFont val="Times New Roman"/>
        <family val="1"/>
      </rPr>
      <t>x</t>
    </r>
    <r>
      <rPr>
        <sz val="7"/>
        <rFont val="Times New Roman"/>
        <family val="1"/>
      </rPr>
      <t>'_lab</t>
    </r>
    <r>
      <rPr>
        <sz val="10"/>
        <rFont val="Times New Roman"/>
        <family val="1"/>
      </rPr>
      <t>)</t>
    </r>
    <phoneticPr fontId="4"/>
  </si>
  <si>
    <t>Table 16: Reported laboratory results and corrections due to batch inhomogeneity for methane.</t>
    <phoneticPr fontId="4"/>
  </si>
  <si>
    <t>x'_lab</t>
    <phoneticPr fontId="4"/>
  </si>
  <si>
    <t>u(x'_lab)</t>
    <phoneticPr fontId="4"/>
  </si>
  <si>
    <t>d</t>
  </si>
  <si>
    <r>
      <rPr>
        <i/>
        <sz val="10"/>
        <rFont val="Times New Roman"/>
        <family val="1"/>
      </rPr>
      <t>u</t>
    </r>
    <r>
      <rPr>
        <sz val="10"/>
        <rFont val="Times New Roman"/>
        <family val="1"/>
      </rPr>
      <t>(</t>
    </r>
    <r>
      <rPr>
        <i/>
        <sz val="10"/>
        <rFont val="Times New Roman"/>
        <family val="1"/>
      </rPr>
      <t>d</t>
    </r>
    <r>
      <rPr>
        <sz val="10"/>
        <rFont val="Times New Roman"/>
        <family val="1"/>
      </rPr>
      <t>)</t>
    </r>
  </si>
  <si>
    <r>
      <rPr>
        <i/>
        <sz val="10"/>
        <rFont val="Times New Roman"/>
        <family val="1"/>
      </rPr>
      <t xml:space="preserve">U </t>
    </r>
    <r>
      <rPr>
        <sz val="10"/>
        <rFont val="Times New Roman"/>
        <family val="1"/>
      </rPr>
      <t>(</t>
    </r>
    <r>
      <rPr>
        <i/>
        <sz val="10"/>
        <rFont val="Times New Roman"/>
        <family val="1"/>
      </rPr>
      <t>d</t>
    </r>
    <r>
      <rPr>
        <sz val="10"/>
        <rFont val="Times New Roman"/>
        <family val="1"/>
      </rPr>
      <t>)</t>
    </r>
  </si>
  <si>
    <t>Mixture</t>
  </si>
  <si>
    <t>u(xlab)</t>
  </si>
  <si>
    <r>
      <rPr>
        <sz val="10"/>
        <color rgb="FF000000"/>
        <rFont val="ＭＳ Ｐゴシック"/>
        <family val="3"/>
        <charset val="128"/>
      </rPr>
      <t>⊿</t>
    </r>
    <r>
      <rPr>
        <sz val="10"/>
        <color rgb="FF000000"/>
        <rFont val="Times New Roman"/>
        <family val="1"/>
      </rPr>
      <t>xhom</t>
    </r>
    <phoneticPr fontId="4"/>
  </si>
  <si>
    <r>
      <t>u(</t>
    </r>
    <r>
      <rPr>
        <sz val="10"/>
        <color rgb="FF000000"/>
        <rFont val="ＭＳ Ｐゴシック"/>
        <family val="3"/>
        <charset val="128"/>
      </rPr>
      <t>⊿</t>
    </r>
    <r>
      <rPr>
        <sz val="10"/>
        <color rgb="FF000000"/>
        <rFont val="Times New Roman"/>
        <family val="1"/>
      </rPr>
      <t>xhom)</t>
    </r>
    <phoneticPr fontId="4"/>
  </si>
  <si>
    <t>TS1220</t>
  </si>
  <si>
    <t>TS1207</t>
  </si>
  <si>
    <t>TS1230</t>
  </si>
  <si>
    <t>TS1225</t>
  </si>
  <si>
    <t>TS1223</t>
  </si>
  <si>
    <t>RISE</t>
  </si>
  <si>
    <t>TS1214</t>
  </si>
  <si>
    <t>TS1195</t>
  </si>
  <si>
    <t>TS1194</t>
  </si>
  <si>
    <t>TS1221</t>
  </si>
  <si>
    <t>TS1224</t>
  </si>
  <si>
    <r>
      <t xml:space="preserve">Table  9:   Corrected  amount  fraction  of  </t>
    </r>
    <r>
      <rPr>
        <sz val="10"/>
        <color rgb="FFFF0000"/>
        <rFont val="Times New Roman"/>
        <family val="1"/>
      </rPr>
      <t>carbon  dioxide</t>
    </r>
    <r>
      <rPr>
        <sz val="10"/>
        <rFont val="Times New Roman"/>
        <family val="1"/>
      </rPr>
      <t xml:space="preserve">  from  the  participants  (</t>
    </r>
    <r>
      <rPr>
        <i/>
        <sz val="10"/>
        <rFont val="Times New Roman"/>
        <family val="1"/>
      </rPr>
      <t>x'_lab</t>
    </r>
    <r>
      <rPr>
        <sz val="10"/>
        <rFont val="Times New Roman"/>
        <family val="1"/>
      </rPr>
      <t>)</t>
    </r>
    <phoneticPr fontId="4"/>
  </si>
  <si>
    <r>
      <t xml:space="preserve">Table 17: Reported laboratory results and corrections due to batch inhomogeneity for </t>
    </r>
    <r>
      <rPr>
        <sz val="10"/>
        <color rgb="FFFF0000"/>
        <rFont val="Times New Roman"/>
        <family val="1"/>
      </rPr>
      <t>carbon dioxide.</t>
    </r>
    <phoneticPr fontId="4"/>
  </si>
  <si>
    <t>Table 10:  Corrected amount fraction of nitrogen from the participants (x'_lab)</t>
    <phoneticPr fontId="4"/>
  </si>
  <si>
    <t>Table 18: Reported laboratory results and corrections due to batch inhomogeneity for nitrogen.</t>
    <phoneticPr fontId="4"/>
  </si>
  <si>
    <r>
      <rPr>
        <sz val="10"/>
        <rFont val="Times New Roman"/>
        <family val="1"/>
      </rPr>
      <t>Table 11:  Corrected amount fraction of hydrogen from the participants (</t>
    </r>
    <r>
      <rPr>
        <i/>
        <sz val="10"/>
        <rFont val="Times New Roman"/>
        <family val="1"/>
      </rPr>
      <t>x</t>
    </r>
    <r>
      <rPr>
        <sz val="7"/>
        <rFont val="Times New Roman"/>
        <family val="1"/>
      </rPr>
      <t>l</t>
    </r>
    <r>
      <rPr>
        <i/>
        <sz val="7"/>
        <rFont val="Times New Roman"/>
        <family val="1"/>
      </rPr>
      <t>/</t>
    </r>
    <r>
      <rPr>
        <sz val="7"/>
        <rFont val="Times New Roman"/>
        <family val="1"/>
      </rPr>
      <t>ab</t>
    </r>
    <r>
      <rPr>
        <sz val="10"/>
        <rFont val="Times New Roman"/>
        <family val="1"/>
      </rPr>
      <t>)</t>
    </r>
    <phoneticPr fontId="4"/>
  </si>
  <si>
    <t>Table 19: Reported laboratory results and corrections due to batch inhomogeneity for hydrogen.</t>
    <phoneticPr fontId="4"/>
  </si>
  <si>
    <r>
      <rPr>
        <sz val="10"/>
        <rFont val="Times New Roman"/>
        <family val="1"/>
      </rPr>
      <t>Table 12:  Corrected amount fraction of oxygen from the participants (</t>
    </r>
    <r>
      <rPr>
        <i/>
        <sz val="10"/>
        <rFont val="Times New Roman"/>
        <family val="1"/>
      </rPr>
      <t>x</t>
    </r>
    <r>
      <rPr>
        <sz val="7"/>
        <rFont val="Times New Roman"/>
        <family val="1"/>
      </rPr>
      <t>l</t>
    </r>
    <r>
      <rPr>
        <i/>
        <sz val="7"/>
        <rFont val="Times New Roman"/>
        <family val="1"/>
      </rPr>
      <t>/</t>
    </r>
    <r>
      <rPr>
        <sz val="7"/>
        <rFont val="Times New Roman"/>
        <family val="1"/>
      </rPr>
      <t>ab</t>
    </r>
    <r>
      <rPr>
        <sz val="10"/>
        <rFont val="Times New Roman"/>
        <family val="1"/>
      </rPr>
      <t>)</t>
    </r>
    <phoneticPr fontId="4"/>
  </si>
  <si>
    <t>Table 20: Reported laboratory results and corrections due to batch inhomogeneity for oxygen.</t>
    <phoneticPr fontId="4"/>
  </si>
  <si>
    <r>
      <rPr>
        <sz val="10"/>
        <rFont val="Times New Roman"/>
        <family val="1"/>
      </rPr>
      <t>Table  13:  Corrected  amount  fraction  of  ethane  from  the  participants  (</t>
    </r>
    <r>
      <rPr>
        <i/>
        <sz val="10"/>
        <rFont val="Times New Roman"/>
        <family val="1"/>
      </rPr>
      <t>x</t>
    </r>
    <r>
      <rPr>
        <sz val="7"/>
        <rFont val="Times New Roman"/>
        <family val="1"/>
      </rPr>
      <t>l</t>
    </r>
    <r>
      <rPr>
        <i/>
        <sz val="7"/>
        <rFont val="Times New Roman"/>
        <family val="1"/>
      </rPr>
      <t>/</t>
    </r>
    <r>
      <rPr>
        <sz val="7"/>
        <rFont val="Times New Roman"/>
        <family val="1"/>
      </rPr>
      <t>ab</t>
    </r>
    <r>
      <rPr>
        <sz val="10"/>
        <rFont val="Times New Roman"/>
        <family val="1"/>
      </rPr>
      <t>)</t>
    </r>
    <phoneticPr fontId="4"/>
  </si>
  <si>
    <t>Table 21: Reported laboratory results and corrections due to batch inhomogeneity for ethane.</t>
    <phoneticPr fontId="4"/>
  </si>
  <si>
    <r>
      <rPr>
        <sz val="10"/>
        <rFont val="Times New Roman"/>
        <family val="1"/>
      </rPr>
      <t>Table 14:  Corrected amount fraction of propane from the participants (</t>
    </r>
    <r>
      <rPr>
        <i/>
        <sz val="10"/>
        <rFont val="Times New Roman"/>
        <family val="1"/>
      </rPr>
      <t>x</t>
    </r>
    <r>
      <rPr>
        <sz val="7"/>
        <rFont val="Times New Roman"/>
        <family val="1"/>
      </rPr>
      <t>l</t>
    </r>
    <r>
      <rPr>
        <i/>
        <sz val="7"/>
        <rFont val="Times New Roman"/>
        <family val="1"/>
      </rPr>
      <t>/</t>
    </r>
    <r>
      <rPr>
        <sz val="7"/>
        <rFont val="Times New Roman"/>
        <family val="1"/>
      </rPr>
      <t>ab</t>
    </r>
    <r>
      <rPr>
        <sz val="10"/>
        <rFont val="Times New Roman"/>
        <family val="1"/>
      </rPr>
      <t>)</t>
    </r>
    <phoneticPr fontId="4"/>
  </si>
  <si>
    <t>Table 22: Reported laboratory results and corrections due to batch inhomogeneity for propane.</t>
    <phoneticPr fontId="4"/>
  </si>
  <si>
    <t>Methane</t>
    <phoneticPr fontId="4"/>
  </si>
  <si>
    <t>Carbon  dioxide</t>
    <phoneticPr fontId="4"/>
  </si>
  <si>
    <t>Nitrogen</t>
    <phoneticPr fontId="4"/>
  </si>
  <si>
    <t>Hydrogen</t>
    <phoneticPr fontId="4"/>
  </si>
  <si>
    <t>Oxygen</t>
    <phoneticPr fontId="4"/>
  </si>
  <si>
    <t>Ethane</t>
    <phoneticPr fontId="4"/>
  </si>
  <si>
    <t>Propane</t>
    <phoneticPr fontId="4"/>
  </si>
  <si>
    <t>CCQM-K116</t>
    <phoneticPr fontId="8"/>
  </si>
  <si>
    <t>Water in N2 at 10 µmol/mol</t>
    <phoneticPr fontId="4"/>
  </si>
  <si>
    <t xml:space="preserve">The results of this key comparison can be used to support CMC claims for water vapour in air and nitrogen as a track C key comparison. </t>
    <phoneticPr fontId="4"/>
  </si>
  <si>
    <t>The support of CMC claims is described in more detail in the “GAWG strategy for comparisons and CMC claims”.[9]</t>
  </si>
  <si>
    <t xml:space="preserve">Laboratories that demonstrate equivalence with the KCRV without the inclusion of the excess variance computed from the submitted data can use their stated uncertainty as basis for supporting CMCs. </t>
    <phoneticPr fontId="4"/>
  </si>
  <si>
    <t>Laboratories that can only demonstrate equivalence including the excess variance computed for the dataset, should combine their stated uncertainty with the excess variance as basis for supporting CMCs.</t>
  </si>
  <si>
    <t>H2O</t>
    <phoneticPr fontId="4"/>
  </si>
  <si>
    <t>NMI</t>
    <phoneticPr fontId="4"/>
  </si>
  <si>
    <t>idetifier</t>
    <phoneticPr fontId="4"/>
  </si>
  <si>
    <t>cylinder</t>
    <phoneticPr fontId="4"/>
  </si>
  <si>
    <t>x_ref</t>
    <phoneticPr fontId="4"/>
  </si>
  <si>
    <t>u(x)</t>
    <phoneticPr fontId="4"/>
  </si>
  <si>
    <t>di</t>
    <phoneticPr fontId="4"/>
  </si>
  <si>
    <t>U(di)</t>
    <phoneticPr fontId="4"/>
  </si>
  <si>
    <t>F</t>
  </si>
  <si>
    <t>VNIIM</t>
    <phoneticPr fontId="4"/>
  </si>
  <si>
    <t>G</t>
  </si>
  <si>
    <t>NMIJ</t>
    <phoneticPr fontId="4"/>
  </si>
  <si>
    <t>I</t>
    <phoneticPr fontId="4"/>
  </si>
  <si>
    <t>N</t>
  </si>
  <si>
    <t>O</t>
    <phoneticPr fontId="4"/>
  </si>
  <si>
    <t>Q</t>
  </si>
  <si>
    <t>CCQM-K121</t>
  </si>
  <si>
    <t>Monoterpenes in Nitrogen at 2.5 nmol mol-1</t>
  </si>
  <si>
    <r>
      <t>This key comparison can be used to support CMC claims for the monoterpenes listed in Table 9</t>
    </r>
    <r>
      <rPr>
        <sz val="10"/>
        <color rgb="FFFF0000"/>
        <rFont val="Times New Roman"/>
        <family val="1"/>
      </rPr>
      <t xml:space="preserve"> in a balance of nitrogen</t>
    </r>
    <r>
      <rPr>
        <sz val="10"/>
        <color rgb="FF000000"/>
        <rFont val="Times New Roman"/>
        <family val="1"/>
      </rPr>
      <t xml:space="preserve">; </t>
    </r>
    <phoneticPr fontId="4"/>
  </si>
  <si>
    <t xml:space="preserve">it can also be used to extrapolate CMC claims for monoterpenes of similar difficulty (Table 10), as they have exhibited cylinder stability over time (see Figure 12). </t>
  </si>
  <si>
    <r>
      <t xml:space="preserve">Furthermore, this key comparison </t>
    </r>
    <r>
      <rPr>
        <sz val="10"/>
        <color rgb="FFFF0000"/>
        <rFont val="Times New Roman"/>
        <family val="1"/>
      </rPr>
      <t>may be</t>
    </r>
    <r>
      <rPr>
        <sz val="10"/>
        <color rgb="FF000000"/>
        <rFont val="Times New Roman"/>
        <family val="1"/>
      </rPr>
      <t xml:space="preserve"> used to extrapolate CMC claims for the above monoterpenes in a </t>
    </r>
    <r>
      <rPr>
        <sz val="10"/>
        <color rgb="FFFF0000"/>
        <rFont val="Times New Roman"/>
        <family val="1"/>
      </rPr>
      <t>matrix of synthetic dry air</t>
    </r>
    <r>
      <rPr>
        <sz val="10"/>
        <color rgb="FF000000"/>
        <rFont val="Times New Roman"/>
        <family val="1"/>
      </rPr>
      <t xml:space="preserve">, </t>
    </r>
    <phoneticPr fontId="4"/>
  </si>
  <si>
    <t>as preliminary testing demonstrates cylinder stability for approximately 300 days (Figure 13).</t>
  </si>
  <si>
    <t>Table 9. How far the light shines for the monoterpenes measured in this key comparison</t>
  </si>
  <si>
    <r>
      <t>Component</t>
    </r>
    <r>
      <rPr>
        <vertAlign val="superscript"/>
        <sz val="10"/>
        <color rgb="FF000000"/>
        <rFont val="Times New Roman"/>
        <family val="1"/>
      </rPr>
      <t>a</t>
    </r>
    <phoneticPr fontId="4"/>
  </si>
  <si>
    <t>Accepted Range of Values</t>
  </si>
  <si>
    <t>α-Pinene</t>
  </si>
  <si>
    <t>1 to 500 nmol mol-1</t>
  </si>
  <si>
    <t>3-Carene</t>
  </si>
  <si>
    <t>R-Limonene</t>
  </si>
  <si>
    <t>1,8-Cineole</t>
  </si>
  <si>
    <r>
      <rPr>
        <vertAlign val="superscript"/>
        <sz val="10"/>
        <color rgb="FF000000"/>
        <rFont val="Times New Roman"/>
        <family val="1"/>
      </rPr>
      <t xml:space="preserve">a </t>
    </r>
    <r>
      <rPr>
        <sz val="10"/>
        <color rgb="FF000000"/>
        <rFont val="Times New Roman"/>
        <family val="1"/>
      </rPr>
      <t>Monoterpene component in a balance of nitrogen or air.</t>
    </r>
    <phoneticPr fontId="4"/>
  </si>
  <si>
    <t>Table 10. How far the light shines for additional monoterpenes of similar difficulty</t>
  </si>
  <si>
    <t>β-Pinene</t>
  </si>
  <si>
    <t>Camphene</t>
  </si>
  <si>
    <t>α-Terpinene</t>
  </si>
  <si>
    <t>p-Cymene</t>
  </si>
  <si>
    <t>u(x_ref)</t>
    <phoneticPr fontId="4"/>
  </si>
  <si>
    <t>Original Data</t>
    <phoneticPr fontId="4"/>
  </si>
  <si>
    <t>KCRVb</t>
  </si>
  <si>
    <t>Measurement</t>
  </si>
  <si>
    <t>Degree of Equivalence</t>
  </si>
  <si>
    <t>U(xKCRV)</t>
  </si>
  <si>
    <t>xi</t>
  </si>
  <si>
    <t>U(xi)</t>
  </si>
  <si>
    <t>U(di)</t>
  </si>
  <si>
    <t>APE1145320</t>
    <phoneticPr fontId="4"/>
  </si>
  <si>
    <t>NIST</t>
    <phoneticPr fontId="4"/>
  </si>
  <si>
    <t>APE1145321</t>
  </si>
  <si>
    <t>NPL</t>
    <phoneticPr fontId="4"/>
  </si>
  <si>
    <t>APE1145315</t>
    <phoneticPr fontId="4"/>
  </si>
  <si>
    <r>
      <rPr>
        <sz val="12"/>
        <rFont val="Times New Roman"/>
        <family val="1"/>
      </rPr>
      <t>Ne</t>
    </r>
  </si>
  <si>
    <r>
      <rPr>
        <sz val="12"/>
        <rFont val="Times New Roman"/>
        <family val="1"/>
      </rPr>
      <t>Ar</t>
    </r>
  </si>
  <si>
    <r>
      <rPr>
        <sz val="12"/>
        <rFont val="Times New Roman"/>
        <family val="1"/>
      </rPr>
      <t>Kr</t>
    </r>
  </si>
  <si>
    <r>
      <rPr>
        <sz val="12"/>
        <rFont val="Times New Roman"/>
        <family val="1"/>
      </rPr>
      <t>Xe</t>
    </r>
  </si>
  <si>
    <r>
      <rPr>
        <i/>
        <vertAlign val="superscript"/>
        <sz val="12"/>
        <rFont val="Times New Roman"/>
        <family val="1"/>
      </rPr>
      <t>x</t>
    </r>
    <r>
      <rPr>
        <i/>
        <sz val="8"/>
        <rFont val="Times New Roman"/>
        <family val="1"/>
      </rPr>
      <t>i,ref</t>
    </r>
  </si>
  <si>
    <r>
      <rPr>
        <i/>
        <vertAlign val="superscript"/>
        <sz val="12"/>
        <rFont val="Times New Roman"/>
        <family val="1"/>
      </rPr>
      <t>u</t>
    </r>
    <r>
      <rPr>
        <i/>
        <sz val="8"/>
        <rFont val="Times New Roman"/>
        <family val="1"/>
      </rPr>
      <t>i,prep</t>
    </r>
  </si>
  <si>
    <r>
      <rPr>
        <i/>
        <vertAlign val="superscript"/>
        <sz val="12"/>
        <rFont val="Times New Roman"/>
        <family val="1"/>
      </rPr>
      <t>u</t>
    </r>
    <r>
      <rPr>
        <i/>
        <sz val="8"/>
        <rFont val="Times New Roman"/>
        <family val="1"/>
      </rPr>
      <t>i,ver</t>
    </r>
  </si>
  <si>
    <r>
      <rPr>
        <sz val="9"/>
        <rFont val="Times New Roman"/>
        <family val="1"/>
      </rPr>
      <t>D081237</t>
    </r>
  </si>
  <si>
    <r>
      <rPr>
        <sz val="9"/>
        <rFont val="Times New Roman"/>
        <family val="1"/>
      </rPr>
      <t>D929255</t>
    </r>
  </si>
  <si>
    <r>
      <rPr>
        <sz val="9"/>
        <rFont val="Times New Roman"/>
        <family val="1"/>
      </rPr>
      <t>D014941</t>
    </r>
  </si>
  <si>
    <r>
      <rPr>
        <sz val="9"/>
        <rFont val="Times New Roman"/>
        <family val="1"/>
      </rPr>
      <t>D068095</t>
    </r>
  </si>
  <si>
    <r>
      <rPr>
        <i/>
        <vertAlign val="superscript"/>
        <sz val="12"/>
        <rFont val="Times New Roman"/>
        <family val="1"/>
      </rPr>
      <t>x</t>
    </r>
    <r>
      <rPr>
        <i/>
        <sz val="8"/>
        <rFont val="Times New Roman"/>
        <family val="1"/>
      </rPr>
      <t>i,lab</t>
    </r>
  </si>
  <si>
    <r>
      <rPr>
        <i/>
        <vertAlign val="superscript"/>
        <sz val="12"/>
        <rFont val="Times New Roman"/>
        <family val="1"/>
      </rPr>
      <t>u</t>
    </r>
    <r>
      <rPr>
        <i/>
        <sz val="8"/>
        <rFont val="Times New Roman"/>
        <family val="1"/>
      </rPr>
      <t>i,lab</t>
    </r>
  </si>
  <si>
    <r>
      <rPr>
        <sz val="9"/>
        <rFont val="Times New Roman"/>
        <family val="1"/>
      </rPr>
      <t>NIM</t>
    </r>
  </si>
  <si>
    <r>
      <rPr>
        <i/>
        <vertAlign val="superscript"/>
        <sz val="12"/>
        <rFont val="Times New Roman"/>
        <family val="1"/>
      </rPr>
      <t>D</t>
    </r>
    <r>
      <rPr>
        <i/>
        <sz val="8"/>
        <rFont val="Times New Roman"/>
        <family val="1"/>
      </rPr>
      <t>i</t>
    </r>
  </si>
  <si>
    <r>
      <rPr>
        <i/>
        <vertAlign val="superscript"/>
        <sz val="12"/>
        <rFont val="Times New Roman"/>
        <family val="1"/>
      </rPr>
      <t>u(D</t>
    </r>
    <r>
      <rPr>
        <i/>
        <sz val="8"/>
        <rFont val="Times New Roman"/>
        <family val="1"/>
      </rPr>
      <t>i</t>
    </r>
    <r>
      <rPr>
        <i/>
        <vertAlign val="superscript"/>
        <sz val="12"/>
        <rFont val="Times New Roman"/>
        <family val="1"/>
      </rPr>
      <t>)</t>
    </r>
  </si>
  <si>
    <r>
      <rPr>
        <sz val="12"/>
        <rFont val="Times New Roman"/>
        <family val="1"/>
      </rPr>
      <t xml:space="preserve">In figure 1, the degrees of equivalence for each component are aggregated. In case of partial participation, only reported results are given relative to the reference value of which uncertainties are given at 95 % level of confidence. The uncertainties given are the standard
</t>
    </r>
    <r>
      <rPr>
        <vertAlign val="superscript"/>
        <sz val="12"/>
        <rFont val="Times New Roman"/>
        <family val="1"/>
      </rPr>
      <t>uncertainty of difference (</t>
    </r>
    <r>
      <rPr>
        <i/>
        <vertAlign val="superscript"/>
        <sz val="12"/>
        <rFont val="Times New Roman"/>
        <family val="1"/>
      </rPr>
      <t>D</t>
    </r>
    <r>
      <rPr>
        <i/>
        <sz val="8"/>
        <rFont val="Times New Roman"/>
        <family val="1"/>
      </rPr>
      <t>i</t>
    </r>
    <r>
      <rPr>
        <vertAlign val="superscript"/>
        <sz val="12"/>
        <rFont val="Times New Roman"/>
        <family val="1"/>
      </rPr>
      <t>) between the laboratory result and the reference value. All results of D014941 bias positively from the KCRV.</t>
    </r>
  </si>
  <si>
    <t>Cyl.</t>
    <phoneticPr fontId="4"/>
  </si>
  <si>
    <t>Lab</t>
    <phoneticPr fontId="4"/>
  </si>
  <si>
    <r>
      <rPr>
        <sz val="10"/>
        <rFont val="Times New Roman"/>
        <family val="1"/>
      </rPr>
      <t>Table 53. Reference values (</t>
    </r>
    <r>
      <rPr>
        <i/>
        <sz val="10"/>
        <rFont val="Times New Roman"/>
        <family val="1"/>
      </rPr>
      <t>xref</t>
    </r>
    <r>
      <rPr>
        <sz val="10"/>
        <rFont val="Times New Roman"/>
        <family val="1"/>
      </rPr>
      <t>) associated with preparation (</t>
    </r>
    <r>
      <rPr>
        <i/>
        <sz val="10"/>
        <rFont val="Times New Roman"/>
        <family val="1"/>
      </rPr>
      <t>uprep</t>
    </r>
    <r>
      <rPr>
        <sz val="10"/>
        <rFont val="Times New Roman"/>
        <family val="1"/>
      </rPr>
      <t>) and verification (</t>
    </r>
    <r>
      <rPr>
        <i/>
        <sz val="10"/>
        <rFont val="Times New Roman"/>
        <family val="1"/>
      </rPr>
      <t>uver</t>
    </r>
    <r>
      <rPr>
        <sz val="10"/>
        <rFont val="Times New Roman"/>
        <family val="1"/>
      </rPr>
      <t xml:space="preserve">) uncertainties of cylinder </t>
    </r>
    <r>
      <rPr>
        <i/>
        <sz val="10"/>
        <rFont val="Times New Roman"/>
        <family val="1"/>
      </rPr>
      <t>i</t>
    </r>
    <r>
      <rPr>
        <sz val="10"/>
        <rFont val="Times New Roman"/>
        <family val="1"/>
      </rPr>
      <t xml:space="preserve">. Amount-of- substance fractions are given </t>
    </r>
    <r>
      <rPr>
        <sz val="10"/>
        <color rgb="FFFF0000"/>
        <rFont val="Times New Roman"/>
        <family val="1"/>
      </rPr>
      <t>in %</t>
    </r>
    <r>
      <rPr>
        <sz val="10"/>
        <rFont val="Times New Roman"/>
        <family val="1"/>
      </rPr>
      <t>. Uncertainties are denoted with % relative (</t>
    </r>
    <r>
      <rPr>
        <i/>
        <sz val="10"/>
        <color rgb="FFFF0000"/>
        <rFont val="Times New Roman"/>
        <family val="1"/>
      </rPr>
      <t>k</t>
    </r>
    <r>
      <rPr>
        <sz val="10"/>
        <color rgb="FFFF0000"/>
        <rFont val="Times New Roman"/>
        <family val="1"/>
      </rPr>
      <t>=1</t>
    </r>
    <r>
      <rPr>
        <sz val="10"/>
        <rFont val="Times New Roman"/>
        <family val="1"/>
      </rPr>
      <t>).</t>
    </r>
    <phoneticPr fontId="4"/>
  </si>
  <si>
    <r>
      <rPr>
        <sz val="10"/>
        <rFont val="Times New Roman"/>
        <family val="1"/>
      </rPr>
      <t>Table 6. Reported values from participating laboratories (</t>
    </r>
    <r>
      <rPr>
        <i/>
        <sz val="10"/>
        <rFont val="Times New Roman"/>
        <family val="1"/>
      </rPr>
      <t>xlab</t>
    </r>
    <r>
      <rPr>
        <sz val="10"/>
        <rFont val="Times New Roman"/>
        <family val="1"/>
      </rPr>
      <t>) associated with uncertainties (</t>
    </r>
    <r>
      <rPr>
        <i/>
        <sz val="10"/>
        <rFont val="Times New Roman"/>
        <family val="1"/>
      </rPr>
      <t>ulab</t>
    </r>
    <r>
      <rPr>
        <sz val="10"/>
        <rFont val="Times New Roman"/>
        <family val="1"/>
      </rPr>
      <t xml:space="preserve">) of cylinder </t>
    </r>
    <r>
      <rPr>
        <i/>
        <sz val="10"/>
        <rFont val="Times New Roman"/>
        <family val="1"/>
      </rPr>
      <t>i</t>
    </r>
    <r>
      <rPr>
        <sz val="10"/>
        <rFont val="Times New Roman"/>
        <family val="1"/>
      </rPr>
      <t xml:space="preserve">. Amount-of- substance fractions are given </t>
    </r>
    <r>
      <rPr>
        <sz val="10"/>
        <color rgb="FFFF0000"/>
        <rFont val="Times New Roman"/>
        <family val="1"/>
      </rPr>
      <t>in %</t>
    </r>
    <r>
      <rPr>
        <sz val="10"/>
        <rFont val="Times New Roman"/>
        <family val="1"/>
      </rPr>
      <t>. Uncertainties are denoted at (</t>
    </r>
    <r>
      <rPr>
        <i/>
        <sz val="10"/>
        <color rgb="FFFF0000"/>
        <rFont val="Times New Roman"/>
        <family val="1"/>
      </rPr>
      <t>k</t>
    </r>
    <r>
      <rPr>
        <sz val="10"/>
        <color rgb="FFFF0000"/>
        <rFont val="Times New Roman"/>
        <family val="1"/>
      </rPr>
      <t>=2</t>
    </r>
    <r>
      <rPr>
        <sz val="10"/>
        <rFont val="Times New Roman"/>
        <family val="1"/>
      </rPr>
      <t>). In case of partial participation, only reported results are shown.</t>
    </r>
    <phoneticPr fontId="4"/>
  </si>
  <si>
    <r>
      <rPr>
        <sz val="10"/>
        <rFont val="Times New Roman"/>
        <family val="1"/>
      </rPr>
      <t>Table 7. Degrees of equivalence with uncertainties (</t>
    </r>
    <r>
      <rPr>
        <i/>
        <sz val="10"/>
        <color rgb="FFFF0000"/>
        <rFont val="Times New Roman"/>
        <family val="1"/>
      </rPr>
      <t>k</t>
    </r>
    <r>
      <rPr>
        <sz val="10"/>
        <color rgb="FFFF0000"/>
        <rFont val="Times New Roman"/>
        <family val="1"/>
      </rPr>
      <t>=2</t>
    </r>
    <r>
      <rPr>
        <sz val="10"/>
        <rFont val="Times New Roman"/>
        <family val="1"/>
      </rPr>
      <t xml:space="preserve">). In case of partial participation, only reported result are shown. Amount-of- substance </t>
    </r>
    <r>
      <rPr>
        <u/>
        <sz val="10"/>
        <rFont val="Times New Roman"/>
        <family val="1"/>
      </rPr>
      <t>fractions are given </t>
    </r>
    <r>
      <rPr>
        <u/>
        <sz val="10"/>
        <color rgb="FFFF0000"/>
        <rFont val="Times New Roman"/>
        <family val="1"/>
      </rPr>
      <t>in %</t>
    </r>
    <r>
      <rPr>
        <u/>
        <sz val="10"/>
        <rFont val="Times New Roman"/>
        <family val="1"/>
      </rPr>
      <t>.</t>
    </r>
    <phoneticPr fontId="4"/>
  </si>
  <si>
    <t>Neon</t>
    <phoneticPr fontId="4"/>
  </si>
  <si>
    <t>Unit : cmol/mol</t>
    <phoneticPr fontId="4"/>
  </si>
  <si>
    <t>Xe</t>
    <phoneticPr fontId="4"/>
  </si>
  <si>
    <t>Argon</t>
    <phoneticPr fontId="4"/>
  </si>
  <si>
    <t>Kr</t>
    <phoneticPr fontId="4"/>
  </si>
  <si>
    <r>
      <rPr>
        <i/>
        <vertAlign val="superscript"/>
        <sz val="12"/>
        <rFont val="Times New Roman"/>
        <family val="1"/>
      </rPr>
      <t>U</t>
    </r>
    <r>
      <rPr>
        <i/>
        <sz val="8"/>
        <rFont val="Times New Roman"/>
        <family val="1"/>
      </rPr>
      <t>i,lab</t>
    </r>
    <phoneticPr fontId="4"/>
  </si>
  <si>
    <r>
      <rPr>
        <i/>
        <vertAlign val="superscript"/>
        <sz val="12"/>
        <rFont val="Times New Roman"/>
        <family val="1"/>
      </rPr>
      <t>U(D</t>
    </r>
    <r>
      <rPr>
        <i/>
        <sz val="8"/>
        <rFont val="Times New Roman"/>
        <family val="1"/>
      </rPr>
      <t>i</t>
    </r>
    <r>
      <rPr>
        <i/>
        <vertAlign val="superscript"/>
        <sz val="12"/>
        <rFont val="Times New Roman"/>
        <family val="1"/>
      </rPr>
      <t>)</t>
    </r>
    <phoneticPr fontId="4"/>
  </si>
  <si>
    <t>CCQM
K 113</t>
    <phoneticPr fontId="8"/>
  </si>
  <si>
    <t xml:space="preserve">This key comparison will support the measurement capabilities, </t>
    <phoneticPr fontId="4"/>
  </si>
  <si>
    <t xml:space="preserve">which can be used to support C alibration and Measurement Capabilities (CMC) claims, </t>
    <phoneticPr fontId="4"/>
  </si>
  <si>
    <t>In case of partial participation, CMC claims should be adjusted accordingly.</t>
    <phoneticPr fontId="4"/>
  </si>
  <si>
    <t>Noble gases in Helium at cmol/mol level</t>
    <phoneticPr fontId="4"/>
  </si>
  <si>
    <r>
      <t xml:space="preserve">for </t>
    </r>
    <r>
      <rPr>
        <sz val="10"/>
        <rFont val="Times New Roman"/>
        <family val="1"/>
      </rPr>
      <t>the</t>
    </r>
    <r>
      <rPr>
        <sz val="10"/>
        <color rgb="FFFF0000"/>
        <rFont val="Times New Roman"/>
        <family val="1"/>
      </rPr>
      <t xml:space="preserve"> mixture of Xenon, Krypton, Neon, Argon and Helium</t>
    </r>
    <r>
      <rPr>
        <sz val="10"/>
        <color rgb="FF000000"/>
        <rFont val="Times New Roman"/>
        <family val="1"/>
      </rPr>
      <t xml:space="preserve"> from 1 mmol/mol to 960 mmol/mol.</t>
    </r>
    <phoneticPr fontId="4"/>
  </si>
  <si>
    <t>Nitrogen dioxide at 10 µmol/mol</t>
    <phoneticPr fontId="4"/>
  </si>
  <si>
    <t>The results of this key comparison can be used to support CMC claims for analytical</t>
  </si>
  <si>
    <t>1000 μmol/mol.</t>
  </si>
  <si>
    <r>
      <t xml:space="preserve">capabilities for </t>
    </r>
    <r>
      <rPr>
        <sz val="10"/>
        <color rgb="FFFF0000"/>
        <rFont val="Times New Roman"/>
        <family val="1"/>
      </rPr>
      <t>NO2 in nitrogen and synthetic air</t>
    </r>
    <r>
      <rPr>
        <sz val="10"/>
        <rFont val="Times New Roman"/>
        <family val="1"/>
      </rPr>
      <t xml:space="preserve"> mixtures in the range 10 μmol/mol to</t>
    </r>
    <phoneticPr fontId="4"/>
  </si>
  <si>
    <t>CCQM-K74</t>
    <phoneticPr fontId="8"/>
  </si>
  <si>
    <r>
      <rPr>
        <sz val="10"/>
        <rFont val="Arial"/>
        <family val="2"/>
      </rPr>
      <t>Laboratory</t>
    </r>
  </si>
  <si>
    <r>
      <rPr>
        <sz val="10"/>
        <rFont val="Arial"/>
        <family val="2"/>
      </rPr>
      <t>Cylinder</t>
    </r>
  </si>
  <si>
    <r>
      <rPr>
        <sz val="10"/>
        <rFont val="Arial"/>
        <family val="2"/>
      </rPr>
      <t xml:space="preserve">BIPM
</t>
    </r>
    <r>
      <rPr>
        <i/>
        <vertAlign val="superscript"/>
        <sz val="10"/>
        <rFont val="Times New Roman"/>
        <family val="1"/>
      </rPr>
      <t>x</t>
    </r>
    <r>
      <rPr>
        <sz val="6.5"/>
        <rFont val="Times New Roman"/>
        <family val="1"/>
      </rPr>
      <t>KCRV</t>
    </r>
  </si>
  <si>
    <r>
      <rPr>
        <i/>
        <sz val="10"/>
        <rFont val="Times New Roman"/>
        <family val="1"/>
      </rPr>
      <t>u</t>
    </r>
    <r>
      <rPr>
        <sz val="10"/>
        <rFont val="Times New Roman"/>
        <family val="1"/>
      </rPr>
      <t>(</t>
    </r>
    <r>
      <rPr>
        <i/>
        <sz val="10"/>
        <rFont val="Times New Roman"/>
        <family val="1"/>
      </rPr>
      <t>x</t>
    </r>
    <r>
      <rPr>
        <vertAlign val="subscript"/>
        <sz val="10"/>
        <rFont val="Times New Roman"/>
        <family val="1"/>
      </rPr>
      <t>KCRV</t>
    </r>
    <r>
      <rPr>
        <sz val="10"/>
        <rFont val="Times New Roman"/>
        <family val="1"/>
      </rPr>
      <t>)</t>
    </r>
  </si>
  <si>
    <r>
      <rPr>
        <i/>
        <vertAlign val="superscript"/>
        <sz val="10"/>
        <rFont val="Times New Roman"/>
        <family val="1"/>
      </rPr>
      <t>x</t>
    </r>
    <r>
      <rPr>
        <sz val="6.5"/>
        <rFont val="Times New Roman"/>
        <family val="1"/>
      </rPr>
      <t>Lab</t>
    </r>
  </si>
  <si>
    <r>
      <rPr>
        <i/>
        <sz val="10"/>
        <rFont val="Times New Roman"/>
        <family val="1"/>
      </rPr>
      <t>u</t>
    </r>
    <r>
      <rPr>
        <sz val="10"/>
        <rFont val="Times New Roman"/>
        <family val="1"/>
      </rPr>
      <t>(</t>
    </r>
    <r>
      <rPr>
        <i/>
        <sz val="10"/>
        <rFont val="Times New Roman"/>
        <family val="1"/>
      </rPr>
      <t>x</t>
    </r>
    <r>
      <rPr>
        <vertAlign val="subscript"/>
        <sz val="10"/>
        <rFont val="Times New Roman"/>
        <family val="1"/>
      </rPr>
      <t>Lab</t>
    </r>
    <r>
      <rPr>
        <sz val="10"/>
        <rFont val="Times New Roman"/>
        <family val="1"/>
      </rPr>
      <t>)</t>
    </r>
  </si>
  <si>
    <r>
      <rPr>
        <sz val="10"/>
        <rFont val="Arial"/>
        <family val="2"/>
      </rPr>
      <t xml:space="preserve">Participants
</t>
    </r>
    <r>
      <rPr>
        <i/>
        <vertAlign val="superscript"/>
        <sz val="10"/>
        <rFont val="Times New Roman"/>
        <family val="1"/>
      </rPr>
      <t>D</t>
    </r>
    <r>
      <rPr>
        <vertAlign val="superscript"/>
        <sz val="10"/>
        <rFont val="Times New Roman"/>
        <family val="1"/>
      </rPr>
      <t xml:space="preserve">( </t>
    </r>
    <r>
      <rPr>
        <i/>
        <vertAlign val="superscript"/>
        <sz val="10"/>
        <rFont val="Times New Roman"/>
        <family val="1"/>
      </rPr>
      <t>x</t>
    </r>
    <r>
      <rPr>
        <sz val="6.5"/>
        <rFont val="Times New Roman"/>
        <family val="1"/>
      </rPr>
      <t xml:space="preserve">Lab-   </t>
    </r>
    <r>
      <rPr>
        <i/>
        <vertAlign val="superscript"/>
        <sz val="10"/>
        <rFont val="Times New Roman"/>
        <family val="1"/>
      </rPr>
      <t>x</t>
    </r>
    <r>
      <rPr>
        <sz val="6.5"/>
        <rFont val="Times New Roman"/>
        <family val="1"/>
      </rPr>
      <t>KCRV</t>
    </r>
  </si>
  <si>
    <r>
      <rPr>
        <sz val="10"/>
        <rFont val="Times New Roman"/>
        <family val="1"/>
      </rPr>
      <t>)</t>
    </r>
  </si>
  <si>
    <r>
      <rPr>
        <i/>
        <sz val="10"/>
        <rFont val="Times New Roman"/>
        <family val="1"/>
      </rPr>
      <t>u</t>
    </r>
    <r>
      <rPr>
        <sz val="10"/>
        <rFont val="Times New Roman"/>
        <family val="1"/>
      </rPr>
      <t>(</t>
    </r>
    <r>
      <rPr>
        <i/>
        <sz val="10"/>
        <rFont val="Times New Roman"/>
        <family val="1"/>
      </rPr>
      <t>D</t>
    </r>
    <r>
      <rPr>
        <sz val="10"/>
        <rFont val="Times New Roman"/>
        <family val="1"/>
      </rPr>
      <t>)</t>
    </r>
  </si>
  <si>
    <r>
      <rPr>
        <i/>
        <sz val="10"/>
        <rFont val="Times New Roman"/>
        <family val="1"/>
      </rPr>
      <t>U</t>
    </r>
    <r>
      <rPr>
        <sz val="10"/>
        <rFont val="Times New Roman"/>
        <family val="1"/>
      </rPr>
      <t>(</t>
    </r>
    <r>
      <rPr>
        <i/>
        <sz val="10"/>
        <rFont val="Times New Roman"/>
        <family val="1"/>
      </rPr>
      <t>D</t>
    </r>
    <r>
      <rPr>
        <sz val="10"/>
        <rFont val="Times New Roman"/>
        <family val="1"/>
      </rPr>
      <t xml:space="preserve">)
</t>
    </r>
    <r>
      <rPr>
        <i/>
        <sz val="10"/>
        <rFont val="Arial"/>
        <family val="2"/>
      </rPr>
      <t>(k=2)</t>
    </r>
  </si>
  <si>
    <r>
      <rPr>
        <sz val="9"/>
        <rFont val="Times New Roman"/>
        <family val="1"/>
      </rPr>
      <t>#930659-PRM</t>
    </r>
  </si>
  <si>
    <r>
      <rPr>
        <sz val="9"/>
        <rFont val="Times New Roman"/>
        <family val="1"/>
      </rPr>
      <t>#930650-PRM</t>
    </r>
  </si>
  <si>
    <r>
      <rPr>
        <sz val="9"/>
        <rFont val="Times New Roman"/>
        <family val="1"/>
      </rPr>
      <t>#930655-PRM</t>
    </r>
  </si>
  <si>
    <r>
      <rPr>
        <sz val="9"/>
        <rFont val="Times New Roman"/>
        <family val="1"/>
      </rPr>
      <t>#930662-PRM</t>
    </r>
  </si>
  <si>
    <r>
      <rPr>
        <sz val="10"/>
        <rFont val="Times New Roman"/>
        <family val="1"/>
      </rPr>
      <t>NMISA</t>
    </r>
  </si>
  <si>
    <r>
      <rPr>
        <sz val="9"/>
        <rFont val="Times New Roman"/>
        <family val="1"/>
      </rPr>
      <t>#930649-PRM</t>
    </r>
  </si>
  <si>
    <r>
      <rPr>
        <sz val="9"/>
        <rFont val="Times New Roman"/>
        <family val="1"/>
      </rPr>
      <t>#930671-PRM</t>
    </r>
  </si>
  <si>
    <r>
      <rPr>
        <sz val="10"/>
        <rFont val="Times New Roman"/>
        <family val="1"/>
      </rPr>
      <t>METAS</t>
    </r>
  </si>
  <si>
    <r>
      <rPr>
        <sz val="9"/>
        <rFont val="Times New Roman"/>
        <family val="1"/>
      </rPr>
      <t>#930660-PRM</t>
    </r>
  </si>
  <si>
    <r>
      <rPr>
        <sz val="10"/>
        <rFont val="Times New Roman"/>
        <family val="1"/>
      </rPr>
      <t>INRIM</t>
    </r>
  </si>
  <si>
    <r>
      <rPr>
        <sz val="9"/>
        <rFont val="Times New Roman"/>
        <family val="1"/>
      </rPr>
      <t>#930667-PRM</t>
    </r>
  </si>
  <si>
    <r>
      <rPr>
        <sz val="9"/>
        <rFont val="Times New Roman"/>
        <family val="1"/>
      </rPr>
      <t>#930661-PRM</t>
    </r>
  </si>
  <si>
    <r>
      <rPr>
        <sz val="9"/>
        <rFont val="Times New Roman"/>
        <family val="1"/>
      </rPr>
      <t>#930673-PRM</t>
    </r>
  </si>
  <si>
    <r>
      <rPr>
        <sz val="9"/>
        <rFont val="Times New Roman"/>
        <family val="1"/>
      </rPr>
      <t>#930675-PRM</t>
    </r>
  </si>
  <si>
    <r>
      <rPr>
        <sz val="9"/>
        <rFont val="Times New Roman"/>
        <family val="1"/>
      </rPr>
      <t>#930654-PRM</t>
    </r>
  </si>
  <si>
    <r>
      <rPr>
        <sz val="10"/>
        <rFont val="Times New Roman"/>
        <family val="1"/>
      </rPr>
      <t>VSL</t>
    </r>
  </si>
  <si>
    <r>
      <rPr>
        <sz val="9"/>
        <rFont val="Times New Roman"/>
        <family val="1"/>
      </rPr>
      <t>#930674-PRM</t>
    </r>
  </si>
  <si>
    <r>
      <rPr>
        <sz val="9"/>
        <rFont val="Times New Roman"/>
        <family val="1"/>
      </rPr>
      <t>#930676-PRM</t>
    </r>
  </si>
  <si>
    <r>
      <rPr>
        <sz val="9"/>
        <rFont val="Times New Roman"/>
        <family val="1"/>
      </rPr>
      <t>#930713-PRM</t>
    </r>
  </si>
  <si>
    <r>
      <rPr>
        <sz val="9"/>
        <rFont val="Times New Roman"/>
        <family val="1"/>
      </rPr>
      <t>#930722-PRM</t>
    </r>
  </si>
  <si>
    <r>
      <rPr>
        <sz val="10"/>
        <rFont val="Times New Roman"/>
        <family val="1"/>
      </rPr>
      <t>BIPM</t>
    </r>
  </si>
  <si>
    <r>
      <rPr>
        <sz val="9"/>
        <rFont val="Times New Roman"/>
        <family val="1"/>
      </rPr>
      <t>#930697-PRM</t>
    </r>
  </si>
  <si>
    <r>
      <rPr>
        <i/>
        <sz val="10"/>
        <rFont val="Times New Roman"/>
        <family val="1"/>
      </rPr>
      <t>Table 7.  Laboratory results for nitrogen dioxide measurements (μmol/mol).</t>
    </r>
  </si>
  <si>
    <t>CCQM-K23.ac</t>
    <phoneticPr fontId="8"/>
  </si>
  <si>
    <t>CCQM-K68</t>
    <phoneticPr fontId="8"/>
  </si>
  <si>
    <r>
      <rPr>
        <i/>
        <sz val="10"/>
        <rFont val="Times New Roman"/>
        <family val="1"/>
      </rPr>
      <t>ui,grav</t>
    </r>
  </si>
  <si>
    <r>
      <rPr>
        <i/>
        <sz val="10"/>
        <rFont val="Times New Roman"/>
        <family val="1"/>
      </rPr>
      <t>ui,ver</t>
    </r>
  </si>
  <si>
    <r>
      <rPr>
        <i/>
        <sz val="10"/>
        <rFont val="Times New Roman"/>
        <family val="1"/>
      </rPr>
      <t>ui,ref</t>
    </r>
  </si>
  <si>
    <r>
      <rPr>
        <i/>
        <sz val="10"/>
        <rFont val="Times New Roman"/>
        <family val="1"/>
      </rPr>
      <t>xi,lab</t>
    </r>
  </si>
  <si>
    <r>
      <rPr>
        <i/>
        <sz val="10"/>
        <rFont val="Times New Roman"/>
        <family val="1"/>
      </rPr>
      <t>ui,lab</t>
    </r>
  </si>
  <si>
    <r>
      <rPr>
        <i/>
        <sz val="10"/>
        <rFont val="Times New Roman"/>
        <family val="1"/>
      </rPr>
      <t>Di</t>
    </r>
  </si>
  <si>
    <r>
      <rPr>
        <i/>
        <sz val="10"/>
        <rFont val="Times New Roman"/>
        <family val="1"/>
      </rPr>
      <t>U(Di)</t>
    </r>
  </si>
  <si>
    <r>
      <rPr>
        <i/>
        <sz val="10"/>
        <rFont val="Times New Roman"/>
        <family val="1"/>
      </rPr>
      <t>Di,rel</t>
    </r>
  </si>
  <si>
    <r>
      <rPr>
        <i/>
        <sz val="10"/>
        <rFont val="Times New Roman"/>
        <family val="1"/>
      </rPr>
      <t>U(Di)rel</t>
    </r>
  </si>
  <si>
    <t>BelGIM</t>
  </si>
  <si>
    <t>Ukrmetrtestst andard</t>
  </si>
  <si>
    <t>COOMET.QM-K76</t>
  </si>
  <si>
    <t>Table 2 -Results : umol/mol</t>
    <phoneticPr fontId="4"/>
  </si>
  <si>
    <t>xi,grav</t>
    <phoneticPr fontId="4"/>
  </si>
  <si>
    <t>D248475</t>
  </si>
  <si>
    <t>D248464</t>
  </si>
  <si>
    <t>S198746</t>
  </si>
  <si>
    <t>S198760</t>
  </si>
  <si>
    <t>COOMET.QM-K111</t>
  </si>
  <si>
    <t>Table 4: Results of COOMET.QM-K111</t>
  </si>
  <si>
    <t>xi,ref(umol/mol)</t>
    <phoneticPr fontId="4"/>
  </si>
  <si>
    <r>
      <rPr>
        <b/>
        <sz val="10"/>
        <rFont val="Times New Roman"/>
        <family val="1"/>
      </rPr>
      <t>ui.prep</t>
    </r>
  </si>
  <si>
    <r>
      <rPr>
        <b/>
        <sz val="10"/>
        <rFont val="Times New Roman"/>
        <family val="1"/>
      </rPr>
      <t>ui,ver</t>
    </r>
  </si>
  <si>
    <r>
      <rPr>
        <b/>
        <sz val="10"/>
        <rFont val="Times New Roman"/>
        <family val="1"/>
      </rPr>
      <t>ui,ref</t>
    </r>
  </si>
  <si>
    <r>
      <rPr>
        <b/>
        <sz val="10"/>
        <rFont val="Times New Roman"/>
        <family val="1"/>
      </rPr>
      <t>xi,lab</t>
    </r>
  </si>
  <si>
    <r>
      <rPr>
        <b/>
        <sz val="10"/>
        <rFont val="Times New Roman"/>
        <family val="1"/>
      </rPr>
      <t>Ui,lab</t>
    </r>
  </si>
  <si>
    <r>
      <rPr>
        <b/>
        <sz val="10"/>
        <rFont val="Times New Roman"/>
        <family val="1"/>
      </rPr>
      <t>ki,lab</t>
    </r>
  </si>
  <si>
    <r>
      <rPr>
        <b/>
        <sz val="10"/>
        <rFont val="Times New Roman"/>
        <family val="1"/>
      </rPr>
      <t>di</t>
    </r>
  </si>
  <si>
    <r>
      <rPr>
        <b/>
        <sz val="10"/>
        <rFont val="Times New Roman"/>
        <family val="1"/>
      </rPr>
      <t>U(di)</t>
    </r>
  </si>
  <si>
    <t>D158049</t>
  </si>
  <si>
    <t>D158025</t>
  </si>
  <si>
    <r>
      <rPr>
        <sz val="10"/>
        <rFont val="Times New Roman"/>
        <family val="1"/>
      </rPr>
      <t>Ukrmetrtest
-standart</t>
    </r>
  </si>
  <si>
    <t>D158027</t>
  </si>
  <si>
    <t>D158053</t>
  </si>
  <si>
    <t>MKEH</t>
  </si>
  <si>
    <t>EURAMET.QM-K26a</t>
  </si>
  <si>
    <t xml:space="preserve">NO/N2 : </t>
  </si>
  <si>
    <r>
      <rPr>
        <b/>
        <sz val="10"/>
        <color rgb="FF161616"/>
        <rFont val="Times New Roman"/>
        <family val="1"/>
      </rPr>
      <t xml:space="preserve">Table 2  </t>
    </r>
    <r>
      <rPr>
        <b/>
        <sz val="10"/>
        <color rgb="FF242424"/>
        <rFont val="Times New Roman"/>
        <family val="1"/>
      </rPr>
      <t xml:space="preserve">Estimated  </t>
    </r>
    <r>
      <rPr>
        <b/>
        <sz val="10"/>
        <color rgb="FF161616"/>
        <rFont val="Times New Roman"/>
        <family val="1"/>
      </rPr>
      <t xml:space="preserve">drift,  </t>
    </r>
    <r>
      <rPr>
        <b/>
        <i/>
        <sz val="10"/>
        <color rgb="FF161616"/>
        <rFont val="Times New Roman"/>
        <family val="1"/>
      </rPr>
      <t xml:space="preserve">m,-, </t>
    </r>
    <r>
      <rPr>
        <b/>
        <sz val="10"/>
        <color rgb="FF161616"/>
        <rFont val="Times New Roman"/>
        <family val="1"/>
      </rPr>
      <t xml:space="preserve">for each  travelling  </t>
    </r>
    <r>
      <rPr>
        <b/>
        <sz val="10"/>
        <color rgb="FF242424"/>
        <rFont val="Times New Roman"/>
        <family val="1"/>
      </rPr>
      <t xml:space="preserve">standard  and  estimated  </t>
    </r>
    <r>
      <rPr>
        <b/>
        <sz val="10"/>
        <color rgb="FF161616"/>
        <rFont val="Times New Roman"/>
        <family val="1"/>
      </rPr>
      <t xml:space="preserve">amount  fraction,  </t>
    </r>
    <r>
      <rPr>
        <b/>
        <i/>
        <sz val="10"/>
        <color rgb="FFFF0000"/>
        <rFont val="Times New Roman"/>
        <family val="1"/>
      </rPr>
      <t xml:space="preserve">Zi0, </t>
    </r>
    <r>
      <rPr>
        <b/>
        <sz val="10"/>
        <color rgb="FFFF0000"/>
        <rFont val="Times New Roman"/>
        <family val="1"/>
      </rPr>
      <t xml:space="preserve">at time </t>
    </r>
    <r>
      <rPr>
        <i/>
        <sz val="11"/>
        <color rgb="FFFF0000"/>
        <rFont val="Times New Roman"/>
        <family val="1"/>
      </rPr>
      <t xml:space="preserve">tj0 </t>
    </r>
    <r>
      <rPr>
        <b/>
        <sz val="10"/>
        <color rgb="FFFF0000"/>
        <rFont val="Times New Roman"/>
        <family val="1"/>
      </rPr>
      <t xml:space="preserve">when analysed  by the participating laboratory </t>
    </r>
    <r>
      <rPr>
        <sz val="10"/>
        <color rgb="FF242424"/>
        <rFont val="Times New Roman"/>
        <family val="1"/>
      </rPr>
      <t>(</t>
    </r>
    <r>
      <rPr>
        <b/>
        <sz val="10"/>
        <color rgb="FF161616"/>
        <rFont val="Times New Roman"/>
        <family val="1"/>
      </rPr>
      <t>corresponds toy-intercept  Figure 5)</t>
    </r>
    <r>
      <rPr>
        <b/>
        <sz val="10"/>
        <color rgb="FF363636"/>
        <rFont val="Times New Roman"/>
        <family val="1"/>
      </rPr>
      <t>.</t>
    </r>
    <phoneticPr fontId="4"/>
  </si>
  <si>
    <r>
      <rPr>
        <b/>
        <sz val="10"/>
        <color rgb="FF242424"/>
        <rFont val="Times New Roman"/>
        <family val="1"/>
      </rPr>
      <t xml:space="preserve">Standard </t>
    </r>
    <r>
      <rPr>
        <b/>
        <sz val="10"/>
        <color rgb="FF161616"/>
        <rFont val="Times New Roman"/>
        <family val="1"/>
      </rPr>
      <t>Identifier</t>
    </r>
  </si>
  <si>
    <r>
      <rPr>
        <b/>
        <sz val="10"/>
        <color rgb="FF242424"/>
        <rFont val="Times New Roman"/>
        <family val="1"/>
      </rPr>
      <t>Estimated</t>
    </r>
    <r>
      <rPr>
        <b/>
        <sz val="10"/>
        <color rgb="FF242424"/>
        <rFont val="Arial"/>
        <family val="2"/>
      </rPr>
      <t xml:space="preserve">  </t>
    </r>
    <r>
      <rPr>
        <b/>
        <sz val="10"/>
        <color rgb="FF161616"/>
        <rFont val="Arial"/>
        <family val="2"/>
      </rPr>
      <t xml:space="preserve">Drift </t>
    </r>
    <r>
      <rPr>
        <b/>
        <i/>
        <sz val="9"/>
        <color rgb="FF161616"/>
        <rFont val="Arial"/>
        <family val="2"/>
      </rPr>
      <t>m</t>
    </r>
    <r>
      <rPr>
        <b/>
        <i/>
        <sz val="9"/>
        <color rgb="FF363636"/>
        <rFont val="Arial"/>
        <family val="2"/>
      </rPr>
      <t xml:space="preserve">,-
</t>
    </r>
    <r>
      <rPr>
        <sz val="10"/>
        <color rgb="FF161616"/>
        <rFont val="Times New Roman"/>
        <family val="1"/>
      </rPr>
      <t>[</t>
    </r>
    <r>
      <rPr>
        <b/>
        <sz val="10"/>
        <color rgb="FF161616"/>
        <rFont val="Times New Roman"/>
        <family val="1"/>
      </rPr>
      <t>nmo</t>
    </r>
    <r>
      <rPr>
        <b/>
        <sz val="10"/>
        <color rgb="FF161616"/>
        <rFont val="Arial"/>
        <family val="2"/>
      </rPr>
      <t xml:space="preserve"> l.mor </t>
    </r>
    <r>
      <rPr>
        <b/>
        <vertAlign val="superscript"/>
        <sz val="6"/>
        <color rgb="FF161616"/>
        <rFont val="Arial"/>
        <family val="2"/>
      </rPr>
      <t xml:space="preserve">1 </t>
    </r>
    <r>
      <rPr>
        <b/>
        <sz val="10"/>
        <color rgb="FF242424"/>
        <rFont val="Times New Roman"/>
        <family val="1"/>
      </rPr>
      <t>.d</t>
    </r>
    <r>
      <rPr>
        <b/>
        <sz val="10"/>
        <color rgb="FF242424"/>
        <rFont val="Arial"/>
        <family val="2"/>
      </rPr>
      <t>ay'</t>
    </r>
    <r>
      <rPr>
        <b/>
        <vertAlign val="superscript"/>
        <sz val="6"/>
        <color rgb="FF242424"/>
        <rFont val="Arial"/>
        <family val="2"/>
      </rPr>
      <t xml:space="preserve">1 </t>
    </r>
    <r>
      <rPr>
        <b/>
        <sz val="8"/>
        <color rgb="FF161616"/>
        <rFont val="Arial"/>
        <family val="2"/>
      </rPr>
      <t>J</t>
    </r>
  </si>
  <si>
    <r>
      <rPr>
        <b/>
        <sz val="10"/>
        <color rgb="FF242424"/>
        <rFont val="Times New Roman"/>
        <family val="1"/>
      </rPr>
      <t>Standard</t>
    </r>
    <r>
      <rPr>
        <b/>
        <sz val="10"/>
        <color rgb="FF242424"/>
        <rFont val="Arial"/>
        <family val="2"/>
      </rPr>
      <t xml:space="preserve">  Error of </t>
    </r>
    <r>
      <rPr>
        <b/>
        <i/>
        <sz val="9"/>
        <color rgb="FF242424"/>
        <rFont val="Arial"/>
        <family val="2"/>
      </rPr>
      <t xml:space="preserve">m;
</t>
    </r>
    <r>
      <rPr>
        <sz val="12"/>
        <color rgb="FF161616"/>
        <rFont val="Arial"/>
        <family val="2"/>
      </rPr>
      <t xml:space="preserve">I </t>
    </r>
    <r>
      <rPr>
        <b/>
        <sz val="10"/>
        <color rgb="FF161616"/>
        <rFont val="Times New Roman"/>
        <family val="1"/>
      </rPr>
      <t>nmo</t>
    </r>
    <r>
      <rPr>
        <b/>
        <sz val="10"/>
        <color rgb="FF161616"/>
        <rFont val="Arial"/>
        <family val="2"/>
      </rPr>
      <t xml:space="preserve"> l.mor</t>
    </r>
    <r>
      <rPr>
        <b/>
        <vertAlign val="superscript"/>
        <sz val="6"/>
        <color rgb="FF161616"/>
        <rFont val="Arial"/>
        <family val="2"/>
      </rPr>
      <t xml:space="preserve">1 </t>
    </r>
    <r>
      <rPr>
        <b/>
        <sz val="10"/>
        <color rgb="FF161616"/>
        <rFont val="Times New Roman"/>
        <family val="1"/>
      </rPr>
      <t>.d</t>
    </r>
    <r>
      <rPr>
        <b/>
        <sz val="10"/>
        <color rgb="FF161616"/>
        <rFont val="Arial"/>
        <family val="2"/>
      </rPr>
      <t>ay'</t>
    </r>
    <r>
      <rPr>
        <b/>
        <vertAlign val="superscript"/>
        <sz val="6"/>
        <color rgb="FF161616"/>
        <rFont val="Arial"/>
        <family val="2"/>
      </rPr>
      <t xml:space="preserve">1 </t>
    </r>
    <r>
      <rPr>
        <b/>
        <sz val="7"/>
        <color rgb="FF161616"/>
        <rFont val="Arial"/>
        <family val="2"/>
      </rPr>
      <t>J</t>
    </r>
  </si>
  <si>
    <r>
      <rPr>
        <b/>
        <i/>
        <sz val="10"/>
        <color rgb="FF242424"/>
        <rFont val="Times New Roman"/>
        <family val="1"/>
      </rPr>
      <t xml:space="preserve">Z;o
</t>
    </r>
    <r>
      <rPr>
        <b/>
        <sz val="10"/>
        <color rgb="FF161616"/>
        <rFont val="Times New Roman"/>
        <family val="1"/>
      </rPr>
      <t>[nm</t>
    </r>
    <r>
      <rPr>
        <b/>
        <sz val="10"/>
        <color rgb="FF161616"/>
        <rFont val="Arial"/>
        <family val="2"/>
      </rPr>
      <t>ol.mor</t>
    </r>
    <r>
      <rPr>
        <b/>
        <vertAlign val="superscript"/>
        <sz val="6"/>
        <color rgb="FF161616"/>
        <rFont val="Arial"/>
        <family val="2"/>
      </rPr>
      <t xml:space="preserve">1 </t>
    </r>
    <r>
      <rPr>
        <b/>
        <sz val="11"/>
        <color rgb="FF161616"/>
        <rFont val="Arial"/>
        <family val="2"/>
      </rPr>
      <t>1</t>
    </r>
  </si>
  <si>
    <r>
      <rPr>
        <b/>
        <i/>
        <sz val="11"/>
        <color rgb="FF161616"/>
        <rFont val="Times New Roman"/>
        <family val="1"/>
      </rPr>
      <t xml:space="preserve">u(Z;o)
</t>
    </r>
    <r>
      <rPr>
        <b/>
        <sz val="10"/>
        <color rgb="FF161616"/>
        <rFont val="Times New Roman"/>
        <family val="1"/>
      </rPr>
      <t>(</t>
    </r>
    <r>
      <rPr>
        <b/>
        <sz val="10"/>
        <color rgb="FF161616"/>
        <rFont val="Arial"/>
        <family val="2"/>
      </rPr>
      <t xml:space="preserve">nmol.mor </t>
    </r>
    <r>
      <rPr>
        <b/>
        <vertAlign val="superscript"/>
        <sz val="6"/>
        <color rgb="FF161616"/>
        <rFont val="Arial"/>
        <family val="2"/>
      </rPr>
      <t xml:space="preserve">1 </t>
    </r>
    <r>
      <rPr>
        <b/>
        <sz val="11"/>
        <color rgb="FF161616"/>
        <rFont val="Arial"/>
        <family val="2"/>
      </rPr>
      <t>1</t>
    </r>
  </si>
  <si>
    <r>
      <t>n</t>
    </r>
    <r>
      <rPr>
        <sz val="10"/>
        <color rgb="FF000000"/>
        <rFont val="Times New Roman"/>
        <family val="1"/>
      </rPr>
      <t>mol/mol</t>
    </r>
    <phoneticPr fontId="4"/>
  </si>
  <si>
    <r>
      <t>N</t>
    </r>
    <r>
      <rPr>
        <sz val="10"/>
        <color rgb="FF000000"/>
        <rFont val="Times New Roman"/>
        <family val="1"/>
      </rPr>
      <t>MI</t>
    </r>
    <phoneticPr fontId="4"/>
  </si>
  <si>
    <r>
      <t>Standard</t>
    </r>
    <r>
      <rPr>
        <sz val="10"/>
        <color rgb="FF000000"/>
        <rFont val="Times New Roman"/>
        <family val="1"/>
      </rPr>
      <t xml:space="preserve"> Identifier</t>
    </r>
    <phoneticPr fontId="4"/>
  </si>
  <si>
    <t>Date of Participant Measurement</t>
    <phoneticPr fontId="4"/>
  </si>
  <si>
    <r>
      <t>Submitted</t>
    </r>
    <r>
      <rPr>
        <sz val="10"/>
        <color rgb="FF000000"/>
        <rFont val="Times New Roman"/>
        <family val="1"/>
      </rPr>
      <t>Result</t>
    </r>
    <phoneticPr fontId="4"/>
  </si>
  <si>
    <r>
      <t>Expanded</t>
    </r>
    <r>
      <rPr>
        <sz val="10"/>
        <color rgb="FF000000"/>
        <rFont val="Times New Roman"/>
        <family val="1"/>
      </rPr>
      <t xml:space="preserve"> Uncertainty</t>
    </r>
    <phoneticPr fontId="4"/>
  </si>
  <si>
    <r>
      <rPr>
        <sz val="10"/>
        <color rgb="FF2D2D2D"/>
        <rFont val="Times New Roman"/>
        <family val="1"/>
      </rPr>
      <t>VSL</t>
    </r>
  </si>
  <si>
    <r>
      <rPr>
        <sz val="10"/>
        <color rgb="FF1C1C1C"/>
        <rFont val="Times New Roman"/>
        <family val="1"/>
      </rPr>
      <t>NPL</t>
    </r>
  </si>
  <si>
    <r>
      <rPr>
        <sz val="10"/>
        <color rgb="FF2D2D2D"/>
        <rFont val="Times New Roman"/>
        <family val="1"/>
      </rPr>
      <t>MKEH</t>
    </r>
  </si>
  <si>
    <r>
      <rPr>
        <sz val="10"/>
        <color rgb="FF2D2D2D"/>
        <rFont val="Times New Roman"/>
        <family val="1"/>
      </rPr>
      <t xml:space="preserve">21 </t>
    </r>
    <r>
      <rPr>
        <sz val="10"/>
        <color rgb="FF696969"/>
        <rFont val="Times New Roman"/>
        <family val="1"/>
      </rPr>
      <t xml:space="preserve">/ </t>
    </r>
    <r>
      <rPr>
        <sz val="10"/>
        <color rgb="FF2D2D2D"/>
        <rFont val="Times New Roman"/>
        <family val="1"/>
      </rPr>
      <t xml:space="preserve">06  </t>
    </r>
    <r>
      <rPr>
        <sz val="10"/>
        <color rgb="FF808080"/>
        <rFont val="Times New Roman"/>
        <family val="1"/>
      </rPr>
      <t xml:space="preserve">/ </t>
    </r>
    <r>
      <rPr>
        <sz val="10"/>
        <color rgb="FF2D2D2D"/>
        <rFont val="Times New Roman"/>
        <family val="1"/>
      </rPr>
      <t>2 012</t>
    </r>
  </si>
  <si>
    <r>
      <rPr>
        <sz val="10"/>
        <color rgb="FF1C1C1C"/>
        <rFont val="Times New Roman"/>
        <family val="1"/>
      </rPr>
      <t>JRC</t>
    </r>
  </si>
  <si>
    <r>
      <rPr>
        <sz val="10"/>
        <color rgb="FF1C1C1C"/>
        <rFont val="Times New Roman"/>
        <family val="1"/>
      </rPr>
      <t>DWD</t>
    </r>
  </si>
  <si>
    <r>
      <rPr>
        <sz val="10"/>
        <color rgb="FF2D2D2D"/>
        <rFont val="Times New Roman"/>
        <family val="1"/>
      </rPr>
      <t>UBA (D)</t>
    </r>
  </si>
  <si>
    <r>
      <rPr>
        <sz val="10"/>
        <color rgb="FF2D2D2D"/>
        <rFont val="Times New Roman"/>
        <family val="1"/>
      </rPr>
      <t>GUM</t>
    </r>
  </si>
  <si>
    <r>
      <rPr>
        <sz val="10"/>
        <color rgb="FF1C1C1C"/>
        <rFont val="Times New Roman"/>
        <family val="1"/>
      </rPr>
      <t xml:space="preserve">16 </t>
    </r>
    <r>
      <rPr>
        <sz val="10"/>
        <color rgb="FF808080"/>
        <rFont val="Times New Roman"/>
        <family val="1"/>
      </rPr>
      <t>/</t>
    </r>
    <r>
      <rPr>
        <sz val="10"/>
        <color rgb="FF2D2D2D"/>
        <rFont val="Times New Roman"/>
        <family val="1"/>
      </rPr>
      <t>04</t>
    </r>
    <r>
      <rPr>
        <sz val="10"/>
        <color rgb="FF808080"/>
        <rFont val="Times New Roman"/>
        <family val="1"/>
      </rPr>
      <t>/</t>
    </r>
    <r>
      <rPr>
        <sz val="10"/>
        <color rgb="FF2D2D2D"/>
        <rFont val="Times New Roman"/>
        <family val="1"/>
      </rPr>
      <t>2012</t>
    </r>
  </si>
  <si>
    <r>
      <rPr>
        <sz val="10"/>
        <color rgb="FF1C1C1C"/>
        <rFont val="Times New Roman"/>
        <family val="1"/>
      </rPr>
      <t>BEV</t>
    </r>
    <r>
      <rPr>
        <sz val="10"/>
        <color rgb="FF808080"/>
        <rFont val="Times New Roman"/>
        <family val="1"/>
      </rPr>
      <t>/</t>
    </r>
    <r>
      <rPr>
        <sz val="10"/>
        <color rgb="FF3F3F3F"/>
        <rFont val="Times New Roman"/>
        <family val="1"/>
      </rPr>
      <t>EAA</t>
    </r>
  </si>
  <si>
    <r>
      <rPr>
        <sz val="10"/>
        <color rgb="FF2D2D2D"/>
        <rFont val="Times New Roman"/>
        <family val="1"/>
      </rPr>
      <t>METAS</t>
    </r>
  </si>
  <si>
    <t>FMI</t>
    <phoneticPr fontId="4"/>
  </si>
  <si>
    <r>
      <rPr>
        <sz val="10"/>
        <color rgb="FF3F3F3F"/>
        <rFont val="Times New Roman"/>
        <family val="1"/>
      </rPr>
      <t>LNE</t>
    </r>
  </si>
  <si>
    <r>
      <rPr>
        <sz val="10"/>
        <color rgb="FF1C1C1C"/>
        <rFont val="Times New Roman"/>
        <family val="1"/>
      </rPr>
      <t>BAM</t>
    </r>
  </si>
  <si>
    <t>CHMI</t>
    <phoneticPr fontId="4"/>
  </si>
  <si>
    <r>
      <rPr>
        <sz val="10"/>
        <color rgb="FF1C1C1C"/>
        <rFont val="Times New Roman"/>
        <family val="1"/>
      </rPr>
      <t>SMU</t>
    </r>
  </si>
  <si>
    <r>
      <rPr>
        <sz val="10"/>
        <color rgb="FF1C1C1C"/>
        <rFont val="Times New Roman"/>
        <family val="1"/>
      </rPr>
      <t>INRIM</t>
    </r>
  </si>
  <si>
    <t>EURAMET.QM-K111</t>
  </si>
  <si>
    <t>C3H8 in N2 at 1000 umol/mol</t>
    <phoneticPr fontId="4"/>
  </si>
  <si>
    <r>
      <rPr>
        <b/>
        <i/>
        <sz val="10"/>
        <rFont val="Times New Roman"/>
        <family val="1"/>
      </rPr>
      <t>x</t>
    </r>
    <r>
      <rPr>
        <b/>
        <sz val="10"/>
        <rFont val="Times New Roman"/>
        <family val="1"/>
      </rPr>
      <t>prep</t>
    </r>
  </si>
  <si>
    <r>
      <rPr>
        <b/>
        <i/>
        <sz val="10"/>
        <rFont val="Times New Roman"/>
        <family val="1"/>
      </rPr>
      <t>u</t>
    </r>
    <r>
      <rPr>
        <b/>
        <sz val="10"/>
        <rFont val="Times New Roman"/>
        <family val="1"/>
      </rPr>
      <t>prep</t>
    </r>
  </si>
  <si>
    <r>
      <rPr>
        <b/>
        <i/>
        <sz val="10"/>
        <rFont val="Times New Roman"/>
        <family val="1"/>
      </rPr>
      <t>u</t>
    </r>
    <r>
      <rPr>
        <b/>
        <sz val="10"/>
        <rFont val="Times New Roman"/>
        <family val="1"/>
      </rPr>
      <t>ver</t>
    </r>
  </si>
  <si>
    <r>
      <rPr>
        <b/>
        <i/>
        <sz val="10"/>
        <rFont val="Times New Roman"/>
        <family val="1"/>
      </rPr>
      <t>u</t>
    </r>
    <r>
      <rPr>
        <b/>
        <sz val="10"/>
        <rFont val="Times New Roman"/>
        <family val="1"/>
      </rPr>
      <t>ref</t>
    </r>
  </si>
  <si>
    <r>
      <rPr>
        <b/>
        <i/>
        <sz val="10"/>
        <rFont val="Times New Roman"/>
        <family val="1"/>
      </rPr>
      <t>x</t>
    </r>
    <r>
      <rPr>
        <b/>
        <sz val="10"/>
        <rFont val="Times New Roman"/>
        <family val="1"/>
      </rPr>
      <t>lab</t>
    </r>
  </si>
  <si>
    <r>
      <rPr>
        <b/>
        <i/>
        <sz val="10"/>
        <rFont val="Times New Roman"/>
        <family val="1"/>
      </rPr>
      <t>U</t>
    </r>
    <r>
      <rPr>
        <b/>
        <sz val="10"/>
        <rFont val="Times New Roman"/>
        <family val="1"/>
      </rPr>
      <t>lab</t>
    </r>
  </si>
  <si>
    <r>
      <rPr>
        <b/>
        <i/>
        <sz val="10"/>
        <rFont val="Times New Roman"/>
        <family val="1"/>
      </rPr>
      <t>k</t>
    </r>
    <r>
      <rPr>
        <b/>
        <sz val="10"/>
        <rFont val="Times New Roman"/>
        <family val="1"/>
      </rPr>
      <t>lab</t>
    </r>
  </si>
  <si>
    <r>
      <rPr>
        <b/>
        <i/>
        <sz val="10"/>
        <rFont val="Times New Roman"/>
        <family val="1"/>
      </rPr>
      <t>d</t>
    </r>
    <r>
      <rPr>
        <b/>
        <sz val="10"/>
        <rFont val="Times New Roman"/>
        <family val="1"/>
      </rPr>
      <t>i</t>
    </r>
  </si>
  <si>
    <r>
      <rPr>
        <b/>
        <sz val="10"/>
        <rFont val="Times New Roman"/>
        <family val="1"/>
      </rPr>
      <t>U(</t>
    </r>
    <r>
      <rPr>
        <b/>
        <i/>
        <sz val="10"/>
        <rFont val="Times New Roman"/>
        <family val="1"/>
      </rPr>
      <t>d</t>
    </r>
    <r>
      <rPr>
        <b/>
        <sz val="10"/>
        <rFont val="Times New Roman"/>
        <family val="1"/>
      </rPr>
      <t>i)</t>
    </r>
  </si>
  <si>
    <t>Unit: umol/mol</t>
    <phoneticPr fontId="4"/>
  </si>
  <si>
    <t>-</t>
    <phoneticPr fontId="4"/>
  </si>
  <si>
    <t>APMP.QM-K111</t>
    <phoneticPr fontId="8"/>
  </si>
  <si>
    <t>The results of this key comparison can be used to support CMC claims as described in the final report of CCQM-K111 [1].</t>
    <phoneticPr fontId="4"/>
  </si>
  <si>
    <r>
      <rPr>
        <b/>
        <i/>
        <vertAlign val="superscript"/>
        <sz val="11"/>
        <rFont val="Times New Roman"/>
        <family val="1"/>
      </rPr>
      <t>x</t>
    </r>
    <r>
      <rPr>
        <b/>
        <i/>
        <sz val="7"/>
        <rFont val="Times New Roman"/>
        <family val="1"/>
      </rPr>
      <t xml:space="preserve">prep
</t>
    </r>
    <r>
      <rPr>
        <b/>
        <sz val="7"/>
        <rFont val="Times New Roman"/>
        <family val="1"/>
      </rPr>
      <t>/μmol/mol</t>
    </r>
  </si>
  <si>
    <r>
      <rPr>
        <b/>
        <i/>
        <vertAlign val="superscript"/>
        <sz val="11"/>
        <rFont val="Times New Roman"/>
        <family val="1"/>
      </rPr>
      <t>u</t>
    </r>
    <r>
      <rPr>
        <b/>
        <i/>
        <sz val="7"/>
        <rFont val="Times New Roman"/>
        <family val="1"/>
      </rPr>
      <t xml:space="preserve">prep
</t>
    </r>
    <r>
      <rPr>
        <b/>
        <sz val="7"/>
        <rFont val="Times New Roman"/>
        <family val="1"/>
      </rPr>
      <t>/μmol/mol</t>
    </r>
  </si>
  <si>
    <r>
      <rPr>
        <b/>
        <i/>
        <vertAlign val="superscript"/>
        <sz val="11"/>
        <rFont val="Times New Roman"/>
        <family val="1"/>
      </rPr>
      <t>u</t>
    </r>
    <r>
      <rPr>
        <b/>
        <i/>
        <sz val="7"/>
        <rFont val="Times New Roman"/>
        <family val="1"/>
      </rPr>
      <t xml:space="preserve">ver
</t>
    </r>
    <r>
      <rPr>
        <b/>
        <sz val="7"/>
        <rFont val="Times New Roman"/>
        <family val="1"/>
      </rPr>
      <t>/μmol/mol</t>
    </r>
  </si>
  <si>
    <r>
      <rPr>
        <b/>
        <i/>
        <vertAlign val="superscript"/>
        <sz val="11"/>
        <rFont val="Times New Roman"/>
        <family val="1"/>
      </rPr>
      <t>u</t>
    </r>
    <r>
      <rPr>
        <b/>
        <i/>
        <sz val="7"/>
        <rFont val="Times New Roman"/>
        <family val="1"/>
      </rPr>
      <t xml:space="preserve">ref
</t>
    </r>
    <r>
      <rPr>
        <b/>
        <sz val="7"/>
        <rFont val="Times New Roman"/>
        <family val="1"/>
      </rPr>
      <t>/μmol/mol</t>
    </r>
  </si>
  <si>
    <r>
      <rPr>
        <b/>
        <i/>
        <vertAlign val="superscript"/>
        <sz val="11"/>
        <rFont val="Times New Roman"/>
        <family val="1"/>
      </rPr>
      <t>x</t>
    </r>
    <r>
      <rPr>
        <b/>
        <i/>
        <sz val="7"/>
        <rFont val="Times New Roman"/>
        <family val="1"/>
      </rPr>
      <t xml:space="preserve">lab
</t>
    </r>
    <r>
      <rPr>
        <b/>
        <sz val="7"/>
        <rFont val="Times New Roman"/>
        <family val="1"/>
      </rPr>
      <t>/μmol/mol</t>
    </r>
  </si>
  <si>
    <r>
      <rPr>
        <b/>
        <i/>
        <vertAlign val="superscript"/>
        <sz val="11"/>
        <rFont val="Times New Roman"/>
        <family val="1"/>
      </rPr>
      <t>U</t>
    </r>
    <r>
      <rPr>
        <b/>
        <i/>
        <sz val="7"/>
        <rFont val="Times New Roman"/>
        <family val="1"/>
      </rPr>
      <t xml:space="preserve">lab
</t>
    </r>
    <r>
      <rPr>
        <b/>
        <sz val="7"/>
        <rFont val="Times New Roman"/>
        <family val="1"/>
      </rPr>
      <t>/μmol/mol</t>
    </r>
  </si>
  <si>
    <r>
      <rPr>
        <b/>
        <i/>
        <vertAlign val="superscript"/>
        <sz val="11"/>
        <rFont val="Times New Roman"/>
        <family val="1"/>
      </rPr>
      <t>k</t>
    </r>
    <r>
      <rPr>
        <b/>
        <i/>
        <sz val="7"/>
        <rFont val="Times New Roman"/>
        <family val="1"/>
      </rPr>
      <t>lab</t>
    </r>
  </si>
  <si>
    <r>
      <rPr>
        <b/>
        <sz val="11"/>
        <rFont val="Times New Roman"/>
        <family val="1"/>
      </rPr>
      <t>Δ</t>
    </r>
    <r>
      <rPr>
        <b/>
        <i/>
        <sz val="11"/>
        <rFont val="Times New Roman"/>
        <family val="1"/>
      </rPr>
      <t>x</t>
    </r>
  </si>
  <si>
    <r>
      <rPr>
        <b/>
        <i/>
        <sz val="11"/>
        <rFont val="Times New Roman"/>
        <family val="1"/>
      </rPr>
      <t>U</t>
    </r>
    <r>
      <rPr>
        <b/>
        <sz val="11"/>
        <rFont val="Times New Roman"/>
        <family val="1"/>
      </rPr>
      <t>(</t>
    </r>
    <r>
      <rPr>
        <b/>
        <i/>
        <sz val="11"/>
        <rFont val="Times New Roman"/>
        <family val="1"/>
      </rPr>
      <t>Δx</t>
    </r>
    <r>
      <rPr>
        <b/>
        <sz val="11"/>
        <rFont val="Times New Roman"/>
        <family val="1"/>
      </rPr>
      <t xml:space="preserve">)
</t>
    </r>
    <r>
      <rPr>
        <b/>
        <sz val="7"/>
        <rFont val="Times New Roman"/>
        <family val="1"/>
      </rPr>
      <t>/μmol/mol</t>
    </r>
  </si>
  <si>
    <r>
      <rPr>
        <sz val="11"/>
        <rFont val="Times New Roman"/>
        <family val="1"/>
      </rPr>
      <t>CPB20810</t>
    </r>
  </si>
  <si>
    <r>
      <rPr>
        <sz val="11"/>
        <rFont val="Times New Roman"/>
        <family val="1"/>
      </rPr>
      <t>NMC A</t>
    </r>
    <r>
      <rPr>
        <sz val="11"/>
        <rFont val="Century"/>
        <family val="1"/>
      </rPr>
      <t>*</t>
    </r>
    <r>
      <rPr>
        <sz val="11"/>
        <rFont val="Times New Roman"/>
        <family val="1"/>
      </rPr>
      <t>STAR</t>
    </r>
  </si>
  <si>
    <r>
      <rPr>
        <sz val="11"/>
        <rFont val="Times New Roman"/>
        <family val="1"/>
      </rPr>
      <t>CPB21192</t>
    </r>
  </si>
  <si>
    <r>
      <rPr>
        <sz val="11"/>
        <rFont val="Times New Roman"/>
        <family val="1"/>
      </rPr>
      <t>CPB25989</t>
    </r>
  </si>
  <si>
    <r>
      <rPr>
        <sz val="11"/>
        <rFont val="Times New Roman"/>
        <family val="1"/>
      </rPr>
      <t>CPB25963</t>
    </r>
  </si>
  <si>
    <r>
      <rPr>
        <sz val="11"/>
        <rFont val="Times New Roman"/>
        <family val="1"/>
      </rPr>
      <t>CPB25966</t>
    </r>
  </si>
  <si>
    <r>
      <rPr>
        <sz val="11"/>
        <rFont val="Times New Roman"/>
        <family val="1"/>
      </rPr>
      <t>CPB25981</t>
    </r>
  </si>
  <si>
    <r>
      <rPr>
        <sz val="11"/>
        <rFont val="Times New Roman"/>
        <family val="1"/>
      </rPr>
      <t>CPB25984</t>
    </r>
  </si>
  <si>
    <r>
      <rPr>
        <sz val="11"/>
        <rFont val="Times New Roman"/>
        <family val="1"/>
      </rPr>
      <t>NML SIRIM</t>
    </r>
  </si>
  <si>
    <r>
      <rPr>
        <sz val="11"/>
        <rFont val="Times New Roman"/>
        <family val="1"/>
      </rPr>
      <t>CPB25987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</si>
</sst>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00"/>
    <numFmt numFmtId="177" formatCode="0.00000"/>
    <numFmt numFmtId="178" formatCode="0.000"/>
    <numFmt numFmtId="179" formatCode="0.000_ "/>
    <numFmt numFmtId="180" formatCode="0.0"/>
    <numFmt numFmtId="181" formatCode="0.0000_ "/>
    <numFmt numFmtId="182" formatCode="0.00_ "/>
    <numFmt numFmtId="183" formatCode="0.000E+00"/>
    <numFmt numFmtId="184" formatCode="0.0E+00"/>
    <numFmt numFmtId="185" formatCode="0_ "/>
    <numFmt numFmtId="186" formatCode="0.000%"/>
    <numFmt numFmtId="187" formatCode="0.000000"/>
    <numFmt numFmtId="188" formatCode="0.0%"/>
    <numFmt numFmtId="189" formatCode="dd/mm/yyyy;@"/>
  </numFmts>
  <fonts count="223" x14ac:knownFonts="1">
    <font>
      <sz val="10"/>
      <color rgb="FF000000"/>
      <name val="Times New Roman"/>
      <charset val="204"/>
    </font>
    <font>
      <sz val="10"/>
      <name val="Times New Roman"/>
      <family val="1"/>
    </font>
    <font>
      <i/>
      <sz val="10"/>
      <name val="Times New Roman"/>
      <family val="1"/>
    </font>
    <font>
      <sz val="10"/>
      <color rgb="FF000000"/>
      <name val="Times New Roman"/>
      <family val="1"/>
    </font>
    <font>
      <sz val="6"/>
      <name val="ＭＳ Ｐゴシック"/>
      <family val="3"/>
      <charset val="128"/>
    </font>
    <font>
      <sz val="16"/>
      <color rgb="FF000000"/>
      <name val="Times New Roman"/>
      <family val="1"/>
    </font>
    <font>
      <sz val="10"/>
      <color rgb="FFFF0000"/>
      <name val="Times New Roman"/>
      <family val="1"/>
    </font>
    <font>
      <b/>
      <sz val="16"/>
      <color rgb="FF000000"/>
      <name val="Times New Roman"/>
      <family val="1"/>
    </font>
    <font>
      <sz val="6"/>
      <name val="ＭＳ Ｐ明朝"/>
      <family val="1"/>
      <charset val="128"/>
    </font>
    <font>
      <b/>
      <sz val="12"/>
      <color rgb="FF000000"/>
      <name val="Times New Roman"/>
      <family val="1"/>
    </font>
    <font>
      <b/>
      <sz val="12"/>
      <name val="Arial"/>
      <family val="2"/>
    </font>
    <font>
      <b/>
      <i/>
      <sz val="6"/>
      <name val="Arial"/>
      <family val="2"/>
    </font>
    <font>
      <sz val="8"/>
      <name val="Arial"/>
      <family val="2"/>
    </font>
    <font>
      <b/>
      <sz val="9"/>
      <name val="Arial"/>
      <family val="2"/>
    </font>
    <font>
      <b/>
      <i/>
      <sz val="9"/>
      <name val="Arial"/>
      <family val="2"/>
    </font>
    <font>
      <sz val="9"/>
      <name val="Arial"/>
      <family val="2"/>
    </font>
    <font>
      <b/>
      <i/>
      <vertAlign val="superscript"/>
      <sz val="9"/>
      <name val="Arial"/>
      <family val="2"/>
    </font>
    <font>
      <sz val="9"/>
      <color rgb="FF000000"/>
      <name val="Arial"/>
      <family val="2"/>
    </font>
    <font>
      <vertAlign val="superscript"/>
      <sz val="5"/>
      <name val="Arial"/>
      <family val="2"/>
    </font>
    <font>
      <sz val="8"/>
      <name val="Symbol"/>
      <family val="1"/>
    </font>
    <font>
      <b/>
      <sz val="10"/>
      <color rgb="FF000000"/>
      <name val="Times New Roman"/>
      <family val="1"/>
    </font>
    <font>
      <i/>
      <sz val="10.5"/>
      <color rgb="FF000000"/>
      <name val="Trebuchet MS"/>
      <family val="2"/>
    </font>
    <font>
      <i/>
      <sz val="10.5"/>
      <color rgb="FF000000"/>
      <name val="Cambria"/>
      <family val="1"/>
    </font>
    <font>
      <sz val="8.5"/>
      <color rgb="FF000000"/>
      <name val="Cambria"/>
      <family val="1"/>
    </font>
    <font>
      <b/>
      <i/>
      <sz val="10"/>
      <name val="Times New Roman"/>
      <family val="1"/>
    </font>
    <font>
      <b/>
      <sz val="10"/>
      <name val="Times New Roman"/>
      <family val="1"/>
    </font>
    <font>
      <b/>
      <i/>
      <sz val="7"/>
      <name val="Times New Roman"/>
      <family val="1"/>
    </font>
    <font>
      <sz val="10"/>
      <color rgb="FF000000"/>
      <name val="ＭＳ Ｐゴシック"/>
      <family val="3"/>
      <charset val="128"/>
    </font>
    <font>
      <i/>
      <sz val="10.5"/>
      <name val="Trebuchet MS"/>
      <family val="2"/>
    </font>
    <font>
      <i/>
      <sz val="10.5"/>
      <name val="Cambria"/>
      <family val="1"/>
    </font>
    <font>
      <sz val="10"/>
      <color theme="4"/>
      <name val="Times New Roman"/>
      <family val="1"/>
    </font>
    <font>
      <i/>
      <sz val="10"/>
      <color theme="4"/>
      <name val="Times New Roman"/>
      <family val="1"/>
    </font>
    <font>
      <b/>
      <i/>
      <sz val="10"/>
      <name val="Cambria"/>
      <family val="1"/>
    </font>
    <font>
      <b/>
      <sz val="10"/>
      <name val="Cambria"/>
      <family val="1"/>
    </font>
    <font>
      <b/>
      <i/>
      <vertAlign val="superscript"/>
      <sz val="10"/>
      <name val="Cambria"/>
      <family val="1"/>
    </font>
    <font>
      <b/>
      <i/>
      <sz val="6.5"/>
      <name val="Cambria"/>
      <family val="1"/>
    </font>
    <font>
      <b/>
      <vertAlign val="superscript"/>
      <sz val="10"/>
      <name val="Cambria"/>
      <family val="1"/>
    </font>
    <font>
      <sz val="10"/>
      <name val="Calibri"/>
      <family val="2"/>
    </font>
    <font>
      <sz val="10"/>
      <color rgb="FF000000"/>
      <name val="Calibri"/>
      <family val="2"/>
    </font>
    <font>
      <sz val="11"/>
      <color theme="1"/>
      <name val="ＭＳ Ｐゴシック"/>
      <family val="2"/>
      <scheme val="minor"/>
    </font>
    <font>
      <sz val="11"/>
      <name val="ＭＳ Ｐゴシック"/>
      <family val="2"/>
      <scheme val="minor"/>
    </font>
    <font>
      <b/>
      <sz val="11"/>
      <color theme="1"/>
      <name val="ＭＳ Ｐゴシック"/>
      <family val="2"/>
      <scheme val="minor"/>
    </font>
    <font>
      <b/>
      <sz val="11"/>
      <color rgb="FFFF0000"/>
      <name val="ＭＳ Ｐゴシック"/>
      <family val="3"/>
      <charset val="128"/>
      <scheme val="minor"/>
    </font>
    <font>
      <b/>
      <vertAlign val="superscript"/>
      <sz val="11"/>
      <color rgb="FFFF0000"/>
      <name val="ＭＳ Ｐゴシック"/>
      <family val="3"/>
      <charset val="128"/>
      <scheme val="minor"/>
    </font>
    <font>
      <sz val="6"/>
      <name val="ＭＳ Ｐゴシック"/>
      <family val="3"/>
      <charset val="128"/>
      <scheme val="minor"/>
    </font>
    <font>
      <b/>
      <sz val="11"/>
      <color theme="1"/>
      <name val="Calibri"/>
      <family val="2"/>
    </font>
    <font>
      <b/>
      <vertAlign val="superscript"/>
      <sz val="11"/>
      <color theme="1"/>
      <name val="ＭＳ Ｐゴシック"/>
      <family val="2"/>
      <scheme val="minor"/>
    </font>
    <font>
      <b/>
      <sz val="9"/>
      <color theme="1"/>
      <name val="ＭＳ Ｐゴシック"/>
      <family val="2"/>
      <scheme val="minor"/>
    </font>
    <font>
      <b/>
      <vertAlign val="superscript"/>
      <sz val="9"/>
      <color theme="1"/>
      <name val="ＭＳ Ｐゴシック"/>
      <family val="2"/>
      <scheme val="minor"/>
    </font>
    <font>
      <b/>
      <vertAlign val="superscript"/>
      <sz val="11"/>
      <color theme="1"/>
      <name val="Calibri"/>
      <family val="2"/>
    </font>
    <font>
      <b/>
      <u/>
      <sz val="11"/>
      <color theme="1"/>
      <name val="ＭＳ Ｐゴシック"/>
      <family val="2"/>
      <scheme val="minor"/>
    </font>
    <font>
      <b/>
      <sz val="11"/>
      <color rgb="FFFF0000"/>
      <name val="ＭＳ Ｐゴシック"/>
      <family val="2"/>
      <scheme val="minor"/>
    </font>
    <font>
      <i/>
      <sz val="11"/>
      <color theme="1"/>
      <name val="ＭＳ Ｐゴシック"/>
      <family val="2"/>
      <scheme val="minor"/>
    </font>
    <font>
      <sz val="11"/>
      <color rgb="FFFF0000"/>
      <name val="ＭＳ Ｐゴシック"/>
      <family val="2"/>
      <scheme val="minor"/>
    </font>
    <font>
      <b/>
      <i/>
      <sz val="11"/>
      <color theme="1"/>
      <name val="ＭＳ Ｐゴシック"/>
      <family val="2"/>
      <scheme val="minor"/>
    </font>
    <font>
      <b/>
      <sz val="10"/>
      <color theme="4"/>
      <name val="Times New Roman"/>
      <family val="1"/>
    </font>
    <font>
      <b/>
      <sz val="12"/>
      <name val="Times New Roman"/>
      <family val="1"/>
    </font>
    <font>
      <b/>
      <i/>
      <sz val="12"/>
      <name val="Times New Roman"/>
      <family val="1"/>
    </font>
    <font>
      <b/>
      <vertAlign val="subscript"/>
      <sz val="12"/>
      <name val="Times New Roman"/>
      <family val="1"/>
    </font>
    <font>
      <b/>
      <i/>
      <vertAlign val="subscript"/>
      <sz val="12"/>
      <name val="Times New Roman"/>
      <family val="1"/>
    </font>
    <font>
      <sz val="11"/>
      <name val="Calibri"/>
      <family val="2"/>
    </font>
    <font>
      <sz val="11"/>
      <color rgb="FF000000"/>
      <name val="Calibri"/>
      <family val="2"/>
    </font>
    <font>
      <sz val="12"/>
      <name val="Times New Roman"/>
      <family val="1"/>
    </font>
    <font>
      <sz val="8"/>
      <name val="Times New Roman"/>
      <family val="1"/>
    </font>
    <font>
      <i/>
      <vertAlign val="superscript"/>
      <sz val="8"/>
      <name val="Times New Roman"/>
      <family val="1"/>
    </font>
    <font>
      <i/>
      <sz val="5"/>
      <name val="Times New Roman"/>
      <family val="1"/>
    </font>
    <font>
      <sz val="5"/>
      <name val="Times New Roman"/>
      <family val="1"/>
    </font>
    <font>
      <i/>
      <sz val="8"/>
      <name val="Times New Roman"/>
      <family val="1"/>
    </font>
    <font>
      <i/>
      <vertAlign val="subscript"/>
      <sz val="5"/>
      <name val="Times New Roman"/>
      <family val="1"/>
    </font>
    <font>
      <vertAlign val="subscript"/>
      <sz val="5"/>
      <name val="Times New Roman"/>
      <family val="1"/>
    </font>
    <font>
      <vertAlign val="superscript"/>
      <sz val="8"/>
      <name val="Times New Roman"/>
      <family val="1"/>
    </font>
    <font>
      <i/>
      <sz val="8"/>
      <name val="Arial"/>
      <family val="2"/>
    </font>
    <font>
      <b/>
      <sz val="8"/>
      <name val="Calibri"/>
      <family val="2"/>
    </font>
    <font>
      <b/>
      <sz val="8"/>
      <color rgb="FF000000"/>
      <name val="Times New Roman"/>
      <family val="2"/>
    </font>
    <font>
      <b/>
      <sz val="8"/>
      <color rgb="FF000000"/>
      <name val="Calibri"/>
      <family val="2"/>
    </font>
    <font>
      <b/>
      <sz val="8"/>
      <name val="Times New Roman"/>
      <family val="1"/>
    </font>
    <font>
      <sz val="8"/>
      <name val="Calibri"/>
      <family val="2"/>
    </font>
    <font>
      <sz val="8"/>
      <color rgb="FF000000"/>
      <name val="Times New Roman"/>
      <family val="2"/>
    </font>
    <font>
      <i/>
      <vertAlign val="superscript"/>
      <sz val="7"/>
      <name val="Times New Roman"/>
      <family val="1"/>
    </font>
    <font>
      <i/>
      <vertAlign val="superscript"/>
      <sz val="7"/>
      <name val="Calibri"/>
      <family val="2"/>
    </font>
    <font>
      <sz val="8"/>
      <color rgb="FF000000"/>
      <name val="Calibri"/>
      <family val="2"/>
    </font>
    <font>
      <sz val="9"/>
      <name val="Times New Roman"/>
      <family val="1"/>
    </font>
    <font>
      <i/>
      <sz val="12"/>
      <name val="Times New Roman"/>
      <family val="1"/>
    </font>
    <font>
      <sz val="11"/>
      <name val="Times New Roman"/>
      <family val="1"/>
    </font>
    <font>
      <i/>
      <vertAlign val="superscript"/>
      <sz val="11"/>
      <name val="Times New Roman"/>
      <family val="1"/>
    </font>
    <font>
      <sz val="7"/>
      <name val="Times New Roman"/>
      <family val="1"/>
    </font>
    <font>
      <i/>
      <sz val="11"/>
      <name val="Times New Roman"/>
      <family val="1"/>
    </font>
    <font>
      <sz val="11"/>
      <color rgb="FF000000"/>
      <name val="Times New Roman"/>
      <family val="2"/>
    </font>
    <font>
      <b/>
      <sz val="10"/>
      <name val="Arial"/>
      <family val="2"/>
    </font>
    <font>
      <b/>
      <i/>
      <sz val="10"/>
      <name val="Arial"/>
      <family val="2"/>
    </font>
    <font>
      <b/>
      <i/>
      <vertAlign val="subscript"/>
      <sz val="10"/>
      <name val="Arial"/>
      <family val="2"/>
    </font>
    <font>
      <i/>
      <sz val="10"/>
      <name val="Symbol"/>
      <family val="1"/>
    </font>
    <font>
      <b/>
      <i/>
      <vertAlign val="superscript"/>
      <sz val="10"/>
      <name val="Arial"/>
      <family val="2"/>
    </font>
    <font>
      <b/>
      <vertAlign val="subscript"/>
      <sz val="10"/>
      <name val="Arial"/>
      <family val="2"/>
    </font>
    <font>
      <sz val="10"/>
      <color rgb="FF000000"/>
      <name val="Arial"/>
      <family val="2"/>
    </font>
    <font>
      <sz val="10"/>
      <name val="Arial"/>
      <family val="2"/>
    </font>
    <font>
      <b/>
      <sz val="9"/>
      <color rgb="FF131313"/>
      <name val="Arial"/>
      <family val="2"/>
    </font>
    <font>
      <b/>
      <i/>
      <sz val="7"/>
      <color rgb="FF131313"/>
      <name val="Times New Roman"/>
      <family val="1"/>
    </font>
    <font>
      <b/>
      <sz val="7"/>
      <color rgb="FF131313"/>
      <name val="Times New Roman"/>
      <family val="1"/>
    </font>
    <font>
      <sz val="6"/>
      <color rgb="FF131313"/>
      <name val="Times New Roman"/>
      <family val="1"/>
    </font>
    <font>
      <i/>
      <sz val="6"/>
      <color rgb="FF131313"/>
      <name val="Arial"/>
      <family val="2"/>
    </font>
    <font>
      <b/>
      <i/>
      <sz val="9"/>
      <color rgb="FF131313"/>
      <name val="Arial"/>
      <family val="2"/>
    </font>
    <font>
      <b/>
      <i/>
      <sz val="9"/>
      <color rgb="FF131313"/>
      <name val="Times New Roman"/>
      <family val="1"/>
    </font>
    <font>
      <i/>
      <sz val="9"/>
      <color rgb="FF131313"/>
      <name val="Times New Roman"/>
      <family val="1"/>
    </font>
    <font>
      <b/>
      <i/>
      <sz val="10"/>
      <color rgb="FF131313"/>
      <name val="Times New Roman"/>
      <family val="1"/>
    </font>
    <font>
      <sz val="9"/>
      <color rgb="FF131313"/>
      <name val="Times New Roman"/>
      <family val="1"/>
    </font>
    <font>
      <sz val="9"/>
      <color rgb="FF131313"/>
      <name val="Times New Roman"/>
      <family val="2"/>
    </font>
    <font>
      <sz val="9"/>
      <color rgb="FF2B2B2B"/>
      <name val="Times New Roman"/>
      <family val="2"/>
    </font>
    <font>
      <b/>
      <sz val="9"/>
      <color rgb="FF131313"/>
      <name val="Times New Roman"/>
      <family val="2"/>
    </font>
    <font>
      <b/>
      <sz val="10"/>
      <color rgb="FF131313"/>
      <name val="Times New Roman"/>
      <family val="1"/>
    </font>
    <font>
      <b/>
      <sz val="10"/>
      <color rgb="FF131313"/>
      <name val="Times New Roman"/>
      <family val="1"/>
      <charset val="204"/>
    </font>
    <font>
      <b/>
      <sz val="9"/>
      <color rgb="FF131313"/>
      <name val="Times New Roman"/>
      <family val="1"/>
      <charset val="204"/>
    </font>
    <font>
      <sz val="11"/>
      <color rgb="FFFF0000"/>
      <name val="Times New Roman"/>
      <family val="1"/>
    </font>
    <font>
      <b/>
      <i/>
      <vertAlign val="superscript"/>
      <sz val="10"/>
      <name val="Times New Roman"/>
      <family val="1"/>
    </font>
    <font>
      <i/>
      <sz val="13"/>
      <name val="Symbol"/>
      <family val="1"/>
    </font>
    <font>
      <b/>
      <sz val="11"/>
      <name val="Times New Roman"/>
      <family val="1"/>
    </font>
    <font>
      <sz val="10"/>
      <color rgb="FF000000"/>
      <name val="Times New Roman"/>
      <family val="2"/>
    </font>
    <font>
      <vertAlign val="superscript"/>
      <sz val="7"/>
      <name val="Times New Roman"/>
      <family val="1"/>
    </font>
    <font>
      <vertAlign val="subscript"/>
      <sz val="7"/>
      <name val="Times New Roman"/>
      <family val="1"/>
    </font>
    <font>
      <vertAlign val="superscript"/>
      <sz val="6"/>
      <name val="Arial"/>
      <family val="2"/>
    </font>
    <font>
      <vertAlign val="subscript"/>
      <sz val="6"/>
      <name val="Arial"/>
      <family val="2"/>
    </font>
    <font>
      <i/>
      <sz val="9"/>
      <name val="Arial"/>
      <family val="2"/>
    </font>
    <font>
      <i/>
      <vertAlign val="subscript"/>
      <sz val="6"/>
      <name val="Arial"/>
      <family val="2"/>
    </font>
    <font>
      <sz val="10"/>
      <color rgb="FFFF0000"/>
      <name val="Arial"/>
      <family val="2"/>
    </font>
    <font>
      <u/>
      <sz val="10"/>
      <color rgb="FFFF0000"/>
      <name val="Arial"/>
      <family val="2"/>
    </font>
    <font>
      <u/>
      <sz val="10"/>
      <name val="Arial"/>
      <family val="2"/>
    </font>
    <font>
      <b/>
      <sz val="6"/>
      <name val="Arial"/>
      <family val="2"/>
    </font>
    <font>
      <i/>
      <sz val="10"/>
      <name val="Arial"/>
      <family val="2"/>
    </font>
    <font>
      <b/>
      <i/>
      <sz val="12"/>
      <name val="Arial"/>
      <family val="2"/>
    </font>
    <font>
      <b/>
      <i/>
      <vertAlign val="superscript"/>
      <sz val="12"/>
      <name val="Arial"/>
      <family val="2"/>
    </font>
    <font>
      <b/>
      <sz val="8"/>
      <name val="Arial"/>
      <family val="2"/>
    </font>
    <font>
      <b/>
      <i/>
      <sz val="8"/>
      <name val="Arial"/>
      <family val="2"/>
    </font>
    <font>
      <b/>
      <sz val="11"/>
      <name val="Arial"/>
      <family val="2"/>
    </font>
    <font>
      <b/>
      <sz val="11"/>
      <color rgb="FF000000"/>
      <name val="Arial"/>
      <family val="2"/>
    </font>
    <font>
      <b/>
      <sz val="9"/>
      <color indexed="8"/>
      <name val="Arial"/>
      <family val="2"/>
    </font>
    <font>
      <b/>
      <i/>
      <sz val="9"/>
      <color indexed="8"/>
      <name val="Arial"/>
      <family val="1"/>
      <charset val="204"/>
    </font>
    <font>
      <sz val="9"/>
      <color indexed="8"/>
      <name val="Arial"/>
      <family val="2"/>
    </font>
    <font>
      <b/>
      <vertAlign val="superscript"/>
      <sz val="6"/>
      <name val="Arial"/>
      <family val="2"/>
    </font>
    <font>
      <b/>
      <vertAlign val="superscript"/>
      <sz val="9"/>
      <name val="Arial"/>
      <family val="2"/>
    </font>
    <font>
      <vertAlign val="subscript"/>
      <sz val="8"/>
      <name val="Times New Roman"/>
      <family val="1"/>
    </font>
    <font>
      <vertAlign val="superscript"/>
      <sz val="6"/>
      <name val="Times New Roman"/>
      <family val="1"/>
    </font>
    <font>
      <vertAlign val="superscript"/>
      <sz val="11"/>
      <name val="Times New Roman"/>
      <family val="1"/>
    </font>
    <font>
      <i/>
      <sz val="11"/>
      <name val="Arial"/>
      <family val="2"/>
    </font>
    <font>
      <u/>
      <sz val="12"/>
      <name val="Times New Roman"/>
      <family val="1"/>
    </font>
    <font>
      <i/>
      <vertAlign val="superscript"/>
      <sz val="10"/>
      <name val="Times New Roman"/>
      <family val="1"/>
    </font>
    <font>
      <i/>
      <sz val="7"/>
      <name val="Times New Roman"/>
      <family val="1"/>
    </font>
    <font>
      <vertAlign val="superscript"/>
      <sz val="10"/>
      <name val="Times New Roman"/>
      <family val="1"/>
    </font>
    <font>
      <sz val="9"/>
      <color rgb="FF000000"/>
      <name val="Times New Roman"/>
      <family val="2"/>
    </font>
    <font>
      <vertAlign val="superscript"/>
      <sz val="7"/>
      <name val="Calibri"/>
      <family val="2"/>
    </font>
    <font>
      <sz val="11"/>
      <color rgb="FFFF0000"/>
      <name val="Calibri"/>
      <family val="2"/>
    </font>
    <font>
      <u/>
      <sz val="11"/>
      <color rgb="FFFF0000"/>
      <name val="Calibri"/>
      <family val="2"/>
    </font>
    <font>
      <b/>
      <sz val="10"/>
      <name val="Calibri"/>
      <family val="2"/>
    </font>
    <font>
      <b/>
      <i/>
      <vertAlign val="subscript"/>
      <sz val="10"/>
      <name val="Calibri"/>
      <family val="2"/>
    </font>
    <font>
      <b/>
      <vertAlign val="subscript"/>
      <sz val="7"/>
      <name val="Calibri"/>
      <family val="2"/>
    </font>
    <font>
      <b/>
      <sz val="7"/>
      <name val="Calibri"/>
      <family val="2"/>
    </font>
    <font>
      <b/>
      <i/>
      <sz val="10"/>
      <name val="Calibri"/>
      <family val="2"/>
    </font>
    <font>
      <b/>
      <vertAlign val="superscript"/>
      <sz val="7"/>
      <name val="Calibri"/>
      <family val="2"/>
    </font>
    <font>
      <sz val="10"/>
      <color rgb="FF000000"/>
      <name val="Cambria Math"/>
      <family val="1"/>
    </font>
    <font>
      <sz val="10"/>
      <color rgb="FF000000"/>
      <name val="Times New Roman"/>
      <family val="1"/>
      <charset val="204"/>
    </font>
    <font>
      <b/>
      <i/>
      <vertAlign val="superscript"/>
      <sz val="11"/>
      <name val="Times New Roman"/>
      <family val="1"/>
    </font>
    <font>
      <b/>
      <sz val="7"/>
      <name val="Times New Roman"/>
      <family val="1"/>
    </font>
    <font>
      <b/>
      <i/>
      <sz val="11"/>
      <name val="Times New Roman"/>
      <family val="1"/>
    </font>
    <font>
      <b/>
      <i/>
      <vertAlign val="subscript"/>
      <sz val="7"/>
      <name val="Times New Roman"/>
      <family val="1"/>
    </font>
    <font>
      <sz val="11"/>
      <color rgb="FF000000"/>
      <name val="Times New Roman"/>
      <family val="1"/>
    </font>
    <font>
      <b/>
      <i/>
      <sz val="10"/>
      <color rgb="FF000000"/>
      <name val="Times New Roman"/>
      <family val="1"/>
    </font>
    <font>
      <i/>
      <vertAlign val="superscript"/>
      <sz val="12"/>
      <name val="Times New Roman"/>
      <family val="1"/>
    </font>
    <font>
      <b/>
      <vertAlign val="superscript"/>
      <sz val="11"/>
      <name val="Times New Roman"/>
      <family val="1"/>
    </font>
    <font>
      <b/>
      <sz val="9"/>
      <name val="Times New Roman"/>
      <family val="1"/>
    </font>
    <font>
      <b/>
      <i/>
      <vertAlign val="superscript"/>
      <sz val="9"/>
      <name val="Times New Roman"/>
      <family val="1"/>
    </font>
    <font>
      <b/>
      <i/>
      <sz val="6"/>
      <name val="Times New Roman"/>
      <family val="1"/>
    </font>
    <font>
      <b/>
      <sz val="9"/>
      <name val="Symbol"/>
      <family val="1"/>
    </font>
    <font>
      <b/>
      <i/>
      <sz val="9"/>
      <name val="Times New Roman"/>
      <family val="1"/>
    </font>
    <font>
      <i/>
      <sz val="6.5"/>
      <name val="Times New Roman"/>
      <family val="1"/>
    </font>
    <font>
      <i/>
      <sz val="9"/>
      <name val="Times New Roman"/>
      <family val="1"/>
    </font>
    <font>
      <i/>
      <vertAlign val="subscript"/>
      <sz val="10"/>
      <name val="Times New Roman"/>
      <family val="1"/>
    </font>
    <font>
      <vertAlign val="subscript"/>
      <sz val="10"/>
      <name val="Times New Roman"/>
      <family val="1"/>
    </font>
    <font>
      <sz val="10"/>
      <color rgb="FF0070C0"/>
      <name val="Times New Roman"/>
      <family val="1"/>
    </font>
    <font>
      <sz val="10"/>
      <color rgb="FF585858"/>
      <name val="Times New Roman"/>
      <family val="1"/>
    </font>
    <font>
      <sz val="10"/>
      <color rgb="FF434343"/>
      <name val="Times New Roman"/>
      <family val="1"/>
    </font>
    <font>
      <sz val="10"/>
      <color rgb="FF323232"/>
      <name val="Times New Roman"/>
      <family val="1"/>
    </font>
    <font>
      <vertAlign val="superscript"/>
      <sz val="10"/>
      <color rgb="FF000000"/>
      <name val="Times New Roman"/>
      <family val="1"/>
    </font>
    <font>
      <vertAlign val="superscript"/>
      <sz val="12"/>
      <name val="Times New Roman"/>
      <family val="1"/>
    </font>
    <font>
      <i/>
      <sz val="10"/>
      <color rgb="FFFF0000"/>
      <name val="Times New Roman"/>
      <family val="1"/>
    </font>
    <font>
      <u/>
      <sz val="10"/>
      <name val="Times New Roman"/>
      <family val="1"/>
    </font>
    <font>
      <u/>
      <sz val="10"/>
      <color rgb="FFFF0000"/>
      <name val="Times New Roman"/>
      <family val="1"/>
    </font>
    <font>
      <sz val="6.5"/>
      <name val="Times New Roman"/>
      <family val="1"/>
    </font>
    <font>
      <sz val="10"/>
      <color rgb="FF000000"/>
      <name val="ＭＳ Ｐゴシック"/>
      <family val="3"/>
      <charset val="128"/>
      <scheme val="minor"/>
    </font>
    <font>
      <sz val="10"/>
      <color rgb="FF0070C0"/>
      <name val="ＭＳ Ｐゴシック"/>
      <family val="3"/>
      <charset val="128"/>
      <scheme val="minor"/>
    </font>
    <font>
      <sz val="10"/>
      <color rgb="FFFF0000"/>
      <name val="ＭＳ Ｐゴシック"/>
      <family val="3"/>
      <charset val="128"/>
      <scheme val="minor"/>
    </font>
    <font>
      <b/>
      <sz val="10"/>
      <color rgb="FF161616"/>
      <name val="Times New Roman"/>
      <family val="1"/>
    </font>
    <font>
      <b/>
      <sz val="10"/>
      <color rgb="FF242424"/>
      <name val="Times New Roman"/>
      <family val="1"/>
    </font>
    <font>
      <b/>
      <i/>
      <sz val="10"/>
      <color rgb="FF161616"/>
      <name val="Times New Roman"/>
      <family val="1"/>
    </font>
    <font>
      <b/>
      <i/>
      <sz val="10"/>
      <color rgb="FFFF0000"/>
      <name val="Times New Roman"/>
      <family val="1"/>
    </font>
    <font>
      <b/>
      <sz val="10"/>
      <color rgb="FFFF0000"/>
      <name val="Times New Roman"/>
      <family val="1"/>
    </font>
    <font>
      <i/>
      <sz val="11"/>
      <color rgb="FFFF0000"/>
      <name val="Times New Roman"/>
      <family val="1"/>
    </font>
    <font>
      <sz val="10"/>
      <color rgb="FF242424"/>
      <name val="Times New Roman"/>
      <family val="1"/>
    </font>
    <font>
      <b/>
      <sz val="10"/>
      <color rgb="FF363636"/>
      <name val="Times New Roman"/>
      <family val="1"/>
    </font>
    <font>
      <b/>
      <sz val="10"/>
      <color rgb="FF242424"/>
      <name val="Arial"/>
      <family val="2"/>
    </font>
    <font>
      <b/>
      <sz val="10"/>
      <color rgb="FF161616"/>
      <name val="Arial"/>
      <family val="2"/>
    </font>
    <font>
      <b/>
      <i/>
      <sz val="9"/>
      <color rgb="FF161616"/>
      <name val="Arial"/>
      <family val="2"/>
    </font>
    <font>
      <b/>
      <i/>
      <sz val="9"/>
      <color rgb="FF363636"/>
      <name val="Arial"/>
      <family val="2"/>
    </font>
    <font>
      <sz val="10"/>
      <color rgb="FF161616"/>
      <name val="Times New Roman"/>
      <family val="1"/>
    </font>
    <font>
      <b/>
      <vertAlign val="superscript"/>
      <sz val="6"/>
      <color rgb="FF161616"/>
      <name val="Arial"/>
      <family val="2"/>
    </font>
    <font>
      <b/>
      <vertAlign val="superscript"/>
      <sz val="6"/>
      <color rgb="FF242424"/>
      <name val="Arial"/>
      <family val="2"/>
    </font>
    <font>
      <b/>
      <sz val="8"/>
      <color rgb="FF161616"/>
      <name val="Arial"/>
      <family val="2"/>
    </font>
    <font>
      <b/>
      <i/>
      <sz val="9"/>
      <color rgb="FF242424"/>
      <name val="Arial"/>
      <family val="2"/>
    </font>
    <font>
      <sz val="12"/>
      <color rgb="FF161616"/>
      <name val="Arial"/>
      <family val="2"/>
    </font>
    <font>
      <b/>
      <sz val="7"/>
      <color rgb="FF161616"/>
      <name val="Arial"/>
      <family val="2"/>
    </font>
    <font>
      <b/>
      <i/>
      <sz val="10"/>
      <color rgb="FF242424"/>
      <name val="Times New Roman"/>
      <family val="1"/>
    </font>
    <font>
      <b/>
      <sz val="11"/>
      <color rgb="FF161616"/>
      <name val="Arial"/>
      <family val="2"/>
    </font>
    <font>
      <b/>
      <i/>
      <sz val="11"/>
      <color rgb="FF161616"/>
      <name val="Times New Roman"/>
      <family val="1"/>
    </font>
    <font>
      <sz val="10"/>
      <color rgb="FF242424"/>
      <name val="Times New Roman"/>
      <family val="2"/>
    </font>
    <font>
      <sz val="10"/>
      <color rgb="FF161616"/>
      <name val="Times New Roman"/>
      <family val="2"/>
    </font>
    <font>
      <sz val="10"/>
      <color rgb="FF363636"/>
      <name val="Times New Roman"/>
      <family val="2"/>
    </font>
    <font>
      <sz val="10"/>
      <color rgb="FF2D2D2D"/>
      <name val="Times New Roman"/>
      <family val="1"/>
    </font>
    <font>
      <sz val="10"/>
      <color rgb="FF2D2D2D"/>
      <name val="Times New Roman"/>
      <family val="2"/>
    </font>
    <font>
      <sz val="10"/>
      <color rgb="FF3F3F3F"/>
      <name val="Times New Roman"/>
      <family val="2"/>
    </font>
    <font>
      <sz val="10"/>
      <color rgb="FF1C1C1C"/>
      <name val="Times New Roman"/>
      <family val="1"/>
    </font>
    <font>
      <sz val="10"/>
      <color rgb="FF1C1C1C"/>
      <name val="Times New Roman"/>
      <family val="2"/>
    </font>
    <font>
      <sz val="10"/>
      <color rgb="FF696969"/>
      <name val="Times New Roman"/>
      <family val="1"/>
    </font>
    <font>
      <sz val="10"/>
      <color rgb="FF808080"/>
      <name val="Times New Roman"/>
      <family val="1"/>
    </font>
    <font>
      <sz val="10"/>
      <color rgb="FF3F3F3F"/>
      <name val="Times New Roman"/>
      <family val="1"/>
    </font>
    <font>
      <sz val="11"/>
      <name val="Century"/>
      <family val="1"/>
    </font>
  </fonts>
  <fills count="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DBEEF3"/>
      </patternFill>
    </fill>
    <fill>
      <patternFill patternType="solid">
        <fgColor rgb="FFC0C0C0"/>
      </patternFill>
    </fill>
  </fills>
  <borders count="4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auto="1"/>
      </top>
      <bottom/>
      <diagonal/>
    </border>
    <border>
      <left/>
      <right/>
      <top/>
      <bottom style="thin">
        <color auto="1"/>
      </bottom>
      <diagonal/>
    </border>
    <border>
      <left/>
      <right style="thin">
        <color rgb="FF1F487C"/>
      </right>
      <top style="thin">
        <color rgb="FF006FC0"/>
      </top>
      <bottom style="thin">
        <color rgb="FF006FC0"/>
      </bottom>
      <diagonal/>
    </border>
    <border>
      <left style="thin">
        <color rgb="FF1F487C"/>
      </left>
      <right/>
      <top style="thin">
        <color rgb="FF006FC0"/>
      </top>
      <bottom style="thin">
        <color rgb="FF006FC0"/>
      </bottom>
      <diagonal/>
    </border>
    <border>
      <left/>
      <right/>
      <top style="thin">
        <color rgb="FF006FC0"/>
      </top>
      <bottom style="thin">
        <color rgb="FF006FC0"/>
      </bottom>
      <diagonal/>
    </border>
    <border>
      <left/>
      <right/>
      <top style="thin">
        <color rgb="FF006FC0"/>
      </top>
      <bottom style="thin">
        <color rgb="FF94B3D6"/>
      </bottom>
      <diagonal/>
    </border>
    <border>
      <left/>
      <right style="thin">
        <color rgb="FF1F487C"/>
      </right>
      <top style="thin">
        <color rgb="FF006FC0"/>
      </top>
      <bottom style="thin">
        <color rgb="FF94B3D6"/>
      </bottom>
      <diagonal/>
    </border>
    <border>
      <left style="thin">
        <color rgb="FF1F487C"/>
      </left>
      <right/>
      <top style="thin">
        <color rgb="FF006FC0"/>
      </top>
      <bottom style="thin">
        <color rgb="FF94B3D6"/>
      </bottom>
      <diagonal/>
    </border>
    <border>
      <left/>
      <right/>
      <top style="thin">
        <color rgb="FF94B3D6"/>
      </top>
      <bottom style="thin">
        <color rgb="FF94B3D6"/>
      </bottom>
      <diagonal/>
    </border>
    <border>
      <left/>
      <right style="thin">
        <color rgb="FF1F487C"/>
      </right>
      <top style="thin">
        <color rgb="FF94B3D6"/>
      </top>
      <bottom style="thin">
        <color rgb="FF94B3D6"/>
      </bottom>
      <diagonal/>
    </border>
    <border>
      <left style="thin">
        <color rgb="FF1F487C"/>
      </left>
      <right/>
      <top style="thin">
        <color rgb="FF94B3D6"/>
      </top>
      <bottom style="thin">
        <color rgb="FF94B3D6"/>
      </bottom>
      <diagonal/>
    </border>
    <border>
      <left style="thin">
        <color rgb="FF4F81BC"/>
      </left>
      <right/>
      <top style="thin">
        <color rgb="FF4F81BC"/>
      </top>
      <bottom style="thin">
        <color rgb="FF4F81BC"/>
      </bottom>
      <diagonal/>
    </border>
    <border>
      <left/>
      <right/>
      <top style="thin">
        <color rgb="FF4F81BC"/>
      </top>
      <bottom style="thin">
        <color rgb="FF4F81BC"/>
      </bottom>
      <diagonal/>
    </border>
    <border>
      <left/>
      <right style="thin">
        <color rgb="FF4F81BC"/>
      </right>
      <top style="thin">
        <color rgb="FF4F81BC"/>
      </top>
      <bottom style="thin">
        <color rgb="FF4F81BC"/>
      </bottom>
      <diagonal/>
    </border>
    <border>
      <left/>
      <right/>
      <top style="thin">
        <color rgb="FF94B3D6"/>
      </top>
      <bottom style="thin">
        <color rgb="FF006FC0"/>
      </bottom>
      <diagonal/>
    </border>
    <border>
      <left/>
      <right style="thin">
        <color rgb="FF1F487C"/>
      </right>
      <top style="thin">
        <color rgb="FF94B3D6"/>
      </top>
      <bottom style="thin">
        <color rgb="FF006FC0"/>
      </bottom>
      <diagonal/>
    </border>
    <border>
      <left style="thin">
        <color rgb="FF1F487C"/>
      </left>
      <right/>
      <top style="thin">
        <color rgb="FF94B3D6"/>
      </top>
      <bottom style="thin">
        <color rgb="FF006FC0"/>
      </bottom>
      <diagonal/>
    </border>
    <border>
      <left/>
      <right/>
      <top/>
      <bottom style="thin">
        <color rgb="FF006FC0"/>
      </bottom>
      <diagonal/>
    </border>
    <border>
      <left/>
      <right style="thin">
        <color rgb="FF1F487C"/>
      </right>
      <top/>
      <bottom style="thin">
        <color rgb="FF006FC0"/>
      </bottom>
      <diagonal/>
    </border>
    <border>
      <left style="thin">
        <color rgb="FF1F487C"/>
      </left>
      <right/>
      <top/>
      <bottom style="thin">
        <color rgb="FF006FC0"/>
      </bottom>
      <diagonal/>
    </border>
    <border>
      <left/>
      <right/>
      <top style="thin">
        <color rgb="FF0070C0"/>
      </top>
      <bottom style="thin">
        <color rgb="FF0070C0"/>
      </bottom>
      <diagonal/>
    </border>
    <border>
      <left/>
      <right/>
      <top style="thin">
        <color rgb="FF0070C0"/>
      </top>
      <bottom/>
      <diagonal/>
    </border>
    <border>
      <left/>
      <right/>
      <top/>
      <bottom style="thin">
        <color rgb="FF0070C0"/>
      </bottom>
      <diagonal/>
    </border>
    <border>
      <left/>
      <right/>
      <top style="thin">
        <color auto="1"/>
      </top>
      <bottom style="thin">
        <color auto="1"/>
      </bottom>
      <diagonal/>
    </border>
    <border>
      <left/>
      <right/>
      <top style="thin">
        <color rgb="FFC0C0C0"/>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0" fontId="3" fillId="0" borderId="0"/>
    <xf numFmtId="0" fontId="39" fillId="0" borderId="0"/>
  </cellStyleXfs>
  <cellXfs count="1453">
    <xf numFmtId="0" fontId="0" fillId="0" borderId="0" xfId="0" applyFill="1" applyBorder="1" applyAlignment="1">
      <alignment horizontal="left" vertical="top"/>
    </xf>
    <xf numFmtId="0" fontId="0" fillId="0" borderId="0" xfId="0" applyFill="1" applyBorder="1" applyAlignment="1" applyProtection="1">
      <alignment horizontal="left" vertical="top"/>
      <protection locked="0"/>
    </xf>
    <xf numFmtId="0" fontId="3" fillId="0" borderId="0" xfId="0" applyFont="1" applyFill="1" applyBorder="1" applyAlignment="1" applyProtection="1">
      <alignment horizontal="left" vertical="top"/>
      <protection locked="0"/>
    </xf>
    <xf numFmtId="0" fontId="13" fillId="0" borderId="0" xfId="0" applyFont="1" applyFill="1" applyBorder="1" applyAlignment="1" applyProtection="1">
      <alignment horizontal="left" vertical="top"/>
      <protection locked="0"/>
    </xf>
    <xf numFmtId="0" fontId="15" fillId="0" borderId="0" xfId="0" applyFont="1" applyFill="1" applyBorder="1" applyAlignment="1" applyProtection="1">
      <alignment horizontal="left" vertical="top"/>
      <protection locked="0"/>
    </xf>
    <xf numFmtId="0" fontId="1" fillId="0" borderId="4" xfId="0" applyFont="1" applyFill="1" applyBorder="1" applyAlignment="1" applyProtection="1">
      <alignment horizontal="left" vertical="top" wrapText="1"/>
      <protection locked="0"/>
    </xf>
    <xf numFmtId="0" fontId="6" fillId="0" borderId="4" xfId="0" applyFont="1" applyFill="1" applyBorder="1" applyAlignment="1" applyProtection="1">
      <alignment horizontal="left" vertical="top" wrapText="1"/>
      <protection locked="0"/>
    </xf>
    <xf numFmtId="0" fontId="0" fillId="0" borderId="4" xfId="0" applyNumberFormat="1" applyFill="1" applyBorder="1" applyAlignment="1" applyProtection="1">
      <alignment horizontal="right" vertical="top"/>
      <protection locked="0"/>
    </xf>
    <xf numFmtId="0" fontId="21" fillId="0" borderId="0" xfId="0" applyFont="1" applyFill="1" applyBorder="1" applyAlignment="1" applyProtection="1">
      <alignment horizontal="left" vertical="center" indent="10"/>
      <protection locked="0"/>
    </xf>
    <xf numFmtId="0" fontId="21" fillId="0" borderId="0" xfId="0" applyNumberFormat="1" applyFont="1" applyFill="1" applyBorder="1" applyAlignment="1" applyProtection="1">
      <alignment horizontal="left" vertical="center" indent="10"/>
      <protection locked="0"/>
    </xf>
    <xf numFmtId="0" fontId="20" fillId="0" borderId="0" xfId="0" applyFont="1" applyFill="1" applyBorder="1" applyAlignment="1" applyProtection="1">
      <alignment horizontal="left" vertical="top"/>
      <protection locked="0"/>
    </xf>
    <xf numFmtId="0" fontId="0" fillId="0" borderId="17" xfId="0" applyFill="1" applyBorder="1" applyAlignment="1" applyProtection="1">
      <alignment horizontal="left" vertical="top"/>
      <protection locked="0"/>
    </xf>
    <xf numFmtId="0" fontId="0" fillId="0" borderId="18" xfId="0" applyFill="1" applyBorder="1" applyAlignment="1" applyProtection="1">
      <alignment horizontal="left" vertical="top"/>
      <protection locked="0"/>
    </xf>
    <xf numFmtId="0" fontId="3" fillId="0" borderId="18" xfId="0" applyFont="1" applyFill="1" applyBorder="1" applyAlignment="1" applyProtection="1">
      <alignment horizontal="left" vertical="top"/>
      <protection locked="0"/>
    </xf>
    <xf numFmtId="0" fontId="0" fillId="0" borderId="17" xfId="0" applyFill="1" applyBorder="1" applyAlignment="1" applyProtection="1">
      <alignment horizontal="right" vertical="top"/>
      <protection locked="0"/>
    </xf>
    <xf numFmtId="0" fontId="0" fillId="0" borderId="0" xfId="0" applyFill="1" applyBorder="1" applyAlignment="1" applyProtection="1">
      <alignment horizontal="right" vertical="top"/>
      <protection locked="0"/>
    </xf>
    <xf numFmtId="0" fontId="0" fillId="0" borderId="18" xfId="0" applyFill="1" applyBorder="1" applyAlignment="1" applyProtection="1">
      <alignment horizontal="right" vertical="top"/>
      <protection locked="0"/>
    </xf>
    <xf numFmtId="0" fontId="21" fillId="0" borderId="0" xfId="0" applyFont="1" applyFill="1" applyBorder="1" applyAlignment="1" applyProtection="1">
      <alignment horizontal="right" vertical="center" indent="10"/>
      <protection locked="0"/>
    </xf>
    <xf numFmtId="0" fontId="20" fillId="0" borderId="17" xfId="0" applyFont="1" applyFill="1" applyBorder="1" applyAlignment="1" applyProtection="1">
      <alignment horizontal="left" vertical="top"/>
      <protection locked="0"/>
    </xf>
    <xf numFmtId="0" fontId="3" fillId="0" borderId="18" xfId="0" applyFont="1" applyFill="1" applyBorder="1" applyAlignment="1" applyProtection="1">
      <alignment horizontal="right" vertical="top"/>
      <protection locked="0"/>
    </xf>
    <xf numFmtId="0" fontId="0" fillId="0" borderId="17" xfId="0" applyNumberFormat="1" applyFill="1" applyBorder="1" applyAlignment="1" applyProtection="1">
      <alignment horizontal="left" vertical="top"/>
      <protection locked="0"/>
    </xf>
    <xf numFmtId="0" fontId="0" fillId="0" borderId="0" xfId="0" applyNumberFormat="1" applyFill="1" applyBorder="1" applyAlignment="1" applyProtection="1">
      <alignment horizontal="left" vertical="top"/>
      <protection locked="0"/>
    </xf>
    <xf numFmtId="0" fontId="0" fillId="0" borderId="18" xfId="0" applyNumberFormat="1" applyFill="1" applyBorder="1" applyAlignment="1" applyProtection="1">
      <alignment horizontal="left" vertical="top"/>
      <protection locked="0"/>
    </xf>
    <xf numFmtId="0" fontId="22" fillId="0" borderId="0" xfId="0" applyFont="1" applyFill="1" applyBorder="1" applyAlignment="1" applyProtection="1">
      <alignment horizontal="left" vertical="center" indent="15"/>
      <protection locked="0"/>
    </xf>
    <xf numFmtId="0" fontId="23" fillId="0" borderId="0" xfId="0" applyFont="1" applyFill="1" applyBorder="1" applyAlignment="1" applyProtection="1">
      <alignment horizontal="left" vertical="center" indent="10"/>
      <protection locked="0"/>
    </xf>
    <xf numFmtId="0" fontId="10" fillId="0" borderId="0" xfId="0" applyFont="1" applyFill="1" applyBorder="1" applyAlignment="1" applyProtection="1">
      <alignment horizontal="left" vertical="top"/>
      <protection locked="0"/>
    </xf>
    <xf numFmtId="0" fontId="13" fillId="0" borderId="1" xfId="0" applyFont="1" applyFill="1" applyBorder="1" applyAlignment="1" applyProtection="1">
      <alignment horizontal="left" vertical="top" wrapText="1"/>
      <protection locked="0"/>
    </xf>
    <xf numFmtId="0" fontId="0" fillId="0" borderId="5"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14" fillId="0" borderId="9" xfId="0" applyFont="1" applyFill="1" applyBorder="1" applyAlignment="1" applyProtection="1">
      <alignment horizontal="center" vertical="top" wrapText="1"/>
      <protection locked="0"/>
    </xf>
    <xf numFmtId="0" fontId="15" fillId="0" borderId="1" xfId="0" applyFont="1" applyFill="1" applyBorder="1" applyAlignment="1" applyProtection="1">
      <alignment horizontal="left" vertical="top" wrapText="1"/>
      <protection locked="0"/>
    </xf>
    <xf numFmtId="178" fontId="17" fillId="0" borderId="1" xfId="0" applyNumberFormat="1" applyFont="1" applyFill="1" applyBorder="1" applyAlignment="1" applyProtection="1">
      <alignment horizontal="center" vertical="top" wrapText="1"/>
      <protection locked="0"/>
    </xf>
    <xf numFmtId="177" fontId="17" fillId="0" borderId="1" xfId="0" applyNumberFormat="1" applyFont="1" applyFill="1" applyBorder="1" applyAlignment="1" applyProtection="1">
      <alignment horizontal="right" vertical="top" wrapText="1" indent="1"/>
      <protection locked="0"/>
    </xf>
    <xf numFmtId="178" fontId="17" fillId="0" borderId="1" xfId="0" applyNumberFormat="1" applyFont="1" applyFill="1" applyBorder="1" applyAlignment="1" applyProtection="1">
      <alignment horizontal="right" vertical="top" wrapText="1" indent="1"/>
      <protection locked="0"/>
    </xf>
    <xf numFmtId="0" fontId="15" fillId="0" borderId="2" xfId="0" applyFont="1" applyFill="1" applyBorder="1" applyAlignment="1" applyProtection="1">
      <alignment horizontal="left" vertical="top" wrapText="1"/>
      <protection locked="0"/>
    </xf>
    <xf numFmtId="178" fontId="17" fillId="0" borderId="15" xfId="0" applyNumberFormat="1" applyFont="1" applyFill="1" applyBorder="1" applyAlignment="1" applyProtection="1">
      <alignment horizontal="right" vertical="top" wrapText="1" indent="1"/>
      <protection locked="0"/>
    </xf>
    <xf numFmtId="178" fontId="17" fillId="0" borderId="7" xfId="0" applyNumberFormat="1" applyFont="1" applyFill="1" applyBorder="1" applyAlignment="1" applyProtection="1">
      <alignment horizontal="center" vertical="top" wrapText="1"/>
      <protection locked="0"/>
    </xf>
    <xf numFmtId="177" fontId="17" fillId="0" borderId="7" xfId="0" applyNumberFormat="1" applyFont="1" applyFill="1" applyBorder="1" applyAlignment="1" applyProtection="1">
      <alignment horizontal="right" vertical="top" wrapText="1" indent="1"/>
      <protection locked="0"/>
    </xf>
    <xf numFmtId="177" fontId="17" fillId="0" borderId="16" xfId="0" applyNumberFormat="1" applyFont="1" applyFill="1" applyBorder="1" applyAlignment="1" applyProtection="1">
      <alignment horizontal="right" vertical="top" wrapText="1" indent="1"/>
      <protection locked="0"/>
    </xf>
    <xf numFmtId="2" fontId="17" fillId="0" borderId="15" xfId="0" applyNumberFormat="1" applyFont="1" applyFill="1" applyBorder="1" applyAlignment="1" applyProtection="1">
      <alignment horizontal="center" vertical="top" wrapText="1"/>
      <protection locked="0"/>
    </xf>
    <xf numFmtId="2" fontId="17" fillId="0" borderId="7" xfId="0" applyNumberFormat="1" applyFont="1" applyFill="1" applyBorder="1" applyAlignment="1" applyProtection="1">
      <alignment horizontal="center" vertical="top" wrapText="1"/>
      <protection locked="0"/>
    </xf>
    <xf numFmtId="178" fontId="17" fillId="0" borderId="15" xfId="0" applyNumberFormat="1" applyFont="1" applyFill="1" applyBorder="1" applyAlignment="1" applyProtection="1">
      <alignment horizontal="center" vertical="top" wrapText="1"/>
      <protection locked="0"/>
    </xf>
    <xf numFmtId="178" fontId="17" fillId="0" borderId="7" xfId="0" applyNumberFormat="1" applyFont="1" applyFill="1" applyBorder="1" applyAlignment="1" applyProtection="1">
      <alignment horizontal="right" vertical="top" wrapText="1" indent="1"/>
      <protection locked="0"/>
    </xf>
    <xf numFmtId="0" fontId="15" fillId="0" borderId="6" xfId="0" applyFont="1" applyFill="1" applyBorder="1" applyAlignment="1" applyProtection="1">
      <alignment horizontal="left" vertical="top" wrapText="1"/>
      <protection locked="0"/>
    </xf>
    <xf numFmtId="178" fontId="17" fillId="0" borderId="12" xfId="0" applyNumberFormat="1" applyFont="1" applyFill="1" applyBorder="1" applyAlignment="1" applyProtection="1">
      <alignment horizontal="right" vertical="top" wrapText="1" indent="1"/>
      <protection locked="0"/>
    </xf>
    <xf numFmtId="178" fontId="17" fillId="0" borderId="0" xfId="0" applyNumberFormat="1" applyFont="1" applyFill="1" applyBorder="1" applyAlignment="1" applyProtection="1">
      <alignment horizontal="center" vertical="top" wrapText="1"/>
      <protection locked="0"/>
    </xf>
    <xf numFmtId="177" fontId="17" fillId="0" borderId="0" xfId="0" applyNumberFormat="1" applyFont="1" applyFill="1" applyBorder="1" applyAlignment="1" applyProtection="1">
      <alignment horizontal="right" vertical="top" wrapText="1" indent="1"/>
      <protection locked="0"/>
    </xf>
    <xf numFmtId="177" fontId="17" fillId="0" borderId="11" xfId="0" applyNumberFormat="1" applyFont="1" applyFill="1" applyBorder="1" applyAlignment="1" applyProtection="1">
      <alignment horizontal="right" vertical="top" wrapText="1" indent="1"/>
      <protection locked="0"/>
    </xf>
    <xf numFmtId="2" fontId="17" fillId="0" borderId="12" xfId="0" applyNumberFormat="1" applyFont="1" applyFill="1" applyBorder="1" applyAlignment="1" applyProtection="1">
      <alignment horizontal="center" vertical="top" wrapText="1"/>
      <protection locked="0"/>
    </xf>
    <xf numFmtId="2" fontId="17" fillId="0" borderId="0" xfId="0" applyNumberFormat="1" applyFont="1" applyFill="1" applyBorder="1" applyAlignment="1" applyProtection="1">
      <alignment horizontal="center" vertical="top" wrapText="1"/>
      <protection locked="0"/>
    </xf>
    <xf numFmtId="178" fontId="17" fillId="0" borderId="12" xfId="0" applyNumberFormat="1" applyFont="1" applyFill="1" applyBorder="1" applyAlignment="1" applyProtection="1">
      <alignment horizontal="center" vertical="top" wrapText="1"/>
      <protection locked="0"/>
    </xf>
    <xf numFmtId="178" fontId="17" fillId="0" borderId="0" xfId="0" applyNumberFormat="1" applyFont="1" applyFill="1" applyBorder="1" applyAlignment="1" applyProtection="1">
      <alignment horizontal="right" vertical="top" wrapText="1" indent="1"/>
      <protection locked="0"/>
    </xf>
    <xf numFmtId="0" fontId="15" fillId="0" borderId="3" xfId="0" applyFont="1" applyFill="1" applyBorder="1" applyAlignment="1" applyProtection="1">
      <alignment horizontal="left" vertical="top" wrapText="1"/>
      <protection locked="0"/>
    </xf>
    <xf numFmtId="178" fontId="17" fillId="0" borderId="14" xfId="0" applyNumberFormat="1" applyFont="1" applyFill="1" applyBorder="1" applyAlignment="1" applyProtection="1">
      <alignment horizontal="right" vertical="top" wrapText="1" indent="1"/>
      <protection locked="0"/>
    </xf>
    <xf numFmtId="178" fontId="17" fillId="0" borderId="8" xfId="0" applyNumberFormat="1" applyFont="1" applyFill="1" applyBorder="1" applyAlignment="1" applyProtection="1">
      <alignment horizontal="center" vertical="top" wrapText="1"/>
      <protection locked="0"/>
    </xf>
    <xf numFmtId="177" fontId="17" fillId="0" borderId="8" xfId="0" applyNumberFormat="1" applyFont="1" applyFill="1" applyBorder="1" applyAlignment="1" applyProtection="1">
      <alignment horizontal="right" vertical="top" wrapText="1" indent="1"/>
      <protection locked="0"/>
    </xf>
    <xf numFmtId="177" fontId="17" fillId="0" borderId="13" xfId="0" applyNumberFormat="1" applyFont="1" applyFill="1" applyBorder="1" applyAlignment="1" applyProtection="1">
      <alignment horizontal="right" vertical="top" wrapText="1" indent="1"/>
      <protection locked="0"/>
    </xf>
    <xf numFmtId="2" fontId="17" fillId="0" borderId="14" xfId="0" applyNumberFormat="1" applyFont="1" applyFill="1" applyBorder="1" applyAlignment="1" applyProtection="1">
      <alignment horizontal="center" vertical="top" wrapText="1"/>
      <protection locked="0"/>
    </xf>
    <xf numFmtId="2" fontId="17" fillId="0" borderId="8" xfId="0" applyNumberFormat="1" applyFont="1" applyFill="1" applyBorder="1" applyAlignment="1" applyProtection="1">
      <alignment horizontal="center" vertical="top" wrapText="1"/>
      <protection locked="0"/>
    </xf>
    <xf numFmtId="178" fontId="17" fillId="0" borderId="14" xfId="0" applyNumberFormat="1" applyFont="1" applyFill="1" applyBorder="1" applyAlignment="1" applyProtection="1">
      <alignment horizontal="center" vertical="top" wrapText="1"/>
      <protection locked="0"/>
    </xf>
    <xf numFmtId="178" fontId="17" fillId="0" borderId="8" xfId="0" applyNumberFormat="1" applyFont="1" applyFill="1" applyBorder="1" applyAlignment="1" applyProtection="1">
      <alignment horizontal="right" vertical="top" wrapText="1" indent="1"/>
      <protection locked="0"/>
    </xf>
    <xf numFmtId="0" fontId="15" fillId="0" borderId="0" xfId="0" applyFont="1" applyFill="1" applyBorder="1" applyAlignment="1" applyProtection="1">
      <alignment horizontal="left" vertical="top" wrapText="1"/>
      <protection locked="0"/>
    </xf>
    <xf numFmtId="176" fontId="17" fillId="0" borderId="15" xfId="0" applyNumberFormat="1" applyFont="1" applyFill="1" applyBorder="1" applyAlignment="1" applyProtection="1">
      <alignment horizontal="center" vertical="top" wrapText="1"/>
      <protection locked="0"/>
    </xf>
    <xf numFmtId="176" fontId="17" fillId="0" borderId="7" xfId="0" applyNumberFormat="1" applyFont="1" applyFill="1" applyBorder="1" applyAlignment="1" applyProtection="1">
      <alignment horizontal="center" vertical="top" wrapText="1"/>
      <protection locked="0"/>
    </xf>
    <xf numFmtId="176" fontId="17" fillId="0" borderId="12" xfId="0" applyNumberFormat="1" applyFont="1" applyFill="1" applyBorder="1" applyAlignment="1" applyProtection="1">
      <alignment horizontal="center" vertical="top" wrapText="1"/>
      <protection locked="0"/>
    </xf>
    <xf numFmtId="176" fontId="17" fillId="0" borderId="0" xfId="0" applyNumberFormat="1" applyFont="1" applyFill="1" applyBorder="1" applyAlignment="1" applyProtection="1">
      <alignment horizontal="center" vertical="top" wrapText="1"/>
      <protection locked="0"/>
    </xf>
    <xf numFmtId="2" fontId="17" fillId="0" borderId="12" xfId="0" applyNumberFormat="1" applyFont="1" applyFill="1" applyBorder="1" applyAlignment="1" applyProtection="1">
      <alignment horizontal="right" vertical="top" wrapText="1" indent="2"/>
      <protection locked="0"/>
    </xf>
    <xf numFmtId="2" fontId="17" fillId="0" borderId="0" xfId="0" applyNumberFormat="1" applyFont="1" applyFill="1" applyBorder="1" applyAlignment="1" applyProtection="1">
      <alignment horizontal="right" vertical="top" wrapText="1" indent="2"/>
      <protection locked="0"/>
    </xf>
    <xf numFmtId="0" fontId="0" fillId="0" borderId="6" xfId="0" applyFill="1" applyBorder="1" applyAlignment="1" applyProtection="1">
      <alignment horizontal="left" vertical="top" wrapText="1"/>
      <protection locked="0"/>
    </xf>
    <xf numFmtId="0" fontId="0" fillId="0" borderId="12"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11" xfId="0" applyFill="1" applyBorder="1" applyAlignment="1" applyProtection="1">
      <alignment horizontal="left" vertical="top" wrapText="1"/>
      <protection locked="0"/>
    </xf>
    <xf numFmtId="176" fontId="17" fillId="0" borderId="14" xfId="0" applyNumberFormat="1" applyFont="1" applyFill="1" applyBorder="1" applyAlignment="1" applyProtection="1">
      <alignment horizontal="center" vertical="top" wrapText="1"/>
      <protection locked="0"/>
    </xf>
    <xf numFmtId="176" fontId="17" fillId="0" borderId="8" xfId="0" applyNumberFormat="1" applyFont="1" applyFill="1" applyBorder="1" applyAlignment="1" applyProtection="1">
      <alignment horizontal="center" vertical="top" wrapText="1"/>
      <protection locked="0"/>
    </xf>
    <xf numFmtId="178" fontId="17" fillId="0" borderId="5" xfId="0" applyNumberFormat="1" applyFont="1" applyFill="1" applyBorder="1" applyAlignment="1" applyProtection="1">
      <alignment horizontal="center" vertical="top" wrapText="1"/>
      <protection locked="0"/>
    </xf>
    <xf numFmtId="178" fontId="17" fillId="0" borderId="9" xfId="0" applyNumberFormat="1" applyFont="1" applyFill="1" applyBorder="1" applyAlignment="1" applyProtection="1">
      <alignment horizontal="center" vertical="top" wrapText="1"/>
      <protection locked="0"/>
    </xf>
    <xf numFmtId="176" fontId="17" fillId="0" borderId="9" xfId="0" applyNumberFormat="1" applyFont="1" applyFill="1" applyBorder="1" applyAlignment="1" applyProtection="1">
      <alignment horizontal="center" vertical="top" wrapText="1"/>
      <protection locked="0"/>
    </xf>
    <xf numFmtId="176" fontId="17" fillId="0" borderId="10" xfId="0" applyNumberFormat="1" applyFont="1" applyFill="1" applyBorder="1" applyAlignment="1" applyProtection="1">
      <alignment horizontal="center" vertical="top" wrapText="1"/>
      <protection locked="0"/>
    </xf>
    <xf numFmtId="2" fontId="17" fillId="0" borderId="5" xfId="0" applyNumberFormat="1" applyFont="1" applyFill="1" applyBorder="1" applyAlignment="1" applyProtection="1">
      <alignment horizontal="right" vertical="top" wrapText="1" indent="1"/>
      <protection locked="0"/>
    </xf>
    <xf numFmtId="2" fontId="17" fillId="0" borderId="9" xfId="0" applyNumberFormat="1" applyFont="1" applyFill="1" applyBorder="1" applyAlignment="1" applyProtection="1">
      <alignment horizontal="right" vertical="top" wrapText="1" indent="2"/>
      <protection locked="0"/>
    </xf>
    <xf numFmtId="176" fontId="17" fillId="0" borderId="16" xfId="0" applyNumberFormat="1" applyFont="1" applyFill="1" applyBorder="1" applyAlignment="1" applyProtection="1">
      <alignment horizontal="center" vertical="top" wrapText="1"/>
      <protection locked="0"/>
    </xf>
    <xf numFmtId="180" fontId="17" fillId="0" borderId="15" xfId="0" applyNumberFormat="1" applyFont="1" applyFill="1" applyBorder="1" applyAlignment="1" applyProtection="1">
      <alignment horizontal="right" vertical="top" wrapText="1" indent="2"/>
      <protection locked="0"/>
    </xf>
    <xf numFmtId="180" fontId="17" fillId="0" borderId="7" xfId="0" applyNumberFormat="1" applyFont="1" applyFill="1" applyBorder="1" applyAlignment="1" applyProtection="1">
      <alignment horizontal="right" vertical="top" wrapText="1" indent="2"/>
      <protection locked="0"/>
    </xf>
    <xf numFmtId="176" fontId="17" fillId="0" borderId="11" xfId="0" applyNumberFormat="1" applyFont="1" applyFill="1" applyBorder="1" applyAlignment="1" applyProtection="1">
      <alignment horizontal="center" vertical="top" wrapText="1"/>
      <protection locked="0"/>
    </xf>
    <xf numFmtId="2" fontId="17" fillId="0" borderId="12" xfId="0" applyNumberFormat="1" applyFont="1" applyFill="1" applyBorder="1" applyAlignment="1" applyProtection="1">
      <alignment horizontal="right" vertical="top" wrapText="1" indent="1"/>
      <protection locked="0"/>
    </xf>
    <xf numFmtId="176" fontId="17" fillId="0" borderId="13" xfId="0" applyNumberFormat="1" applyFont="1" applyFill="1" applyBorder="1" applyAlignment="1" applyProtection="1">
      <alignment horizontal="center" vertical="top" wrapText="1"/>
      <protection locked="0"/>
    </xf>
    <xf numFmtId="2" fontId="17" fillId="0" borderId="14" xfId="0" applyNumberFormat="1" applyFont="1" applyFill="1" applyBorder="1" applyAlignment="1" applyProtection="1">
      <alignment horizontal="right" vertical="top" wrapText="1" indent="1"/>
      <protection locked="0"/>
    </xf>
    <xf numFmtId="2" fontId="17" fillId="0" borderId="8" xfId="0" applyNumberFormat="1" applyFont="1" applyFill="1" applyBorder="1" applyAlignment="1" applyProtection="1">
      <alignment horizontal="right" vertical="top" wrapText="1" indent="2"/>
      <protection locked="0"/>
    </xf>
    <xf numFmtId="2" fontId="17" fillId="0" borderId="0" xfId="0" applyNumberFormat="1" applyFont="1" applyFill="1" applyBorder="1" applyAlignment="1" applyProtection="1">
      <alignment horizontal="right" vertical="top" wrapText="1" indent="1"/>
      <protection locked="0"/>
    </xf>
    <xf numFmtId="2" fontId="17" fillId="0" borderId="15" xfId="0" applyNumberFormat="1" applyFont="1" applyFill="1" applyBorder="1" applyAlignment="1" applyProtection="1">
      <alignment horizontal="right" vertical="top" wrapText="1" indent="1"/>
      <protection locked="0"/>
    </xf>
    <xf numFmtId="2" fontId="17" fillId="0" borderId="7" xfId="0" applyNumberFormat="1" applyFont="1" applyFill="1" applyBorder="1" applyAlignment="1" applyProtection="1">
      <alignment horizontal="right" vertical="top" wrapText="1" indent="2"/>
      <protection locked="0"/>
    </xf>
    <xf numFmtId="180" fontId="17" fillId="0" borderId="12" xfId="0" applyNumberFormat="1" applyFont="1" applyFill="1" applyBorder="1" applyAlignment="1" applyProtection="1">
      <alignment horizontal="right" vertical="top" wrapText="1" indent="2"/>
      <protection locked="0"/>
    </xf>
    <xf numFmtId="180" fontId="17" fillId="0" borderId="0" xfId="0" applyNumberFormat="1" applyFont="1" applyFill="1" applyBorder="1" applyAlignment="1" applyProtection="1">
      <alignment horizontal="right" vertical="top" wrapText="1" indent="2"/>
      <protection locked="0"/>
    </xf>
    <xf numFmtId="180" fontId="17" fillId="0" borderId="14" xfId="0" applyNumberFormat="1" applyFont="1" applyFill="1" applyBorder="1" applyAlignment="1" applyProtection="1">
      <alignment horizontal="right" vertical="top" wrapText="1" indent="2"/>
      <protection locked="0"/>
    </xf>
    <xf numFmtId="180" fontId="17" fillId="0" borderId="8" xfId="0" applyNumberFormat="1" applyFont="1" applyFill="1" applyBorder="1" applyAlignment="1" applyProtection="1">
      <alignment horizontal="right" vertical="top" wrapText="1" indent="2"/>
      <protection locked="0"/>
    </xf>
    <xf numFmtId="0" fontId="5" fillId="0" borderId="0" xfId="0" applyFont="1" applyFill="1" applyBorder="1" applyAlignment="1" applyProtection="1">
      <alignment horizontal="left" vertical="top"/>
    </xf>
    <xf numFmtId="0" fontId="0" fillId="0" borderId="0" xfId="0" applyFill="1" applyBorder="1" applyAlignment="1" applyProtection="1">
      <alignment horizontal="left" vertical="top"/>
    </xf>
    <xf numFmtId="0" fontId="3" fillId="0" borderId="4" xfId="0" applyFont="1" applyFill="1" applyBorder="1" applyAlignment="1" applyProtection="1">
      <alignment horizontal="left" vertical="top"/>
    </xf>
    <xf numFmtId="0" fontId="3" fillId="0" borderId="0" xfId="0" applyFont="1" applyFill="1" applyBorder="1" applyAlignment="1" applyProtection="1">
      <alignment horizontal="left" vertical="top"/>
    </xf>
    <xf numFmtId="0" fontId="13" fillId="0" borderId="0" xfId="0" applyFont="1" applyFill="1" applyBorder="1" applyAlignment="1" applyProtection="1">
      <alignment horizontal="left" vertical="top"/>
    </xf>
    <xf numFmtId="0" fontId="7" fillId="0" borderId="0" xfId="0" applyFont="1" applyFill="1" applyBorder="1" applyAlignment="1" applyProtection="1">
      <alignment horizontal="left" vertical="top"/>
    </xf>
    <xf numFmtId="0" fontId="15" fillId="0" borderId="0" xfId="0" applyFont="1" applyFill="1" applyBorder="1" applyAlignment="1" applyProtection="1">
      <alignment horizontal="left" vertical="top"/>
    </xf>
    <xf numFmtId="0" fontId="9" fillId="0" borderId="0" xfId="0" applyFont="1" applyFill="1" applyBorder="1" applyAlignment="1" applyProtection="1">
      <alignment horizontal="left" vertical="top"/>
    </xf>
    <xf numFmtId="0" fontId="1" fillId="0" borderId="4" xfId="0" applyFont="1" applyFill="1" applyBorder="1" applyAlignment="1" applyProtection="1">
      <alignment horizontal="left" vertical="top" wrapText="1"/>
    </xf>
    <xf numFmtId="0" fontId="0" fillId="0" borderId="4" xfId="0" applyFill="1" applyBorder="1" applyAlignment="1" applyProtection="1">
      <alignment horizontal="right" vertical="top"/>
    </xf>
    <xf numFmtId="177" fontId="0" fillId="0" borderId="0" xfId="0" applyNumberFormat="1" applyFill="1" applyBorder="1" applyAlignment="1" applyProtection="1">
      <alignment horizontal="left" vertical="top"/>
    </xf>
    <xf numFmtId="178" fontId="0" fillId="0" borderId="0" xfId="0" applyNumberFormat="1" applyFill="1" applyBorder="1" applyAlignment="1" applyProtection="1">
      <alignment horizontal="left" vertical="top"/>
    </xf>
    <xf numFmtId="2" fontId="0" fillId="0" borderId="0" xfId="0" applyNumberFormat="1" applyFill="1" applyBorder="1" applyAlignment="1" applyProtection="1">
      <alignment horizontal="left" vertical="top"/>
    </xf>
    <xf numFmtId="176" fontId="0" fillId="0" borderId="0" xfId="0" applyNumberFormat="1" applyFill="1" applyBorder="1" applyAlignment="1" applyProtection="1">
      <alignment horizontal="left" vertical="top"/>
    </xf>
    <xf numFmtId="11" fontId="6" fillId="2" borderId="4" xfId="0" applyNumberFormat="1" applyFont="1" applyFill="1" applyBorder="1" applyAlignment="1" applyProtection="1">
      <alignment horizontal="right" vertical="top"/>
      <protection locked="0"/>
    </xf>
    <xf numFmtId="0" fontId="6" fillId="2" borderId="4" xfId="0" applyFont="1" applyFill="1" applyBorder="1" applyAlignment="1" applyProtection="1">
      <alignment horizontal="right" vertical="top"/>
      <protection locked="0"/>
    </xf>
    <xf numFmtId="183" fontId="1" fillId="0" borderId="4" xfId="0" applyNumberFormat="1"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xf>
    <xf numFmtId="182" fontId="0" fillId="0" borderId="4" xfId="0" applyNumberFormat="1" applyFill="1" applyBorder="1" applyAlignment="1" applyProtection="1">
      <alignment horizontal="right" vertical="top"/>
      <protection locked="0"/>
    </xf>
    <xf numFmtId="185" fontId="0" fillId="0" borderId="4" xfId="0" applyNumberFormat="1" applyFill="1" applyBorder="1" applyAlignment="1" applyProtection="1">
      <alignment horizontal="right" vertical="top"/>
      <protection locked="0"/>
    </xf>
    <xf numFmtId="0" fontId="5" fillId="0" borderId="0" xfId="1" applyFont="1" applyAlignment="1">
      <alignment horizontal="left" vertical="top"/>
    </xf>
    <xf numFmtId="0" fontId="3" fillId="0" borderId="0" xfId="1" applyAlignment="1">
      <alignment horizontal="left" vertical="top"/>
    </xf>
    <xf numFmtId="0" fontId="1" fillId="0" borderId="0" xfId="1" applyFont="1" applyAlignment="1">
      <alignment horizontal="left" vertical="top"/>
    </xf>
    <xf numFmtId="0" fontId="1" fillId="0" borderId="1" xfId="1" applyFont="1" applyBorder="1" applyAlignment="1">
      <alignment horizontal="left" vertical="top" wrapText="1"/>
    </xf>
    <xf numFmtId="0" fontId="3" fillId="0" borderId="1" xfId="1" applyBorder="1" applyAlignment="1">
      <alignment horizontal="left" vertical="top"/>
    </xf>
    <xf numFmtId="0" fontId="3" fillId="0" borderId="19" xfId="1" applyBorder="1" applyAlignment="1">
      <alignment horizontal="left" vertical="top" wrapText="1"/>
    </xf>
    <xf numFmtId="0" fontId="3" fillId="0" borderId="20" xfId="1" applyBorder="1" applyAlignment="1">
      <alignment vertical="top" wrapText="1"/>
    </xf>
    <xf numFmtId="0" fontId="3" fillId="0" borderId="19" xfId="1" applyBorder="1" applyAlignment="1">
      <alignment vertical="top" wrapText="1"/>
    </xf>
    <xf numFmtId="0" fontId="3" fillId="0" borderId="21" xfId="1" applyBorder="1" applyAlignment="1">
      <alignment vertical="top" wrapText="1"/>
    </xf>
    <xf numFmtId="0" fontId="3" fillId="0" borderId="0" xfId="1" applyAlignment="1">
      <alignment vertical="top" wrapText="1"/>
    </xf>
    <xf numFmtId="0" fontId="25" fillId="0" borderId="22" xfId="1" applyFont="1" applyBorder="1" applyAlignment="1">
      <alignment horizontal="left" vertical="top" wrapText="1" indent="1"/>
    </xf>
    <xf numFmtId="0" fontId="3" fillId="0" borderId="22" xfId="1" applyBorder="1" applyAlignment="1">
      <alignment horizontal="center" vertical="top" wrapText="1"/>
    </xf>
    <xf numFmtId="0" fontId="3" fillId="0" borderId="23" xfId="1" applyBorder="1" applyAlignment="1">
      <alignment horizontal="left" vertical="top" wrapText="1" indent="1"/>
    </xf>
    <xf numFmtId="0" fontId="3" fillId="0" borderId="24" xfId="1" applyBorder="1" applyAlignment="1">
      <alignment horizontal="center" vertical="top" wrapText="1"/>
    </xf>
    <xf numFmtId="0" fontId="3" fillId="0" borderId="23" xfId="1" applyBorder="1" applyAlignment="1">
      <alignment horizontal="right" vertical="top" wrapText="1" indent="1"/>
    </xf>
    <xf numFmtId="0" fontId="3" fillId="0" borderId="24" xfId="1" applyBorder="1" applyAlignment="1">
      <alignment vertical="top" wrapText="1"/>
    </xf>
    <xf numFmtId="0" fontId="3" fillId="0" borderId="22" xfId="1" applyBorder="1" applyAlignment="1">
      <alignment vertical="top" wrapText="1"/>
    </xf>
    <xf numFmtId="0" fontId="1" fillId="0" borderId="25" xfId="1" applyFont="1" applyBorder="1" applyAlignment="1">
      <alignment horizontal="right" vertical="top" wrapText="1"/>
    </xf>
    <xf numFmtId="178" fontId="3" fillId="0" borderId="25" xfId="1" applyNumberFormat="1" applyBorder="1" applyAlignment="1">
      <alignment horizontal="right" vertical="top" wrapText="1" indent="1"/>
    </xf>
    <xf numFmtId="178" fontId="3" fillId="0" borderId="27" xfId="1" applyNumberFormat="1" applyBorder="1" applyAlignment="1">
      <alignment vertical="top" wrapText="1"/>
    </xf>
    <xf numFmtId="178" fontId="3" fillId="0" borderId="0" xfId="1" applyNumberFormat="1" applyAlignment="1">
      <alignment vertical="top" wrapText="1"/>
    </xf>
    <xf numFmtId="0" fontId="25" fillId="0" borderId="28" xfId="1" applyFont="1" applyBorder="1" applyAlignment="1">
      <alignment horizontal="right" vertical="top" wrapText="1" indent="2"/>
    </xf>
    <xf numFmtId="0" fontId="1" fillId="0" borderId="29" xfId="1" applyFont="1" applyBorder="1" applyAlignment="1">
      <alignment vertical="top" wrapText="1"/>
    </xf>
    <xf numFmtId="180" fontId="3" fillId="0" borderId="30" xfId="1" applyNumberFormat="1" applyBorder="1" applyAlignment="1">
      <alignment horizontal="right" vertical="top" wrapText="1"/>
    </xf>
    <xf numFmtId="1" fontId="3" fillId="0" borderId="29" xfId="1" applyNumberFormat="1" applyBorder="1" applyAlignment="1">
      <alignment vertical="top" wrapText="1"/>
    </xf>
    <xf numFmtId="186" fontId="3" fillId="0" borderId="0" xfId="1" applyNumberFormat="1" applyAlignment="1">
      <alignment horizontal="left" vertical="top"/>
    </xf>
    <xf numFmtId="0" fontId="24" fillId="0" borderId="20" xfId="1" applyFont="1" applyBorder="1" applyAlignment="1">
      <alignment vertical="top" wrapText="1"/>
    </xf>
    <xf numFmtId="0" fontId="24" fillId="0" borderId="21" xfId="1" applyFont="1" applyBorder="1" applyAlignment="1">
      <alignment vertical="top" wrapText="1"/>
    </xf>
    <xf numFmtId="178" fontId="3" fillId="0" borderId="25" xfId="1" applyNumberFormat="1" applyBorder="1" applyAlignment="1">
      <alignment horizontal="center" vertical="top" wrapText="1"/>
    </xf>
    <xf numFmtId="0" fontId="3" fillId="0" borderId="0" xfId="1" applyFont="1" applyAlignment="1">
      <alignment horizontal="left" vertical="top"/>
    </xf>
    <xf numFmtId="183" fontId="1" fillId="0" borderId="0" xfId="0" applyNumberFormat="1" applyFont="1" applyFill="1" applyBorder="1" applyAlignment="1" applyProtection="1">
      <alignment horizontal="left" vertical="top"/>
    </xf>
    <xf numFmtId="183" fontId="1" fillId="0" borderId="4" xfId="0" applyNumberFormat="1" applyFont="1" applyFill="1" applyBorder="1" applyAlignment="1" applyProtection="1">
      <alignment horizontal="left" vertical="top" wrapText="1"/>
    </xf>
    <xf numFmtId="184" fontId="1" fillId="0" borderId="4" xfId="0" applyNumberFormat="1" applyFont="1" applyFill="1" applyBorder="1" applyAlignment="1" applyProtection="1">
      <alignment horizontal="right" vertical="top"/>
    </xf>
    <xf numFmtId="0" fontId="1" fillId="0" borderId="0" xfId="0" applyFont="1" applyFill="1" applyBorder="1" applyAlignment="1" applyProtection="1">
      <alignment horizontal="left" vertical="top"/>
      <protection locked="0"/>
    </xf>
    <xf numFmtId="183" fontId="1" fillId="0" borderId="0" xfId="0" applyNumberFormat="1" applyFont="1" applyFill="1" applyBorder="1" applyAlignment="1" applyProtection="1">
      <alignment horizontal="left" vertical="top"/>
      <protection locked="0"/>
    </xf>
    <xf numFmtId="183" fontId="28" fillId="0" borderId="0" xfId="0" applyNumberFormat="1" applyFont="1" applyFill="1" applyBorder="1" applyAlignment="1" applyProtection="1">
      <alignment horizontal="left" vertical="center" indent="10"/>
      <protection locked="0"/>
    </xf>
    <xf numFmtId="183" fontId="28" fillId="0" borderId="0" xfId="0" applyNumberFormat="1" applyFont="1" applyFill="1" applyBorder="1" applyAlignment="1" applyProtection="1">
      <alignment horizontal="left" vertical="center"/>
      <protection locked="0"/>
    </xf>
    <xf numFmtId="183" fontId="29" fillId="0" borderId="0" xfId="0" applyNumberFormat="1" applyFont="1" applyFill="1" applyBorder="1" applyAlignment="1" applyProtection="1">
      <alignment horizontal="left" vertical="center" indent="15"/>
      <protection locked="0"/>
    </xf>
    <xf numFmtId="0" fontId="1" fillId="0" borderId="4" xfId="0" applyFont="1" applyFill="1" applyBorder="1" applyAlignment="1" applyProtection="1">
      <alignment horizontal="left" vertical="top"/>
    </xf>
    <xf numFmtId="0" fontId="1" fillId="0" borderId="4" xfId="0" applyFont="1" applyFill="1" applyBorder="1" applyAlignment="1" applyProtection="1">
      <alignment horizontal="right" vertical="top" wrapText="1"/>
    </xf>
    <xf numFmtId="179" fontId="1" fillId="0" borderId="4" xfId="0" applyNumberFormat="1" applyFont="1" applyFill="1" applyBorder="1" applyAlignment="1" applyProtection="1">
      <alignment horizontal="right" vertical="top" wrapText="1"/>
    </xf>
    <xf numFmtId="181" fontId="1" fillId="0" borderId="4" xfId="0" applyNumberFormat="1" applyFont="1" applyFill="1" applyBorder="1" applyAlignment="1" applyProtection="1">
      <alignment horizontal="right" vertical="top" wrapText="1"/>
    </xf>
    <xf numFmtId="0" fontId="1" fillId="0" borderId="0" xfId="0" applyFont="1" applyFill="1" applyBorder="1" applyAlignment="1" applyProtection="1">
      <alignment horizontal="right" vertical="top" wrapText="1"/>
    </xf>
    <xf numFmtId="179" fontId="1" fillId="0" borderId="0" xfId="0" applyNumberFormat="1" applyFont="1" applyFill="1" applyBorder="1" applyAlignment="1" applyProtection="1">
      <alignment horizontal="right" vertical="top" wrapText="1"/>
    </xf>
    <xf numFmtId="181" fontId="1" fillId="0" borderId="0" xfId="0" applyNumberFormat="1" applyFont="1" applyFill="1" applyBorder="1" applyAlignment="1" applyProtection="1">
      <alignment horizontal="right" vertical="top" wrapText="1"/>
    </xf>
    <xf numFmtId="0" fontId="1" fillId="0" borderId="10" xfId="0"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top" wrapText="1"/>
      <protection locked="0"/>
    </xf>
    <xf numFmtId="0" fontId="1" fillId="0" borderId="9" xfId="0" applyFont="1" applyFill="1" applyBorder="1" applyAlignment="1" applyProtection="1">
      <alignment horizontal="left" vertical="top" wrapText="1"/>
      <protection locked="0"/>
    </xf>
    <xf numFmtId="0" fontId="1" fillId="0" borderId="9" xfId="0" applyFont="1" applyFill="1" applyBorder="1" applyAlignment="1" applyProtection="1">
      <alignment horizontal="left" vertical="top" wrapText="1" indent="2"/>
      <protection locked="0"/>
    </xf>
    <xf numFmtId="1" fontId="15" fillId="0" borderId="1" xfId="0" applyNumberFormat="1" applyFont="1" applyFill="1" applyBorder="1" applyAlignment="1" applyProtection="1">
      <alignment horizontal="right" vertical="top" wrapText="1" indent="3"/>
      <protection locked="0"/>
    </xf>
    <xf numFmtId="2" fontId="15" fillId="0" borderId="1" xfId="0" applyNumberFormat="1" applyFont="1" applyFill="1" applyBorder="1" applyAlignment="1" applyProtection="1">
      <alignment horizontal="center" vertical="top" wrapText="1"/>
      <protection locked="0"/>
    </xf>
    <xf numFmtId="10" fontId="15" fillId="0" borderId="1" xfId="0" applyNumberFormat="1" applyFont="1" applyFill="1" applyBorder="1" applyAlignment="1" applyProtection="1">
      <alignment horizontal="right" vertical="top" wrapText="1" indent="1"/>
      <protection locked="0"/>
    </xf>
    <xf numFmtId="1" fontId="15" fillId="0" borderId="1" xfId="0" applyNumberFormat="1" applyFont="1" applyFill="1" applyBorder="1" applyAlignment="1" applyProtection="1">
      <alignment vertical="top" wrapText="1"/>
      <protection locked="0"/>
    </xf>
    <xf numFmtId="176" fontId="15" fillId="0" borderId="1" xfId="0" applyNumberFormat="1" applyFont="1" applyFill="1" applyBorder="1" applyAlignment="1" applyProtection="1">
      <alignment horizontal="right" vertical="top" wrapText="1" indent="1"/>
      <protection locked="0"/>
    </xf>
    <xf numFmtId="1" fontId="15" fillId="0" borderId="16" xfId="0" applyNumberFormat="1" applyFont="1" applyFill="1" applyBorder="1" applyAlignment="1" applyProtection="1">
      <alignment horizontal="right" vertical="top" wrapText="1" indent="3"/>
      <protection locked="0"/>
    </xf>
    <xf numFmtId="178" fontId="15" fillId="0" borderId="15" xfId="0" applyNumberFormat="1" applyFont="1" applyFill="1" applyBorder="1" applyAlignment="1" applyProtection="1">
      <alignment horizontal="center" vertical="top" wrapText="1"/>
      <protection locked="0"/>
    </xf>
    <xf numFmtId="10" fontId="15" fillId="0" borderId="7" xfId="0" applyNumberFormat="1" applyFont="1" applyFill="1" applyBorder="1" applyAlignment="1" applyProtection="1">
      <alignment horizontal="right" vertical="top" wrapText="1" indent="1"/>
      <protection locked="0"/>
    </xf>
    <xf numFmtId="1" fontId="15" fillId="0" borderId="7" xfId="0" applyNumberFormat="1" applyFont="1" applyFill="1" applyBorder="1" applyAlignment="1" applyProtection="1">
      <alignment vertical="top" wrapText="1"/>
      <protection locked="0"/>
    </xf>
    <xf numFmtId="178" fontId="15" fillId="0" borderId="7" xfId="0" applyNumberFormat="1" applyFont="1" applyFill="1" applyBorder="1" applyAlignment="1" applyProtection="1">
      <alignment horizontal="right" vertical="top" wrapText="1" indent="1"/>
      <protection locked="0"/>
    </xf>
    <xf numFmtId="10" fontId="15" fillId="0" borderId="16" xfId="0" applyNumberFormat="1" applyFont="1" applyFill="1" applyBorder="1" applyAlignment="1" applyProtection="1">
      <alignment horizontal="right" vertical="top" wrapText="1" indent="1"/>
      <protection locked="0"/>
    </xf>
    <xf numFmtId="1" fontId="15" fillId="0" borderId="11" xfId="0" applyNumberFormat="1" applyFont="1" applyFill="1" applyBorder="1" applyAlignment="1" applyProtection="1">
      <alignment horizontal="right" vertical="top" wrapText="1" indent="3"/>
      <protection locked="0"/>
    </xf>
    <xf numFmtId="178" fontId="15" fillId="0" borderId="12" xfId="0" applyNumberFormat="1" applyFont="1" applyFill="1" applyBorder="1" applyAlignment="1" applyProtection="1">
      <alignment horizontal="center" vertical="top" wrapText="1"/>
      <protection locked="0"/>
    </xf>
    <xf numFmtId="10" fontId="15" fillId="0" borderId="0" xfId="0" applyNumberFormat="1" applyFont="1" applyFill="1" applyBorder="1" applyAlignment="1" applyProtection="1">
      <alignment horizontal="right" vertical="top" wrapText="1" indent="1"/>
      <protection locked="0"/>
    </xf>
    <xf numFmtId="1" fontId="15" fillId="0" borderId="0" xfId="0" applyNumberFormat="1" applyFont="1" applyFill="1" applyBorder="1" applyAlignment="1" applyProtection="1">
      <alignment vertical="top" wrapText="1"/>
      <protection locked="0"/>
    </xf>
    <xf numFmtId="178" fontId="15" fillId="0" borderId="0" xfId="0" applyNumberFormat="1" applyFont="1" applyFill="1" applyBorder="1" applyAlignment="1" applyProtection="1">
      <alignment horizontal="right" vertical="top" wrapText="1" indent="1"/>
      <protection locked="0"/>
    </xf>
    <xf numFmtId="10" fontId="15" fillId="0" borderId="11" xfId="0" applyNumberFormat="1" applyFont="1" applyFill="1" applyBorder="1" applyAlignment="1" applyProtection="1">
      <alignment horizontal="right" vertical="top" wrapText="1" indent="1"/>
      <protection locked="0"/>
    </xf>
    <xf numFmtId="1" fontId="15" fillId="0" borderId="13" xfId="0" applyNumberFormat="1" applyFont="1" applyFill="1" applyBorder="1" applyAlignment="1" applyProtection="1">
      <alignment horizontal="right" vertical="top" wrapText="1" indent="3"/>
      <protection locked="0"/>
    </xf>
    <xf numFmtId="178" fontId="15" fillId="0" borderId="14" xfId="0" applyNumberFormat="1" applyFont="1" applyFill="1" applyBorder="1" applyAlignment="1" applyProtection="1">
      <alignment horizontal="center" vertical="top" wrapText="1"/>
      <protection locked="0"/>
    </xf>
    <xf numFmtId="10" fontId="15" fillId="0" borderId="8" xfId="0" applyNumberFormat="1" applyFont="1" applyFill="1" applyBorder="1" applyAlignment="1" applyProtection="1">
      <alignment horizontal="right" vertical="top" wrapText="1" indent="1"/>
      <protection locked="0"/>
    </xf>
    <xf numFmtId="1" fontId="15" fillId="0" borderId="8" xfId="0" applyNumberFormat="1" applyFont="1" applyFill="1" applyBorder="1" applyAlignment="1" applyProtection="1">
      <alignment vertical="top" wrapText="1"/>
      <protection locked="0"/>
    </xf>
    <xf numFmtId="178" fontId="15" fillId="0" borderId="8" xfId="0" applyNumberFormat="1" applyFont="1" applyFill="1" applyBorder="1" applyAlignment="1" applyProtection="1">
      <alignment horizontal="right" vertical="top" wrapText="1" indent="1"/>
      <protection locked="0"/>
    </xf>
    <xf numFmtId="10" fontId="15" fillId="0" borderId="13" xfId="0" applyNumberFormat="1" applyFont="1" applyFill="1" applyBorder="1" applyAlignment="1" applyProtection="1">
      <alignment horizontal="right" vertical="top" wrapText="1" indent="1"/>
      <protection locked="0"/>
    </xf>
    <xf numFmtId="1" fontId="15" fillId="0" borderId="0" xfId="0" applyNumberFormat="1" applyFont="1" applyFill="1" applyBorder="1" applyAlignment="1" applyProtection="1">
      <alignment horizontal="right" vertical="top" wrapText="1" indent="3"/>
      <protection locked="0"/>
    </xf>
    <xf numFmtId="178" fontId="15" fillId="0" borderId="0" xfId="0" applyNumberFormat="1" applyFont="1" applyFill="1" applyBorder="1" applyAlignment="1" applyProtection="1">
      <alignment horizontal="center" vertical="top" wrapText="1"/>
      <protection locked="0"/>
    </xf>
    <xf numFmtId="1" fontId="15" fillId="0" borderId="0" xfId="0" applyNumberFormat="1" applyFont="1" applyFill="1" applyBorder="1" applyAlignment="1" applyProtection="1">
      <alignment horizontal="left" vertical="top" wrapText="1" indent="3"/>
      <protection locked="0"/>
    </xf>
    <xf numFmtId="176" fontId="15" fillId="0" borderId="15" xfId="0" applyNumberFormat="1" applyFont="1" applyFill="1" applyBorder="1" applyAlignment="1" applyProtection="1">
      <alignment horizontal="right" vertical="top" wrapText="1" indent="1"/>
      <protection locked="0"/>
    </xf>
    <xf numFmtId="176" fontId="15" fillId="0" borderId="7" xfId="0" applyNumberFormat="1" applyFont="1" applyFill="1" applyBorder="1" applyAlignment="1" applyProtection="1">
      <alignment horizontal="right" vertical="top" wrapText="1" indent="1"/>
      <protection locked="0"/>
    </xf>
    <xf numFmtId="176" fontId="15" fillId="0" borderId="12" xfId="0" applyNumberFormat="1" applyFont="1" applyFill="1" applyBorder="1" applyAlignment="1" applyProtection="1">
      <alignment horizontal="right" vertical="top" wrapText="1" indent="1"/>
      <protection locked="0"/>
    </xf>
    <xf numFmtId="176" fontId="15" fillId="0" borderId="0" xfId="0" applyNumberFormat="1" applyFont="1" applyFill="1" applyBorder="1" applyAlignment="1" applyProtection="1">
      <alignment horizontal="right" vertical="top" wrapText="1" indent="1"/>
      <protection locked="0"/>
    </xf>
    <xf numFmtId="0" fontId="1" fillId="0" borderId="11" xfId="0" applyFont="1" applyFill="1" applyBorder="1" applyAlignment="1" applyProtection="1">
      <alignment horizontal="left" vertical="top" wrapText="1"/>
      <protection locked="0"/>
    </xf>
    <xf numFmtId="0" fontId="1" fillId="0" borderId="12"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0" xfId="0" applyFont="1" applyFill="1" applyBorder="1" applyAlignment="1" applyProtection="1">
      <alignment vertical="top" wrapText="1"/>
      <protection locked="0"/>
    </xf>
    <xf numFmtId="176" fontId="15" fillId="0" borderId="14" xfId="0" applyNumberFormat="1" applyFont="1" applyFill="1" applyBorder="1" applyAlignment="1" applyProtection="1">
      <alignment horizontal="right" vertical="top" wrapText="1" indent="1"/>
      <protection locked="0"/>
    </xf>
    <xf numFmtId="176" fontId="15" fillId="0" borderId="8" xfId="0" applyNumberFormat="1" applyFont="1" applyFill="1" applyBorder="1" applyAlignment="1" applyProtection="1">
      <alignment horizontal="right" vertical="top" wrapText="1" indent="1"/>
      <protection locked="0"/>
    </xf>
    <xf numFmtId="1" fontId="15" fillId="0" borderId="10" xfId="0" applyNumberFormat="1" applyFont="1" applyFill="1" applyBorder="1" applyAlignment="1" applyProtection="1">
      <alignment horizontal="right" vertical="top" wrapText="1" indent="3"/>
      <protection locked="0"/>
    </xf>
    <xf numFmtId="178" fontId="15" fillId="0" borderId="5" xfId="0" applyNumberFormat="1" applyFont="1" applyFill="1" applyBorder="1" applyAlignment="1" applyProtection="1">
      <alignment horizontal="center" vertical="top" wrapText="1"/>
      <protection locked="0"/>
    </xf>
    <xf numFmtId="10" fontId="15" fillId="0" borderId="9" xfId="0" applyNumberFormat="1" applyFont="1" applyFill="1" applyBorder="1" applyAlignment="1" applyProtection="1">
      <alignment horizontal="right" vertical="top" wrapText="1" indent="1"/>
      <protection locked="0"/>
    </xf>
    <xf numFmtId="1" fontId="15" fillId="0" borderId="9" xfId="0" applyNumberFormat="1" applyFont="1" applyFill="1" applyBorder="1" applyAlignment="1" applyProtection="1">
      <alignment vertical="top" wrapText="1"/>
      <protection locked="0"/>
    </xf>
    <xf numFmtId="178" fontId="15" fillId="0" borderId="9" xfId="0" applyNumberFormat="1" applyFont="1" applyFill="1" applyBorder="1" applyAlignment="1" applyProtection="1">
      <alignment horizontal="right" vertical="top" wrapText="1" indent="1"/>
      <protection locked="0"/>
    </xf>
    <xf numFmtId="10" fontId="15" fillId="0" borderId="10" xfId="0" applyNumberFormat="1" applyFont="1" applyFill="1" applyBorder="1" applyAlignment="1" applyProtection="1">
      <alignment horizontal="right" vertical="top" wrapText="1" indent="1"/>
      <protection locked="0"/>
    </xf>
    <xf numFmtId="2" fontId="15" fillId="0" borderId="15" xfId="0" applyNumberFormat="1" applyFont="1" applyFill="1" applyBorder="1" applyAlignment="1" applyProtection="1">
      <alignment horizontal="right" vertical="top" wrapText="1" indent="2"/>
      <protection locked="0"/>
    </xf>
    <xf numFmtId="2" fontId="15" fillId="0" borderId="12" xfId="0" applyNumberFormat="1" applyFont="1" applyFill="1" applyBorder="1" applyAlignment="1" applyProtection="1">
      <alignment horizontal="right" vertical="top" wrapText="1" indent="2"/>
      <protection locked="0"/>
    </xf>
    <xf numFmtId="2" fontId="15" fillId="0" borderId="14" xfId="0" applyNumberFormat="1" applyFont="1" applyFill="1" applyBorder="1" applyAlignment="1" applyProtection="1">
      <alignment horizontal="right" vertical="top" wrapText="1" indent="2"/>
      <protection locked="0"/>
    </xf>
    <xf numFmtId="0" fontId="1" fillId="0" borderId="4" xfId="0" applyFont="1" applyFill="1" applyBorder="1" applyAlignment="1" applyProtection="1">
      <alignment horizontal="right" vertical="top"/>
    </xf>
    <xf numFmtId="0" fontId="30" fillId="0" borderId="4" xfId="0" applyFont="1" applyFill="1" applyBorder="1" applyAlignment="1" applyProtection="1">
      <alignment horizontal="left" vertical="top" wrapText="1"/>
    </xf>
    <xf numFmtId="0" fontId="30" fillId="0" borderId="4" xfId="0" applyFont="1" applyFill="1" applyBorder="1" applyAlignment="1" applyProtection="1">
      <alignment horizontal="center" vertical="top" wrapText="1"/>
    </xf>
    <xf numFmtId="0" fontId="30" fillId="0" borderId="4" xfId="0" applyFont="1" applyFill="1" applyBorder="1" applyAlignment="1" applyProtection="1">
      <alignment horizontal="left" vertical="top"/>
    </xf>
    <xf numFmtId="11" fontId="30" fillId="0" borderId="4" xfId="0" applyNumberFormat="1" applyFont="1" applyFill="1" applyBorder="1" applyAlignment="1" applyProtection="1">
      <alignment horizontal="right" vertical="top"/>
    </xf>
    <xf numFmtId="0" fontId="30" fillId="0" borderId="4" xfId="0" applyFont="1" applyFill="1" applyBorder="1" applyAlignment="1" applyProtection="1">
      <alignment horizontal="right" vertical="top"/>
    </xf>
    <xf numFmtId="178" fontId="30" fillId="0" borderId="4" xfId="0" applyNumberFormat="1" applyFont="1" applyFill="1" applyBorder="1" applyAlignment="1" applyProtection="1">
      <alignment horizontal="right" vertical="top"/>
    </xf>
    <xf numFmtId="2" fontId="30" fillId="0" borderId="4" xfId="0" applyNumberFormat="1" applyFont="1" applyFill="1" applyBorder="1" applyAlignment="1" applyProtection="1">
      <alignment horizontal="right" vertical="top"/>
    </xf>
    <xf numFmtId="184" fontId="30" fillId="0" borderId="4" xfId="0" applyNumberFormat="1" applyFont="1" applyFill="1" applyBorder="1" applyAlignment="1" applyProtection="1">
      <alignment horizontal="right" vertical="top"/>
    </xf>
    <xf numFmtId="0" fontId="30" fillId="0" borderId="4" xfId="0" applyNumberFormat="1" applyFont="1" applyFill="1" applyBorder="1" applyAlignment="1" applyProtection="1">
      <alignment horizontal="right" vertical="top"/>
    </xf>
    <xf numFmtId="0" fontId="25" fillId="0" borderId="0" xfId="1" applyFont="1" applyBorder="1" applyAlignment="1">
      <alignment horizontal="right" vertical="top" wrapText="1" indent="2"/>
    </xf>
    <xf numFmtId="1" fontId="3" fillId="0" borderId="0" xfId="1" applyNumberFormat="1" applyBorder="1" applyAlignment="1">
      <alignment vertical="top" wrapText="1"/>
    </xf>
    <xf numFmtId="0" fontId="1" fillId="0" borderId="0" xfId="1" applyFont="1" applyBorder="1" applyAlignment="1">
      <alignment vertical="top" wrapText="1"/>
    </xf>
    <xf numFmtId="2" fontId="3" fillId="0" borderId="0" xfId="1" applyNumberFormat="1" applyBorder="1" applyAlignment="1">
      <alignment vertical="top" wrapText="1"/>
    </xf>
    <xf numFmtId="180" fontId="3" fillId="0" borderId="0" xfId="1" applyNumberFormat="1" applyBorder="1" applyAlignment="1">
      <alignment vertical="top" wrapText="1"/>
    </xf>
    <xf numFmtId="180" fontId="3" fillId="0" borderId="0" xfId="1" applyNumberFormat="1" applyBorder="1" applyAlignment="1">
      <alignment horizontal="right" vertical="top" wrapText="1"/>
    </xf>
    <xf numFmtId="0" fontId="3" fillId="0" borderId="0" xfId="0" applyFont="1" applyAlignment="1">
      <alignment horizontal="left" vertical="top"/>
    </xf>
    <xf numFmtId="0" fontId="0" fillId="0" borderId="0" xfId="0" applyAlignment="1">
      <alignment horizontal="left" vertical="top"/>
    </xf>
    <xf numFmtId="0" fontId="0" fillId="0" borderId="19" xfId="0" applyBorder="1" applyAlignment="1">
      <alignment horizontal="left" vertical="center" wrapText="1"/>
    </xf>
    <xf numFmtId="0" fontId="33" fillId="0" borderId="22" xfId="0" applyFont="1" applyBorder="1" applyAlignment="1">
      <alignment horizontal="left" vertical="top" wrapText="1" indent="1"/>
    </xf>
    <xf numFmtId="0" fontId="0" fillId="0" borderId="22" xfId="0" applyBorder="1" applyAlignment="1">
      <alignment horizontal="center" vertical="top" wrapText="1"/>
    </xf>
    <xf numFmtId="0" fontId="0" fillId="0" borderId="23" xfId="0" applyBorder="1" applyAlignment="1">
      <alignment horizontal="left" vertical="top" wrapText="1" indent="1"/>
    </xf>
    <xf numFmtId="0" fontId="0" fillId="0" borderId="23" xfId="0" applyBorder="1" applyAlignment="1">
      <alignment horizontal="right" vertical="top" wrapText="1" indent="1"/>
    </xf>
    <xf numFmtId="0" fontId="37" fillId="0" borderId="25" xfId="0" applyFont="1" applyBorder="1" applyAlignment="1">
      <alignment horizontal="right" vertical="top" wrapText="1"/>
    </xf>
    <xf numFmtId="178" fontId="38" fillId="0" borderId="25" xfId="0" applyNumberFormat="1" applyFont="1" applyBorder="1" applyAlignment="1">
      <alignment horizontal="right" vertical="top" indent="1" shrinkToFit="1"/>
    </xf>
    <xf numFmtId="178" fontId="38" fillId="0" borderId="26" xfId="0" applyNumberFormat="1" applyFont="1" applyBorder="1" applyAlignment="1">
      <alignment horizontal="right" vertical="top" shrinkToFit="1"/>
    </xf>
    <xf numFmtId="0" fontId="37" fillId="0" borderId="25" xfId="0" applyFont="1" applyBorder="1" applyAlignment="1">
      <alignment horizontal="right" vertical="top" wrapText="1" indent="1"/>
    </xf>
    <xf numFmtId="0" fontId="37" fillId="0" borderId="31" xfId="0" applyFont="1" applyBorder="1" applyAlignment="1">
      <alignment horizontal="right" vertical="top" wrapText="1"/>
    </xf>
    <xf numFmtId="0" fontId="37" fillId="0" borderId="31" xfId="0" applyFont="1" applyBorder="1" applyAlignment="1">
      <alignment horizontal="right" vertical="top" wrapText="1" indent="1"/>
    </xf>
    <xf numFmtId="178" fontId="38" fillId="0" borderId="32" xfId="0" applyNumberFormat="1" applyFont="1" applyBorder="1" applyAlignment="1">
      <alignment horizontal="right" vertical="top" shrinkToFit="1"/>
    </xf>
    <xf numFmtId="178" fontId="38" fillId="0" borderId="25" xfId="0" applyNumberFormat="1" applyFont="1" applyBorder="1" applyAlignment="1">
      <alignment horizontal="center" vertical="top" shrinkToFit="1"/>
    </xf>
    <xf numFmtId="0" fontId="37" fillId="0" borderId="34" xfId="0" applyFont="1" applyBorder="1" applyAlignment="1">
      <alignment horizontal="left" vertical="top"/>
    </xf>
    <xf numFmtId="0" fontId="37" fillId="0" borderId="34" xfId="0" applyFont="1" applyBorder="1" applyAlignment="1">
      <alignment horizontal="right" vertical="top" wrapText="1" indent="1"/>
    </xf>
    <xf numFmtId="178" fontId="38" fillId="0" borderId="35" xfId="0" applyNumberFormat="1" applyFont="1" applyBorder="1" applyAlignment="1">
      <alignment horizontal="right" vertical="top" shrinkToFit="1"/>
    </xf>
    <xf numFmtId="178" fontId="38" fillId="0" borderId="36" xfId="0" applyNumberFormat="1" applyFont="1" applyBorder="1" applyAlignment="1">
      <alignment horizontal="center" vertical="top" shrinkToFit="1"/>
    </xf>
    <xf numFmtId="178" fontId="38" fillId="0" borderId="34" xfId="0" applyNumberFormat="1" applyFont="1" applyBorder="1" applyAlignment="1">
      <alignment horizontal="center" vertical="top" shrinkToFit="1"/>
    </xf>
    <xf numFmtId="178" fontId="38" fillId="0" borderId="34" xfId="0" applyNumberFormat="1" applyFont="1" applyBorder="1" applyAlignment="1">
      <alignment horizontal="right" vertical="top" shrinkToFit="1"/>
    </xf>
    <xf numFmtId="178" fontId="38" fillId="0" borderId="34" xfId="0" applyNumberFormat="1" applyFont="1" applyBorder="1" applyAlignment="1">
      <alignment horizontal="left" vertical="top" indent="1" shrinkToFit="1"/>
    </xf>
    <xf numFmtId="0" fontId="37" fillId="0" borderId="25" xfId="0" applyFont="1" applyBorder="1" applyAlignment="1">
      <alignment horizontal="center" vertical="top" wrapText="1"/>
    </xf>
    <xf numFmtId="0" fontId="37" fillId="0" borderId="31" xfId="0" applyFont="1" applyBorder="1" applyAlignment="1">
      <alignment horizontal="center" vertical="top" wrapText="1"/>
    </xf>
    <xf numFmtId="0" fontId="6" fillId="2" borderId="4" xfId="0" applyNumberFormat="1" applyFont="1" applyFill="1" applyBorder="1" applyAlignment="1" applyProtection="1">
      <alignment horizontal="right" vertical="top"/>
      <protection locked="0"/>
    </xf>
    <xf numFmtId="0" fontId="1" fillId="0" borderId="4" xfId="0" applyFont="1" applyFill="1" applyBorder="1" applyAlignment="1" applyProtection="1">
      <alignment horizontal="center" vertical="top" wrapText="1"/>
    </xf>
    <xf numFmtId="178" fontId="3" fillId="0" borderId="1" xfId="1" applyNumberFormat="1" applyBorder="1" applyAlignment="1">
      <alignment horizontal="right" vertical="top"/>
    </xf>
    <xf numFmtId="0" fontId="1" fillId="0" borderId="4" xfId="1" applyNumberFormat="1" applyFont="1" applyBorder="1" applyAlignment="1">
      <alignment horizontal="right" vertical="top"/>
    </xf>
    <xf numFmtId="0" fontId="39" fillId="0" borderId="0" xfId="2"/>
    <xf numFmtId="0" fontId="39" fillId="0" borderId="0" xfId="2" applyAlignment="1">
      <alignment horizontal="center"/>
    </xf>
    <xf numFmtId="0" fontId="39" fillId="3" borderId="0" xfId="2" applyFill="1"/>
    <xf numFmtId="2" fontId="39" fillId="3" borderId="0" xfId="2" applyNumberFormat="1" applyFill="1" applyAlignment="1">
      <alignment horizontal="center"/>
    </xf>
    <xf numFmtId="0" fontId="39" fillId="3" borderId="0" xfId="2" applyFill="1" applyAlignment="1">
      <alignment horizontal="center"/>
    </xf>
    <xf numFmtId="178" fontId="39" fillId="4" borderId="0" xfId="2" applyNumberFormat="1" applyFill="1" applyAlignment="1">
      <alignment horizontal="center"/>
    </xf>
    <xf numFmtId="0" fontId="39" fillId="4" borderId="0" xfId="2" applyFill="1" applyAlignment="1">
      <alignment horizontal="center" vertical="center"/>
    </xf>
    <xf numFmtId="1" fontId="40" fillId="4" borderId="0" xfId="2" applyNumberFormat="1" applyFont="1" applyFill="1" applyAlignment="1">
      <alignment horizontal="center"/>
    </xf>
    <xf numFmtId="0" fontId="41" fillId="3" borderId="0" xfId="2" applyFont="1" applyFill="1" applyAlignment="1">
      <alignment horizontal="center"/>
    </xf>
    <xf numFmtId="178" fontId="39" fillId="5" borderId="0" xfId="2" applyNumberFormat="1" applyFill="1" applyAlignment="1">
      <alignment horizontal="center"/>
    </xf>
    <xf numFmtId="0" fontId="39" fillId="5" borderId="0" xfId="2" applyFill="1" applyAlignment="1">
      <alignment horizontal="center"/>
    </xf>
    <xf numFmtId="1" fontId="40" fillId="5" borderId="0" xfId="2" applyNumberFormat="1" applyFont="1" applyFill="1" applyAlignment="1">
      <alignment horizontal="center"/>
    </xf>
    <xf numFmtId="178" fontId="40" fillId="5" borderId="0" xfId="2" applyNumberFormat="1" applyFont="1" applyFill="1" applyAlignment="1">
      <alignment horizontal="center"/>
    </xf>
    <xf numFmtId="0" fontId="41" fillId="4" borderId="0" xfId="2" applyFont="1" applyFill="1" applyAlignment="1">
      <alignment horizontal="center"/>
    </xf>
    <xf numFmtId="0" fontId="41" fillId="4" borderId="0" xfId="2" applyFont="1" applyFill="1" applyAlignment="1">
      <alignment horizontal="center" vertical="center"/>
    </xf>
    <xf numFmtId="0" fontId="41" fillId="5" borderId="0" xfId="2" applyFont="1" applyFill="1" applyAlignment="1">
      <alignment horizontal="center"/>
    </xf>
    <xf numFmtId="2" fontId="41" fillId="3" borderId="0" xfId="2" applyNumberFormat="1" applyFont="1" applyFill="1" applyAlignment="1">
      <alignment horizontal="center"/>
    </xf>
    <xf numFmtId="178" fontId="47" fillId="3" borderId="0" xfId="2" applyNumberFormat="1" applyFont="1" applyFill="1" applyAlignment="1">
      <alignment horizontal="left" vertical="center"/>
    </xf>
    <xf numFmtId="0" fontId="47" fillId="3" borderId="0" xfId="2" applyFont="1" applyFill="1" applyAlignment="1">
      <alignment horizontal="left" vertical="center"/>
    </xf>
    <xf numFmtId="0" fontId="41" fillId="3" borderId="0" xfId="2" applyFont="1" applyFill="1" applyAlignment="1">
      <alignment horizontal="left" vertical="center"/>
    </xf>
    <xf numFmtId="2" fontId="50" fillId="3" borderId="0" xfId="2" applyNumberFormat="1" applyFont="1" applyFill="1" applyAlignment="1">
      <alignment horizontal="center"/>
    </xf>
    <xf numFmtId="2" fontId="51" fillId="3" borderId="0" xfId="2" applyNumberFormat="1" applyFont="1" applyFill="1" applyAlignment="1">
      <alignment horizontal="center"/>
    </xf>
    <xf numFmtId="0" fontId="50" fillId="3" borderId="0" xfId="2" applyFont="1" applyFill="1" applyAlignment="1">
      <alignment horizontal="left"/>
    </xf>
    <xf numFmtId="0" fontId="41" fillId="3" borderId="0" xfId="2" applyFont="1" applyFill="1"/>
    <xf numFmtId="0" fontId="52" fillId="3" borderId="0" xfId="2" applyFont="1" applyFill="1" applyAlignment="1">
      <alignment horizontal="center" vertical="center"/>
    </xf>
    <xf numFmtId="0" fontId="39" fillId="3" borderId="0" xfId="2" applyFill="1" applyAlignment="1">
      <alignment horizontal="center" vertical="center"/>
    </xf>
    <xf numFmtId="0" fontId="41" fillId="3" borderId="0" xfId="2" applyFont="1" applyFill="1" applyAlignment="1">
      <alignment horizontal="center" vertical="center"/>
    </xf>
    <xf numFmtId="178" fontId="40" fillId="4" borderId="0" xfId="2" applyNumberFormat="1" applyFont="1" applyFill="1" applyAlignment="1">
      <alignment horizontal="center"/>
    </xf>
    <xf numFmtId="2" fontId="39" fillId="5" borderId="0" xfId="2" applyNumberFormat="1" applyFill="1" applyAlignment="1">
      <alignment horizontal="center"/>
    </xf>
    <xf numFmtId="0" fontId="39" fillId="4" borderId="0" xfId="2" applyFill="1" applyAlignment="1">
      <alignment horizontal="center"/>
    </xf>
    <xf numFmtId="2" fontId="39" fillId="4" borderId="0" xfId="2" applyNumberFormat="1" applyFill="1" applyAlignment="1">
      <alignment horizontal="center"/>
    </xf>
    <xf numFmtId="2" fontId="39" fillId="3" borderId="0" xfId="2" applyNumberFormat="1" applyFill="1" applyAlignment="1">
      <alignment horizontal="center" vertical="center"/>
    </xf>
    <xf numFmtId="178" fontId="39" fillId="3" borderId="0" xfId="2" applyNumberFormat="1" applyFill="1" applyAlignment="1">
      <alignment horizontal="center" vertical="center"/>
    </xf>
    <xf numFmtId="178" fontId="39" fillId="3" borderId="0" xfId="2" applyNumberFormat="1" applyFill="1" applyAlignment="1">
      <alignment horizontal="center"/>
    </xf>
    <xf numFmtId="178" fontId="53" fillId="4" borderId="0" xfId="2" applyNumberFormat="1" applyFont="1" applyFill="1" applyAlignment="1">
      <alignment horizontal="center"/>
    </xf>
    <xf numFmtId="178" fontId="53" fillId="5" borderId="0" xfId="2" applyNumberFormat="1" applyFont="1" applyFill="1" applyAlignment="1">
      <alignment horizontal="center"/>
    </xf>
    <xf numFmtId="0" fontId="50" fillId="3" borderId="0" xfId="2" applyFont="1" applyFill="1" applyAlignment="1">
      <alignment horizontal="center"/>
    </xf>
    <xf numFmtId="0" fontId="50" fillId="3" borderId="0" xfId="2" applyFont="1" applyFill="1"/>
    <xf numFmtId="0" fontId="6" fillId="0" borderId="4" xfId="0" applyNumberFormat="1" applyFont="1" applyFill="1" applyBorder="1" applyAlignment="1" applyProtection="1">
      <alignment horizontal="right" vertical="top"/>
      <protection locked="0"/>
    </xf>
    <xf numFmtId="0" fontId="6" fillId="0" borderId="4" xfId="0" applyFont="1" applyFill="1" applyBorder="1" applyAlignment="1" applyProtection="1">
      <alignment horizontal="right" vertical="top"/>
      <protection locked="0"/>
    </xf>
    <xf numFmtId="0" fontId="56" fillId="0" borderId="37" xfId="0" applyFont="1" applyBorder="1" applyAlignment="1">
      <alignment horizontal="left" vertical="top" wrapText="1" indent="1"/>
    </xf>
    <xf numFmtId="0" fontId="0" fillId="0" borderId="37" xfId="0" applyBorder="1" applyAlignment="1">
      <alignment horizontal="left" vertical="top" wrapText="1" indent="2"/>
    </xf>
    <xf numFmtId="0" fontId="0" fillId="0" borderId="37" xfId="0" applyBorder="1" applyAlignment="1">
      <alignment horizontal="left" vertical="top" wrapText="1" indent="1"/>
    </xf>
    <xf numFmtId="0" fontId="57" fillId="0" borderId="37" xfId="0" applyFont="1" applyBorder="1" applyAlignment="1">
      <alignment horizontal="left" vertical="top" wrapText="1" indent="2"/>
    </xf>
    <xf numFmtId="0" fontId="60" fillId="0" borderId="38" xfId="0" applyFont="1" applyBorder="1" applyAlignment="1">
      <alignment horizontal="right" vertical="top" wrapText="1" indent="1"/>
    </xf>
    <xf numFmtId="178" fontId="61" fillId="0" borderId="38" xfId="0" applyNumberFormat="1" applyFont="1" applyBorder="1" applyAlignment="1">
      <alignment horizontal="right" vertical="top" indent="2" shrinkToFit="1"/>
    </xf>
    <xf numFmtId="178" fontId="61" fillId="0" borderId="38" xfId="0" applyNumberFormat="1" applyFont="1" applyBorder="1" applyAlignment="1">
      <alignment horizontal="right" vertical="top" indent="1" shrinkToFit="1"/>
    </xf>
    <xf numFmtId="178" fontId="61" fillId="0" borderId="38" xfId="0" applyNumberFormat="1" applyFont="1" applyBorder="1" applyAlignment="1">
      <alignment horizontal="right" vertical="top" shrinkToFit="1"/>
    </xf>
    <xf numFmtId="0" fontId="60" fillId="0" borderId="0" xfId="0" applyFont="1" applyAlignment="1">
      <alignment horizontal="right" vertical="top" wrapText="1" indent="1"/>
    </xf>
    <xf numFmtId="178" fontId="61" fillId="0" borderId="0" xfId="0" applyNumberFormat="1" applyFont="1" applyAlignment="1">
      <alignment horizontal="right" vertical="top" indent="1" shrinkToFit="1"/>
    </xf>
    <xf numFmtId="178" fontId="61" fillId="0" borderId="0" xfId="0" applyNumberFormat="1" applyFont="1" applyAlignment="1">
      <alignment horizontal="right" vertical="top" indent="2" shrinkToFit="1"/>
    </xf>
    <xf numFmtId="178" fontId="61" fillId="0" borderId="0" xfId="0" applyNumberFormat="1" applyFont="1" applyAlignment="1">
      <alignment horizontal="right" vertical="top" shrinkToFit="1"/>
    </xf>
    <xf numFmtId="0" fontId="60" fillId="0" borderId="0" xfId="0" applyFont="1" applyAlignment="1">
      <alignment horizontal="left" vertical="top" wrapText="1" indent="1"/>
    </xf>
    <xf numFmtId="0" fontId="60" fillId="0" borderId="39" xfId="0" applyFont="1" applyBorder="1" applyAlignment="1">
      <alignment horizontal="right" vertical="top" wrapText="1" indent="1"/>
    </xf>
    <xf numFmtId="178" fontId="61" fillId="0" borderId="39" xfId="0" applyNumberFormat="1" applyFont="1" applyBorder="1" applyAlignment="1">
      <alignment horizontal="right" vertical="top" indent="1" shrinkToFit="1"/>
    </xf>
    <xf numFmtId="178" fontId="61" fillId="0" borderId="39" xfId="0" applyNumberFormat="1" applyFont="1" applyBorder="1" applyAlignment="1">
      <alignment horizontal="right" vertical="top" indent="2" shrinkToFit="1"/>
    </xf>
    <xf numFmtId="178" fontId="61" fillId="0" borderId="39" xfId="0" applyNumberFormat="1" applyFont="1" applyBorder="1" applyAlignment="1">
      <alignment horizontal="right" vertical="top" shrinkToFit="1"/>
    </xf>
    <xf numFmtId="0" fontId="3" fillId="0" borderId="7" xfId="1" applyBorder="1" applyAlignment="1">
      <alignment horizontal="left" vertical="top"/>
    </xf>
    <xf numFmtId="178" fontId="3" fillId="0" borderId="7" xfId="1" applyNumberFormat="1" applyBorder="1" applyAlignment="1">
      <alignment horizontal="left" vertical="top"/>
    </xf>
    <xf numFmtId="0" fontId="3" fillId="0" borderId="8" xfId="1" applyBorder="1" applyAlignment="1">
      <alignment horizontal="left" vertical="top"/>
    </xf>
    <xf numFmtId="178" fontId="3" fillId="0" borderId="8" xfId="1" applyNumberFormat="1" applyBorder="1" applyAlignment="1">
      <alignment horizontal="left" vertical="top"/>
    </xf>
    <xf numFmtId="0" fontId="62" fillId="0" borderId="0" xfId="1" applyFont="1" applyAlignment="1">
      <alignment horizontal="left" vertical="top"/>
    </xf>
    <xf numFmtId="0" fontId="63" fillId="0" borderId="1" xfId="1" applyFont="1" applyBorder="1" applyAlignment="1">
      <alignment horizontal="left" vertical="center" wrapText="1" indent="2"/>
    </xf>
    <xf numFmtId="0" fontId="63" fillId="0" borderId="5" xfId="1" applyFont="1" applyBorder="1" applyAlignment="1">
      <alignment horizontal="left" vertical="center" wrapText="1" indent="2"/>
    </xf>
    <xf numFmtId="0" fontId="3" fillId="0" borderId="9" xfId="1" applyBorder="1" applyAlignment="1">
      <alignment vertical="top" wrapText="1"/>
    </xf>
    <xf numFmtId="0" fontId="3" fillId="0" borderId="5" xfId="1" applyBorder="1" applyAlignment="1">
      <alignment horizontal="center" vertical="top" wrapText="1"/>
    </xf>
    <xf numFmtId="0" fontId="3" fillId="0" borderId="10" xfId="1" applyBorder="1" applyAlignment="1">
      <alignment horizontal="center" vertical="top" wrapText="1"/>
    </xf>
    <xf numFmtId="0" fontId="72" fillId="0" borderId="7" xfId="1" applyFont="1" applyBorder="1" applyAlignment="1">
      <alignment horizontal="left" vertical="top" wrapText="1"/>
    </xf>
    <xf numFmtId="178" fontId="73" fillId="0" borderId="7" xfId="1" applyNumberFormat="1" applyFont="1" applyBorder="1" applyAlignment="1">
      <alignment vertical="top" wrapText="1"/>
    </xf>
    <xf numFmtId="0" fontId="73" fillId="0" borderId="7" xfId="1" applyFont="1" applyBorder="1" applyAlignment="1">
      <alignment horizontal="right" vertical="top" wrapText="1" indent="2"/>
    </xf>
    <xf numFmtId="0" fontId="73" fillId="0" borderId="7" xfId="1" applyFont="1" applyBorder="1" applyAlignment="1">
      <alignment horizontal="center" vertical="top" wrapText="1"/>
    </xf>
    <xf numFmtId="0" fontId="73" fillId="0" borderId="7" xfId="1" applyFont="1" applyBorder="1" applyAlignment="1">
      <alignment vertical="top" wrapText="1"/>
    </xf>
    <xf numFmtId="0" fontId="72" fillId="0" borderId="0" xfId="1" applyFont="1" applyAlignment="1">
      <alignment horizontal="left" vertical="top" wrapText="1"/>
    </xf>
    <xf numFmtId="178" fontId="73" fillId="0" borderId="0" xfId="1" applyNumberFormat="1" applyFont="1" applyAlignment="1">
      <alignment vertical="top" wrapText="1"/>
    </xf>
    <xf numFmtId="0" fontId="73" fillId="0" borderId="0" xfId="1" applyFont="1" applyAlignment="1">
      <alignment horizontal="right" vertical="top" wrapText="1" indent="2"/>
    </xf>
    <xf numFmtId="0" fontId="73" fillId="0" borderId="0" xfId="1" applyFont="1" applyAlignment="1">
      <alignment horizontal="center" vertical="top" wrapText="1"/>
    </xf>
    <xf numFmtId="0" fontId="73" fillId="0" borderId="0" xfId="1" applyFont="1" applyAlignment="1">
      <alignment vertical="top" wrapText="1"/>
    </xf>
    <xf numFmtId="1" fontId="74" fillId="0" borderId="0" xfId="1" applyNumberFormat="1" applyFont="1" applyAlignment="1">
      <alignment horizontal="left" vertical="top" wrapText="1"/>
    </xf>
    <xf numFmtId="0" fontId="73" fillId="0" borderId="0" xfId="1" applyFont="1" applyAlignment="1">
      <alignment horizontal="right" vertical="top" wrapText="1" indent="1"/>
    </xf>
    <xf numFmtId="0" fontId="75" fillId="0" borderId="0" xfId="1" applyFont="1" applyAlignment="1">
      <alignment horizontal="center" vertical="top" wrapText="1"/>
    </xf>
    <xf numFmtId="0" fontId="76" fillId="0" borderId="0" xfId="1" applyFont="1" applyAlignment="1">
      <alignment horizontal="left" vertical="top" wrapText="1"/>
    </xf>
    <xf numFmtId="178" fontId="77" fillId="0" borderId="0" xfId="1" applyNumberFormat="1" applyFont="1" applyAlignment="1">
      <alignment vertical="top" wrapText="1"/>
    </xf>
    <xf numFmtId="0" fontId="77" fillId="0" borderId="0" xfId="1" applyFont="1" applyAlignment="1">
      <alignment horizontal="right" vertical="top" wrapText="1" indent="2"/>
    </xf>
    <xf numFmtId="0" fontId="77" fillId="0" borderId="0" xfId="1" applyFont="1" applyAlignment="1">
      <alignment horizontal="center" vertical="top" wrapText="1"/>
    </xf>
    <xf numFmtId="0" fontId="77" fillId="0" borderId="0" xfId="1" applyFont="1" applyAlignment="1">
      <alignment vertical="top" wrapText="1"/>
    </xf>
    <xf numFmtId="0" fontId="76" fillId="0" borderId="11" xfId="1" applyFont="1" applyBorder="1" applyAlignment="1">
      <alignment horizontal="left" vertical="top" wrapText="1"/>
    </xf>
    <xf numFmtId="0" fontId="76" fillId="0" borderId="12" xfId="1" applyFont="1" applyBorder="1" applyAlignment="1">
      <alignment horizontal="left" vertical="top" wrapText="1"/>
    </xf>
    <xf numFmtId="0" fontId="77" fillId="0" borderId="12" xfId="1" applyFont="1" applyBorder="1" applyAlignment="1">
      <alignment horizontal="right" vertical="top" wrapText="1" indent="2"/>
    </xf>
    <xf numFmtId="0" fontId="77" fillId="0" borderId="11" xfId="1" applyFont="1" applyBorder="1" applyAlignment="1">
      <alignment horizontal="center" vertical="top" wrapText="1"/>
    </xf>
    <xf numFmtId="0" fontId="77" fillId="0" borderId="12" xfId="1" applyFont="1" applyBorder="1" applyAlignment="1">
      <alignment horizontal="right" vertical="top" wrapText="1" indent="1"/>
    </xf>
    <xf numFmtId="0" fontId="76" fillId="0" borderId="13" xfId="1" applyFont="1" applyBorder="1" applyAlignment="1">
      <alignment horizontal="left" vertical="top" wrapText="1"/>
    </xf>
    <xf numFmtId="0" fontId="76" fillId="0" borderId="14" xfId="1" applyFont="1" applyBorder="1" applyAlignment="1">
      <alignment horizontal="left" vertical="top" wrapText="1"/>
    </xf>
    <xf numFmtId="178" fontId="77" fillId="0" borderId="8" xfId="1" applyNumberFormat="1" applyFont="1" applyBorder="1" applyAlignment="1">
      <alignment vertical="top" wrapText="1"/>
    </xf>
    <xf numFmtId="0" fontId="77" fillId="0" borderId="14" xfId="1" applyFont="1" applyBorder="1" applyAlignment="1">
      <alignment horizontal="right" vertical="top" wrapText="1" indent="2"/>
    </xf>
    <xf numFmtId="0" fontId="77" fillId="0" borderId="13" xfId="1" applyFont="1" applyBorder="1" applyAlignment="1">
      <alignment horizontal="center" vertical="top" wrapText="1"/>
    </xf>
    <xf numFmtId="0" fontId="77" fillId="0" borderId="8" xfId="1" applyFont="1" applyBorder="1" applyAlignment="1">
      <alignment vertical="top" wrapText="1"/>
    </xf>
    <xf numFmtId="0" fontId="3" fillId="0" borderId="0" xfId="1" applyAlignment="1">
      <alignment horizontal="center" vertical="top"/>
    </xf>
    <xf numFmtId="0" fontId="63" fillId="0" borderId="9" xfId="1" applyFont="1" applyBorder="1" applyAlignment="1">
      <alignment horizontal="left" vertical="top" wrapText="1"/>
    </xf>
    <xf numFmtId="0" fontId="72" fillId="0" borderId="2" xfId="1" applyFont="1" applyBorder="1" applyAlignment="1">
      <alignment horizontal="left" vertical="top" wrapText="1"/>
    </xf>
    <xf numFmtId="0" fontId="72" fillId="0" borderId="15" xfId="1" applyFont="1" applyBorder="1" applyAlignment="1">
      <alignment horizontal="left" vertical="top" wrapText="1"/>
    </xf>
    <xf numFmtId="178" fontId="74" fillId="0" borderId="7" xfId="1" applyNumberFormat="1" applyFont="1" applyBorder="1" applyAlignment="1">
      <alignment vertical="top" wrapText="1"/>
    </xf>
    <xf numFmtId="178" fontId="74" fillId="0" borderId="15" xfId="1" applyNumberFormat="1" applyFont="1" applyBorder="1" applyAlignment="1">
      <alignment horizontal="right" vertical="top" wrapText="1" indent="2"/>
    </xf>
    <xf numFmtId="178" fontId="74" fillId="0" borderId="16" xfId="1" applyNumberFormat="1" applyFont="1" applyBorder="1" applyAlignment="1">
      <alignment horizontal="center" vertical="top" wrapText="1"/>
    </xf>
    <xf numFmtId="178" fontId="74" fillId="0" borderId="16" xfId="1" applyNumberFormat="1" applyFont="1" applyBorder="1" applyAlignment="1">
      <alignment horizontal="left" vertical="top" wrapText="1" indent="2"/>
    </xf>
    <xf numFmtId="0" fontId="72" fillId="0" borderId="6" xfId="1" applyFont="1" applyBorder="1" applyAlignment="1">
      <alignment horizontal="left" vertical="top" wrapText="1"/>
    </xf>
    <xf numFmtId="0" fontId="72" fillId="0" borderId="12" xfId="1" applyFont="1" applyBorder="1" applyAlignment="1">
      <alignment horizontal="left" vertical="top" wrapText="1"/>
    </xf>
    <xf numFmtId="178" fontId="74" fillId="0" borderId="0" xfId="1" applyNumberFormat="1" applyFont="1" applyAlignment="1">
      <alignment vertical="top" wrapText="1"/>
    </xf>
    <xf numFmtId="178" fontId="74" fillId="0" borderId="12" xfId="1" applyNumberFormat="1" applyFont="1" applyBorder="1" applyAlignment="1">
      <alignment horizontal="right" vertical="top" wrapText="1" indent="2"/>
    </xf>
    <xf numFmtId="178" fontId="74" fillId="0" borderId="11" xfId="1" applyNumberFormat="1" applyFont="1" applyBorder="1" applyAlignment="1">
      <alignment horizontal="center" vertical="top" wrapText="1"/>
    </xf>
    <xf numFmtId="178" fontId="74" fillId="0" borderId="11" xfId="1" applyNumberFormat="1" applyFont="1" applyBorder="1" applyAlignment="1">
      <alignment horizontal="left" vertical="top" wrapText="1" indent="2"/>
    </xf>
    <xf numFmtId="1" fontId="74" fillId="0" borderId="12" xfId="1" applyNumberFormat="1" applyFont="1" applyBorder="1" applyAlignment="1">
      <alignment horizontal="left" vertical="top" wrapText="1"/>
    </xf>
    <xf numFmtId="0" fontId="72" fillId="0" borderId="12" xfId="1" applyFont="1" applyBorder="1" applyAlignment="1">
      <alignment horizontal="right" vertical="top" wrapText="1" indent="1"/>
    </xf>
    <xf numFmtId="0" fontId="72" fillId="0" borderId="11" xfId="1" applyFont="1" applyBorder="1" applyAlignment="1">
      <alignment horizontal="center" vertical="top" wrapText="1"/>
    </xf>
    <xf numFmtId="1" fontId="74" fillId="0" borderId="12" xfId="1" applyNumberFormat="1" applyFont="1" applyBorder="1" applyAlignment="1">
      <alignment vertical="top" wrapText="1"/>
    </xf>
    <xf numFmtId="178" fontId="74" fillId="0" borderId="12" xfId="1" applyNumberFormat="1" applyFont="1" applyBorder="1" applyAlignment="1">
      <alignment vertical="top" wrapText="1"/>
    </xf>
    <xf numFmtId="0" fontId="72" fillId="0" borderId="12" xfId="1" applyFont="1" applyBorder="1" applyAlignment="1">
      <alignment vertical="top" wrapText="1"/>
    </xf>
    <xf numFmtId="0" fontId="72" fillId="0" borderId="11" xfId="1" applyFont="1" applyBorder="1" applyAlignment="1">
      <alignment horizontal="left" vertical="top" wrapText="1" indent="2"/>
    </xf>
    <xf numFmtId="0" fontId="72" fillId="0" borderId="0" xfId="1" applyFont="1" applyAlignment="1">
      <alignment vertical="top" wrapText="1"/>
    </xf>
    <xf numFmtId="0" fontId="76" fillId="0" borderId="6" xfId="1" applyFont="1" applyBorder="1" applyAlignment="1">
      <alignment horizontal="left" vertical="top" wrapText="1"/>
    </xf>
    <xf numFmtId="0" fontId="76" fillId="0" borderId="12" xfId="1" applyFont="1" applyBorder="1" applyAlignment="1">
      <alignment vertical="top" wrapText="1"/>
    </xf>
    <xf numFmtId="178" fontId="80" fillId="0" borderId="0" xfId="1" applyNumberFormat="1" applyFont="1" applyAlignment="1">
      <alignment vertical="top" wrapText="1"/>
    </xf>
    <xf numFmtId="178" fontId="80" fillId="0" borderId="12" xfId="1" applyNumberFormat="1" applyFont="1" applyBorder="1" applyAlignment="1">
      <alignment horizontal="right" vertical="top" wrapText="1" indent="2"/>
    </xf>
    <xf numFmtId="178" fontId="80" fillId="0" borderId="11" xfId="1" applyNumberFormat="1" applyFont="1" applyBorder="1" applyAlignment="1">
      <alignment horizontal="left" vertical="top" wrapText="1" indent="2"/>
    </xf>
    <xf numFmtId="178" fontId="80" fillId="0" borderId="12" xfId="1" applyNumberFormat="1" applyFont="1" applyBorder="1" applyAlignment="1">
      <alignment vertical="top" wrapText="1"/>
    </xf>
    <xf numFmtId="0" fontId="76" fillId="0" borderId="0" xfId="1" applyFont="1" applyAlignment="1">
      <alignment vertical="top" wrapText="1"/>
    </xf>
    <xf numFmtId="0" fontId="76" fillId="0" borderId="3" xfId="1" applyFont="1" applyBorder="1" applyAlignment="1">
      <alignment horizontal="left" vertical="top" wrapText="1"/>
    </xf>
    <xf numFmtId="0" fontId="76" fillId="0" borderId="14" xfId="1" applyFont="1" applyBorder="1" applyAlignment="1">
      <alignment vertical="top" wrapText="1"/>
    </xf>
    <xf numFmtId="178" fontId="80" fillId="0" borderId="8" xfId="1" applyNumberFormat="1" applyFont="1" applyBorder="1" applyAlignment="1">
      <alignment vertical="top" wrapText="1"/>
    </xf>
    <xf numFmtId="178" fontId="80" fillId="0" borderId="14" xfId="1" applyNumberFormat="1" applyFont="1" applyBorder="1" applyAlignment="1">
      <alignment horizontal="right" vertical="top" wrapText="1" indent="2"/>
    </xf>
    <xf numFmtId="178" fontId="80" fillId="0" borderId="13" xfId="1" applyNumberFormat="1" applyFont="1" applyBorder="1" applyAlignment="1">
      <alignment horizontal="left" vertical="top" wrapText="1" indent="2"/>
    </xf>
    <xf numFmtId="0" fontId="76" fillId="0" borderId="8" xfId="1" applyFont="1" applyBorder="1" applyAlignment="1">
      <alignment vertical="top" wrapText="1"/>
    </xf>
    <xf numFmtId="0" fontId="3" fillId="0" borderId="9" xfId="1" applyBorder="1" applyAlignment="1">
      <alignment horizontal="center" vertical="top" wrapText="1"/>
    </xf>
    <xf numFmtId="0" fontId="75" fillId="0" borderId="7" xfId="1" applyFont="1" applyBorder="1" applyAlignment="1">
      <alignment horizontal="left" vertical="top" wrapText="1"/>
    </xf>
    <xf numFmtId="178" fontId="73" fillId="0" borderId="7" xfId="1" applyNumberFormat="1" applyFont="1" applyBorder="1" applyAlignment="1">
      <alignment horizontal="right" vertical="top" wrapText="1" indent="2"/>
    </xf>
    <xf numFmtId="178" fontId="73" fillId="0" borderId="7" xfId="1" applyNumberFormat="1" applyFont="1" applyBorder="1" applyAlignment="1">
      <alignment horizontal="left" vertical="top" wrapText="1" indent="2"/>
    </xf>
    <xf numFmtId="0" fontId="75" fillId="0" borderId="0" xfId="1" applyFont="1" applyAlignment="1">
      <alignment horizontal="left" vertical="top" wrapText="1"/>
    </xf>
    <xf numFmtId="178" fontId="73" fillId="0" borderId="0" xfId="1" applyNumberFormat="1" applyFont="1" applyAlignment="1">
      <alignment horizontal="right" vertical="top" wrapText="1" indent="2"/>
    </xf>
    <xf numFmtId="178" fontId="73" fillId="0" borderId="0" xfId="1" applyNumberFormat="1" applyFont="1" applyAlignment="1">
      <alignment horizontal="left" vertical="top" wrapText="1" indent="2"/>
    </xf>
    <xf numFmtId="1" fontId="73" fillId="0" borderId="0" xfId="1" applyNumberFormat="1" applyFont="1" applyAlignment="1">
      <alignment horizontal="left" vertical="top" wrapText="1"/>
    </xf>
    <xf numFmtId="0" fontId="75" fillId="0" borderId="0" xfId="1" applyFont="1" applyAlignment="1">
      <alignment horizontal="left" vertical="top" wrapText="1" indent="2"/>
    </xf>
    <xf numFmtId="178" fontId="73" fillId="0" borderId="0" xfId="1" applyNumberFormat="1" applyFont="1" applyAlignment="1">
      <alignment horizontal="right" vertical="top" wrapText="1" indent="1"/>
    </xf>
    <xf numFmtId="0" fontId="63" fillId="0" borderId="0" xfId="1" applyFont="1" applyAlignment="1">
      <alignment horizontal="left" vertical="top" wrapText="1"/>
    </xf>
    <xf numFmtId="178" fontId="77" fillId="0" borderId="0" xfId="1" applyNumberFormat="1" applyFont="1" applyAlignment="1">
      <alignment horizontal="right" vertical="top" wrapText="1" indent="2"/>
    </xf>
    <xf numFmtId="178" fontId="77" fillId="0" borderId="0" xfId="1" applyNumberFormat="1" applyFont="1" applyAlignment="1">
      <alignment horizontal="left" vertical="top" wrapText="1" indent="2"/>
    </xf>
    <xf numFmtId="178" fontId="77" fillId="0" borderId="0" xfId="1" applyNumberFormat="1" applyFont="1" applyAlignment="1">
      <alignment horizontal="right" vertical="top" wrapText="1" indent="1"/>
    </xf>
    <xf numFmtId="0" fontId="63" fillId="0" borderId="13" xfId="1" applyFont="1" applyBorder="1" applyAlignment="1">
      <alignment horizontal="left" vertical="top" wrapText="1"/>
    </xf>
    <xf numFmtId="0" fontId="63" fillId="0" borderId="14" xfId="1" applyFont="1" applyBorder="1" applyAlignment="1">
      <alignment horizontal="left" vertical="top" wrapText="1"/>
    </xf>
    <xf numFmtId="178" fontId="77" fillId="0" borderId="14" xfId="1" applyNumberFormat="1" applyFont="1" applyBorder="1" applyAlignment="1">
      <alignment horizontal="right" vertical="top" wrapText="1" indent="2"/>
    </xf>
    <xf numFmtId="178" fontId="77" fillId="0" borderId="13" xfId="1" applyNumberFormat="1" applyFont="1" applyBorder="1" applyAlignment="1">
      <alignment horizontal="left" vertical="top" wrapText="1" indent="2"/>
    </xf>
    <xf numFmtId="0" fontId="0" fillId="0" borderId="40"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5" fillId="0" borderId="0" xfId="0" applyFont="1" applyAlignment="1">
      <alignment horizontal="left" vertical="top"/>
    </xf>
    <xf numFmtId="0" fontId="1" fillId="0" borderId="0" xfId="0" applyFont="1" applyAlignment="1">
      <alignment horizontal="left" vertical="top"/>
    </xf>
    <xf numFmtId="0" fontId="3" fillId="0" borderId="17" xfId="0" applyFont="1" applyBorder="1" applyAlignment="1">
      <alignment horizontal="left" vertical="top"/>
    </xf>
    <xf numFmtId="0" fontId="3" fillId="0" borderId="17" xfId="0" applyFont="1" applyBorder="1" applyAlignment="1">
      <alignment vertical="top"/>
    </xf>
    <xf numFmtId="0" fontId="3" fillId="0" borderId="18" xfId="0" applyFont="1" applyBorder="1" applyAlignment="1">
      <alignment vertical="top" wrapText="1"/>
    </xf>
    <xf numFmtId="0" fontId="1" fillId="0" borderId="0" xfId="0" applyFont="1" applyAlignment="1">
      <alignment vertical="top" wrapText="1"/>
    </xf>
    <xf numFmtId="0" fontId="3" fillId="0" borderId="0" xfId="0" applyFont="1" applyAlignment="1">
      <alignment vertical="top" wrapText="1"/>
    </xf>
    <xf numFmtId="0" fontId="1" fillId="0" borderId="8" xfId="0" applyFont="1" applyBorder="1" applyAlignment="1">
      <alignment vertical="top" wrapText="1"/>
    </xf>
    <xf numFmtId="0" fontId="20" fillId="0" borderId="0" xfId="0" applyFont="1" applyAlignment="1">
      <alignment horizontal="left" vertical="top"/>
    </xf>
    <xf numFmtId="0" fontId="25" fillId="0" borderId="7" xfId="0" applyFont="1" applyBorder="1" applyAlignment="1">
      <alignment horizontal="left" vertical="top"/>
    </xf>
    <xf numFmtId="0" fontId="25" fillId="0" borderId="7" xfId="0" applyFont="1" applyBorder="1" applyAlignment="1">
      <alignment horizontal="center" vertical="top"/>
    </xf>
    <xf numFmtId="0" fontId="25" fillId="0" borderId="7" xfId="0" applyFont="1" applyBorder="1" applyAlignment="1">
      <alignment horizontal="right" vertical="top"/>
    </xf>
    <xf numFmtId="0" fontId="25" fillId="0" borderId="0" xfId="0" applyFont="1" applyAlignment="1">
      <alignment horizontal="center" vertical="top"/>
    </xf>
    <xf numFmtId="0" fontId="25" fillId="0" borderId="0" xfId="0" applyFont="1" applyAlignment="1">
      <alignment horizontal="right" vertical="top"/>
    </xf>
    <xf numFmtId="0" fontId="25" fillId="0" borderId="0" xfId="0" applyFont="1" applyAlignment="1">
      <alignment horizontal="left" vertical="top"/>
    </xf>
    <xf numFmtId="0" fontId="3" fillId="0" borderId="8" xfId="0" applyFont="1" applyBorder="1" applyAlignment="1">
      <alignment horizontal="left" vertical="top"/>
    </xf>
    <xf numFmtId="0" fontId="25" fillId="0" borderId="8" xfId="0" applyFont="1" applyBorder="1" applyAlignment="1">
      <alignment horizontal="center" vertical="top"/>
    </xf>
    <xf numFmtId="0" fontId="25" fillId="0" borderId="8" xfId="0" applyFont="1" applyBorder="1" applyAlignment="1">
      <alignment horizontal="right" vertical="top"/>
    </xf>
    <xf numFmtId="0" fontId="1" fillId="0" borderId="9" xfId="0" applyFont="1" applyBorder="1" applyAlignment="1">
      <alignment horizontal="center" vertical="top" wrapText="1"/>
    </xf>
    <xf numFmtId="0" fontId="25" fillId="0" borderId="7" xfId="0" applyFont="1" applyBorder="1" applyAlignment="1">
      <alignment horizontal="left" vertical="center"/>
    </xf>
    <xf numFmtId="178" fontId="3" fillId="0" borderId="7" xfId="0" applyNumberFormat="1" applyFont="1" applyBorder="1" applyAlignment="1">
      <alignment horizontal="center" vertical="center"/>
    </xf>
    <xf numFmtId="1" fontId="3" fillId="0" borderId="7" xfId="0" applyNumberFormat="1" applyFont="1" applyBorder="1" applyAlignment="1">
      <alignment horizontal="center" vertical="center"/>
    </xf>
    <xf numFmtId="2" fontId="3" fillId="0" borderId="7" xfId="0" applyNumberFormat="1" applyFont="1" applyBorder="1" applyAlignment="1">
      <alignment horizontal="center" vertical="center"/>
    </xf>
    <xf numFmtId="188" fontId="3" fillId="0" borderId="7" xfId="0" applyNumberFormat="1" applyFont="1" applyBorder="1" applyAlignment="1">
      <alignment horizontal="center" vertical="center"/>
    </xf>
    <xf numFmtId="178" fontId="3" fillId="0" borderId="0" xfId="0" applyNumberFormat="1" applyFont="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top"/>
    </xf>
    <xf numFmtId="2" fontId="3" fillId="0" borderId="0" xfId="0" applyNumberFormat="1" applyFont="1" applyAlignment="1">
      <alignment horizontal="center" vertical="center"/>
    </xf>
    <xf numFmtId="188" fontId="3" fillId="0" borderId="0" xfId="0" applyNumberFormat="1" applyFont="1" applyAlignment="1">
      <alignment horizontal="center" vertical="center"/>
    </xf>
    <xf numFmtId="2" fontId="3" fillId="0" borderId="0" xfId="0" applyNumberFormat="1" applyFont="1" applyAlignment="1">
      <alignment horizontal="center" vertical="top"/>
    </xf>
    <xf numFmtId="1" fontId="3" fillId="0" borderId="0" xfId="0" applyNumberFormat="1" applyFont="1" applyAlignment="1">
      <alignment horizontal="center" vertical="top"/>
    </xf>
    <xf numFmtId="188" fontId="3" fillId="0" borderId="0" xfId="0" applyNumberFormat="1" applyFont="1" applyAlignment="1">
      <alignment horizontal="center" vertical="top"/>
    </xf>
    <xf numFmtId="0" fontId="3" fillId="0" borderId="0" xfId="0" applyFont="1" applyAlignment="1">
      <alignment horizontal="center" vertical="center"/>
    </xf>
    <xf numFmtId="178" fontId="3" fillId="0" borderId="0" xfId="0" applyNumberFormat="1" applyFont="1" applyAlignment="1">
      <alignment horizontal="center" vertical="top"/>
    </xf>
    <xf numFmtId="0" fontId="25" fillId="0" borderId="8" xfId="0" applyFont="1" applyBorder="1" applyAlignment="1">
      <alignment horizontal="left" vertical="top"/>
    </xf>
    <xf numFmtId="2" fontId="3" fillId="0" borderId="8" xfId="0" applyNumberFormat="1" applyFont="1" applyBorder="1" applyAlignment="1">
      <alignment horizontal="center" vertical="top"/>
    </xf>
    <xf numFmtId="1" fontId="3" fillId="0" borderId="8" xfId="0" applyNumberFormat="1" applyFont="1" applyBorder="1" applyAlignment="1">
      <alignment horizontal="center" vertical="top"/>
    </xf>
    <xf numFmtId="188" fontId="3" fillId="0" borderId="8" xfId="0" applyNumberFormat="1" applyFont="1" applyBorder="1" applyAlignment="1">
      <alignment horizontal="center" vertical="top"/>
    </xf>
    <xf numFmtId="0" fontId="3" fillId="0" borderId="8" xfId="0" applyFont="1" applyBorder="1" applyAlignment="1">
      <alignment horizontal="center" vertical="center"/>
    </xf>
    <xf numFmtId="0" fontId="30" fillId="0" borderId="17" xfId="0" applyFont="1" applyFill="1" applyBorder="1" applyAlignment="1" applyProtection="1">
      <alignment horizontal="left" vertical="top"/>
    </xf>
    <xf numFmtId="0" fontId="1" fillId="0" borderId="17" xfId="0" applyFont="1" applyFill="1" applyBorder="1" applyAlignment="1" applyProtection="1">
      <alignment horizontal="right" vertical="top" wrapText="1"/>
    </xf>
    <xf numFmtId="179" fontId="1" fillId="0" borderId="17" xfId="0" applyNumberFormat="1" applyFont="1" applyFill="1" applyBorder="1" applyAlignment="1" applyProtection="1">
      <alignment horizontal="right" vertical="top" wrapText="1"/>
    </xf>
    <xf numFmtId="181" fontId="1" fillId="0" borderId="17" xfId="0" applyNumberFormat="1" applyFont="1" applyFill="1" applyBorder="1" applyAlignment="1" applyProtection="1">
      <alignment horizontal="right" vertical="top" wrapText="1"/>
    </xf>
    <xf numFmtId="184" fontId="1" fillId="0" borderId="17" xfId="0" applyNumberFormat="1" applyFont="1" applyFill="1" applyBorder="1" applyAlignment="1" applyProtection="1">
      <alignment horizontal="right" vertical="top"/>
    </xf>
    <xf numFmtId="0" fontId="0" fillId="0" borderId="17" xfId="0" applyNumberFormat="1" applyFill="1" applyBorder="1" applyAlignment="1" applyProtection="1">
      <alignment horizontal="right" vertical="top"/>
      <protection locked="0"/>
    </xf>
    <xf numFmtId="182" fontId="0" fillId="0" borderId="17" xfId="0" applyNumberFormat="1" applyFill="1" applyBorder="1" applyAlignment="1" applyProtection="1">
      <alignment horizontal="right" vertical="top"/>
      <protection locked="0"/>
    </xf>
    <xf numFmtId="185" fontId="0" fillId="0" borderId="17" xfId="0" applyNumberFormat="1" applyFill="1" applyBorder="1" applyAlignment="1" applyProtection="1">
      <alignment horizontal="right" vertical="top"/>
      <protection locked="0"/>
    </xf>
    <xf numFmtId="0" fontId="30" fillId="0" borderId="18" xfId="0" applyFont="1" applyFill="1" applyBorder="1" applyAlignment="1" applyProtection="1">
      <alignment horizontal="left" vertical="top"/>
    </xf>
    <xf numFmtId="0" fontId="1" fillId="0" borderId="18" xfId="0" applyFont="1" applyFill="1" applyBorder="1" applyAlignment="1" applyProtection="1">
      <alignment horizontal="right" vertical="top" wrapText="1"/>
    </xf>
    <xf numFmtId="179" fontId="1" fillId="0" borderId="18" xfId="0" applyNumberFormat="1" applyFont="1" applyFill="1" applyBorder="1" applyAlignment="1" applyProtection="1">
      <alignment horizontal="right" vertical="top" wrapText="1"/>
    </xf>
    <xf numFmtId="181" fontId="1" fillId="0" borderId="18" xfId="0" applyNumberFormat="1" applyFont="1" applyFill="1" applyBorder="1" applyAlignment="1" applyProtection="1">
      <alignment horizontal="right" vertical="top" wrapText="1"/>
    </xf>
    <xf numFmtId="184" fontId="1" fillId="0" borderId="18" xfId="0" applyNumberFormat="1" applyFont="1" applyFill="1" applyBorder="1" applyAlignment="1" applyProtection="1">
      <alignment horizontal="right" vertical="top"/>
    </xf>
    <xf numFmtId="0" fontId="0" fillId="0" borderId="18" xfId="0" applyNumberFormat="1" applyFill="1" applyBorder="1" applyAlignment="1" applyProtection="1">
      <alignment horizontal="right" vertical="top"/>
      <protection locked="0"/>
    </xf>
    <xf numFmtId="182" fontId="0" fillId="0" borderId="18" xfId="0" applyNumberFormat="1" applyFill="1" applyBorder="1" applyAlignment="1" applyProtection="1">
      <alignment horizontal="right" vertical="top"/>
      <protection locked="0"/>
    </xf>
    <xf numFmtId="185" fontId="0" fillId="0" borderId="18" xfId="0" applyNumberFormat="1" applyFill="1" applyBorder="1" applyAlignment="1" applyProtection="1">
      <alignment horizontal="right" vertical="top"/>
      <protection locked="0"/>
    </xf>
    <xf numFmtId="0" fontId="56" fillId="0" borderId="18" xfId="0" applyFont="1" applyFill="1" applyBorder="1" applyAlignment="1" applyProtection="1">
      <alignment horizontal="left" vertical="top"/>
    </xf>
    <xf numFmtId="0" fontId="88" fillId="0" borderId="1" xfId="0" applyFont="1" applyBorder="1" applyAlignment="1">
      <alignment horizontal="center" vertical="top" wrapText="1"/>
    </xf>
    <xf numFmtId="0" fontId="88" fillId="0" borderId="5" xfId="0" applyFont="1" applyBorder="1" applyAlignment="1">
      <alignment vertical="top" wrapText="1"/>
    </xf>
    <xf numFmtId="0" fontId="3" fillId="0" borderId="1" xfId="0" applyFont="1" applyBorder="1" applyAlignment="1">
      <alignment horizontal="center" vertical="top" wrapText="1"/>
    </xf>
    <xf numFmtId="0" fontId="3" fillId="0" borderId="5" xfId="0" applyFont="1" applyBorder="1" applyAlignment="1">
      <alignment vertical="top" wrapText="1"/>
    </xf>
    <xf numFmtId="0" fontId="3" fillId="0" borderId="1" xfId="0" applyFont="1" applyBorder="1" applyAlignment="1">
      <alignment vertical="top" wrapText="1"/>
    </xf>
    <xf numFmtId="0" fontId="88" fillId="0" borderId="2" xfId="0" applyFont="1" applyBorder="1" applyAlignment="1">
      <alignment horizontal="center" vertical="top" wrapText="1"/>
    </xf>
    <xf numFmtId="1" fontId="94" fillId="0" borderId="15" xfId="0" applyNumberFormat="1" applyFont="1" applyBorder="1" applyAlignment="1">
      <alignment vertical="top" wrapText="1"/>
    </xf>
    <xf numFmtId="2" fontId="94" fillId="0" borderId="2" xfId="0" applyNumberFormat="1" applyFont="1" applyBorder="1" applyAlignment="1">
      <alignment horizontal="center" vertical="top" wrapText="1"/>
    </xf>
    <xf numFmtId="2" fontId="94" fillId="0" borderId="15" xfId="0" applyNumberFormat="1" applyFont="1" applyBorder="1" applyAlignment="1">
      <alignment vertical="top" wrapText="1"/>
    </xf>
    <xf numFmtId="180" fontId="94" fillId="0" borderId="2" xfId="0" applyNumberFormat="1" applyFont="1" applyBorder="1" applyAlignment="1">
      <alignment horizontal="center" vertical="top" wrapText="1"/>
    </xf>
    <xf numFmtId="180" fontId="94" fillId="0" borderId="15" xfId="0" applyNumberFormat="1" applyFont="1" applyBorder="1" applyAlignment="1">
      <alignment vertical="top" wrapText="1"/>
    </xf>
    <xf numFmtId="2" fontId="94" fillId="0" borderId="2" xfId="0" applyNumberFormat="1" applyFont="1" applyBorder="1" applyAlignment="1">
      <alignment horizontal="right" vertical="top" wrapText="1" indent="1"/>
    </xf>
    <xf numFmtId="180" fontId="94" fillId="0" borderId="2" xfId="0" applyNumberFormat="1" applyFont="1" applyBorder="1" applyAlignment="1">
      <alignment vertical="top" wrapText="1"/>
    </xf>
    <xf numFmtId="180" fontId="94" fillId="0" borderId="0" xfId="0" applyNumberFormat="1" applyFont="1" applyAlignment="1">
      <alignment vertical="top" wrapText="1"/>
    </xf>
    <xf numFmtId="0" fontId="88" fillId="0" borderId="6" xfId="0" applyFont="1" applyBorder="1" applyAlignment="1">
      <alignment horizontal="center" vertical="top" wrapText="1"/>
    </xf>
    <xf numFmtId="1" fontId="94" fillId="0" borderId="12" xfId="0" applyNumberFormat="1" applyFont="1" applyBorder="1" applyAlignment="1">
      <alignment vertical="top" wrapText="1"/>
    </xf>
    <xf numFmtId="2" fontId="94" fillId="0" borderId="6" xfId="0" applyNumberFormat="1" applyFont="1" applyBorder="1" applyAlignment="1">
      <alignment horizontal="center" vertical="top" wrapText="1"/>
    </xf>
    <xf numFmtId="2" fontId="94" fillId="0" borderId="12" xfId="0" applyNumberFormat="1" applyFont="1" applyBorder="1" applyAlignment="1">
      <alignment vertical="top" wrapText="1"/>
    </xf>
    <xf numFmtId="180" fontId="94" fillId="0" borderId="6" xfId="0" applyNumberFormat="1" applyFont="1" applyBorder="1" applyAlignment="1">
      <alignment horizontal="center" vertical="top" wrapText="1"/>
    </xf>
    <xf numFmtId="180" fontId="94" fillId="0" borderId="12" xfId="0" applyNumberFormat="1" applyFont="1" applyBorder="1" applyAlignment="1">
      <alignment vertical="top" wrapText="1"/>
    </xf>
    <xf numFmtId="2" fontId="94" fillId="0" borderId="6" xfId="0" applyNumberFormat="1" applyFont="1" applyBorder="1" applyAlignment="1">
      <alignment horizontal="right" vertical="top" wrapText="1" indent="1"/>
    </xf>
    <xf numFmtId="180" fontId="94" fillId="0" borderId="6" xfId="0" applyNumberFormat="1" applyFont="1" applyBorder="1" applyAlignment="1">
      <alignment vertical="top" wrapText="1"/>
    </xf>
    <xf numFmtId="0" fontId="88" fillId="0" borderId="3" xfId="0" applyFont="1" applyBorder="1" applyAlignment="1">
      <alignment horizontal="center" vertical="top" wrapText="1"/>
    </xf>
    <xf numFmtId="1" fontId="94" fillId="0" borderId="14" xfId="0" applyNumberFormat="1" applyFont="1" applyBorder="1" applyAlignment="1">
      <alignment vertical="top" wrapText="1"/>
    </xf>
    <xf numFmtId="2" fontId="94" fillId="0" borderId="3" xfId="0" applyNumberFormat="1" applyFont="1" applyBorder="1" applyAlignment="1">
      <alignment horizontal="center" vertical="top" wrapText="1"/>
    </xf>
    <xf numFmtId="2" fontId="94" fillId="0" borderId="14" xfId="0" applyNumberFormat="1" applyFont="1" applyBorder="1" applyAlignment="1">
      <alignment vertical="top" wrapText="1"/>
    </xf>
    <xf numFmtId="180" fontId="94" fillId="0" borderId="3" xfId="0" applyNumberFormat="1" applyFont="1" applyBorder="1" applyAlignment="1">
      <alignment horizontal="center" vertical="top" wrapText="1"/>
    </xf>
    <xf numFmtId="180" fontId="94" fillId="0" borderId="14" xfId="0" applyNumberFormat="1" applyFont="1" applyBorder="1" applyAlignment="1">
      <alignment vertical="top" wrapText="1"/>
    </xf>
    <xf numFmtId="2" fontId="94" fillId="0" borderId="3" xfId="0" applyNumberFormat="1" applyFont="1" applyBorder="1" applyAlignment="1">
      <alignment horizontal="right" vertical="top" wrapText="1" indent="1"/>
    </xf>
    <xf numFmtId="180" fontId="94" fillId="0" borderId="3" xfId="0" applyNumberFormat="1" applyFont="1" applyBorder="1" applyAlignment="1">
      <alignment vertical="top" wrapText="1"/>
    </xf>
    <xf numFmtId="2" fontId="94" fillId="0" borderId="0" xfId="0" applyNumberFormat="1" applyFont="1" applyAlignment="1">
      <alignment vertical="top" wrapText="1"/>
    </xf>
    <xf numFmtId="0" fontId="88" fillId="0" borderId="0" xfId="0" applyFont="1" applyAlignment="1">
      <alignment horizontal="left" vertical="top"/>
    </xf>
    <xf numFmtId="0" fontId="88" fillId="0" borderId="1" xfId="0" applyFont="1" applyBorder="1" applyAlignment="1">
      <alignment horizontal="left" vertical="top" wrapText="1"/>
    </xf>
    <xf numFmtId="1" fontId="94" fillId="0" borderId="5" xfId="0" applyNumberFormat="1" applyFont="1" applyBorder="1" applyAlignment="1">
      <alignment vertical="top" wrapText="1"/>
    </xf>
    <xf numFmtId="2" fontId="94" fillId="0" borderId="1" xfId="0" applyNumberFormat="1" applyFont="1" applyBorder="1" applyAlignment="1">
      <alignment horizontal="left" vertical="top" wrapText="1" indent="1"/>
    </xf>
    <xf numFmtId="2" fontId="94" fillId="0" borderId="5" xfId="0" applyNumberFormat="1" applyFont="1" applyBorder="1" applyAlignment="1">
      <alignment vertical="top" wrapText="1"/>
    </xf>
    <xf numFmtId="0" fontId="95" fillId="0" borderId="5" xfId="0" applyFont="1" applyBorder="1" applyAlignment="1">
      <alignment vertical="top" wrapText="1"/>
    </xf>
    <xf numFmtId="0" fontId="95" fillId="0" borderId="9" xfId="0" applyFont="1" applyBorder="1" applyAlignment="1">
      <alignment vertical="top" wrapText="1"/>
    </xf>
    <xf numFmtId="2" fontId="94" fillId="0" borderId="1" xfId="0" applyNumberFormat="1" applyFont="1" applyBorder="1" applyAlignment="1">
      <alignment horizontal="left" vertical="top" wrapText="1" indent="2"/>
    </xf>
    <xf numFmtId="0" fontId="95" fillId="0" borderId="0" xfId="0" applyFont="1" applyAlignment="1">
      <alignment vertical="top" wrapText="1"/>
    </xf>
    <xf numFmtId="1" fontId="30" fillId="0" borderId="4" xfId="0" applyNumberFormat="1" applyFont="1" applyFill="1" applyBorder="1" applyAlignment="1" applyProtection="1">
      <alignment horizontal="left" vertical="top"/>
    </xf>
    <xf numFmtId="0" fontId="13" fillId="0" borderId="1" xfId="0" applyFont="1" applyBorder="1" applyAlignment="1">
      <alignment horizontal="left" vertical="top" wrapText="1" indent="1"/>
    </xf>
    <xf numFmtId="0" fontId="0" fillId="0" borderId="1" xfId="0" applyBorder="1" applyAlignment="1">
      <alignment horizontal="center" vertical="top" wrapText="1"/>
    </xf>
    <xf numFmtId="0" fontId="0" fillId="0" borderId="1" xfId="0" applyBorder="1" applyAlignment="1">
      <alignment horizontal="left" vertical="top" wrapText="1" indent="1"/>
    </xf>
    <xf numFmtId="0" fontId="81" fillId="0" borderId="2" xfId="0" applyFont="1" applyBorder="1" applyAlignment="1">
      <alignment horizontal="center" vertical="top" wrapText="1"/>
    </xf>
    <xf numFmtId="180" fontId="106" fillId="0" borderId="2" xfId="0" applyNumberFormat="1" applyFont="1" applyBorder="1" applyAlignment="1">
      <alignment horizontal="center" vertical="top" wrapText="1"/>
    </xf>
    <xf numFmtId="180" fontId="106" fillId="0" borderId="2" xfId="0" applyNumberFormat="1" applyFont="1" applyBorder="1" applyAlignment="1">
      <alignment horizontal="right" vertical="top" wrapText="1" indent="3"/>
    </xf>
    <xf numFmtId="2" fontId="106" fillId="0" borderId="2" xfId="0" applyNumberFormat="1" applyFont="1" applyBorder="1" applyAlignment="1">
      <alignment horizontal="center" vertical="top" wrapText="1"/>
    </xf>
    <xf numFmtId="1" fontId="106" fillId="0" borderId="6" xfId="0" applyNumberFormat="1" applyFont="1" applyBorder="1" applyAlignment="1">
      <alignment horizontal="center" vertical="top" wrapText="1"/>
    </xf>
    <xf numFmtId="180" fontId="106" fillId="0" borderId="6" xfId="0" applyNumberFormat="1" applyFont="1" applyBorder="1" applyAlignment="1">
      <alignment horizontal="center" vertical="top" wrapText="1"/>
    </xf>
    <xf numFmtId="2" fontId="106" fillId="0" borderId="6" xfId="0" applyNumberFormat="1" applyFont="1" applyBorder="1" applyAlignment="1">
      <alignment horizontal="right" vertical="top" wrapText="1" indent="3"/>
    </xf>
    <xf numFmtId="2" fontId="106" fillId="0" borderId="6" xfId="0" applyNumberFormat="1" applyFont="1" applyBorder="1" applyAlignment="1">
      <alignment horizontal="center" vertical="top" wrapText="1"/>
    </xf>
    <xf numFmtId="2" fontId="107" fillId="0" borderId="6" xfId="0" applyNumberFormat="1" applyFont="1" applyBorder="1" applyAlignment="1">
      <alignment horizontal="center" vertical="top" wrapText="1"/>
    </xf>
    <xf numFmtId="0" fontId="13" fillId="0" borderId="6" xfId="0" applyFont="1" applyBorder="1" applyAlignment="1">
      <alignment horizontal="center" vertical="top" wrapText="1"/>
    </xf>
    <xf numFmtId="180" fontId="107" fillId="0" borderId="6" xfId="0" applyNumberFormat="1" applyFont="1" applyBorder="1" applyAlignment="1">
      <alignment horizontal="center" vertical="top" wrapText="1"/>
    </xf>
    <xf numFmtId="0" fontId="3" fillId="0" borderId="6" xfId="0" applyFont="1" applyBorder="1" applyAlignment="1">
      <alignment horizontal="left" vertical="top" wrapText="1"/>
    </xf>
    <xf numFmtId="0" fontId="0" fillId="0" borderId="6" xfId="0" applyBorder="1" applyAlignment="1">
      <alignment horizontal="left" vertical="top" wrapText="1"/>
    </xf>
    <xf numFmtId="1" fontId="106" fillId="0" borderId="3" xfId="0" applyNumberFormat="1" applyFont="1" applyBorder="1" applyAlignment="1">
      <alignment horizontal="center" vertical="top" wrapText="1"/>
    </xf>
    <xf numFmtId="180" fontId="106" fillId="0" borderId="3" xfId="0" applyNumberFormat="1" applyFont="1" applyBorder="1" applyAlignment="1">
      <alignment horizontal="center" vertical="top" wrapText="1"/>
    </xf>
    <xf numFmtId="2" fontId="106" fillId="0" borderId="3" xfId="0" applyNumberFormat="1" applyFont="1" applyBorder="1" applyAlignment="1">
      <alignment horizontal="right" vertical="top" wrapText="1" indent="3"/>
    </xf>
    <xf numFmtId="2" fontId="106" fillId="0" borderId="3" xfId="0" applyNumberFormat="1" applyFont="1" applyBorder="1" applyAlignment="1">
      <alignment horizontal="center" vertical="top" wrapText="1"/>
    </xf>
    <xf numFmtId="0" fontId="13" fillId="0" borderId="0" xfId="0" applyFont="1" applyAlignment="1">
      <alignment horizontal="left" vertical="top"/>
    </xf>
    <xf numFmtId="0" fontId="0" fillId="0" borderId="40" xfId="0" applyBorder="1" applyAlignment="1">
      <alignment horizontal="left" vertical="top" indent="1"/>
    </xf>
    <xf numFmtId="0" fontId="109" fillId="0" borderId="1" xfId="0" applyFont="1" applyBorder="1" applyAlignment="1">
      <alignment horizontal="center" vertical="top" wrapText="1"/>
    </xf>
    <xf numFmtId="0" fontId="110" fillId="0" borderId="1" xfId="0" applyFont="1" applyBorder="1" applyAlignment="1">
      <alignment horizontal="center" vertical="top" wrapText="1"/>
    </xf>
    <xf numFmtId="0" fontId="111" fillId="0" borderId="1" xfId="0" applyFont="1" applyBorder="1" applyAlignment="1">
      <alignment horizontal="center" vertical="top" wrapText="1"/>
    </xf>
    <xf numFmtId="0" fontId="3" fillId="0" borderId="1" xfId="0" applyFont="1" applyBorder="1" applyAlignment="1">
      <alignment horizontal="left" vertical="top" wrapText="1"/>
    </xf>
    <xf numFmtId="0" fontId="25" fillId="0" borderId="1" xfId="0" applyFont="1" applyBorder="1" applyAlignment="1">
      <alignment horizontal="left" vertical="center" wrapText="1"/>
    </xf>
    <xf numFmtId="0" fontId="3" fillId="0" borderId="5"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1" fillId="0" borderId="5" xfId="0" applyFont="1" applyBorder="1" applyAlignment="1">
      <alignment horizontal="center" vertical="top" wrapText="1"/>
    </xf>
    <xf numFmtId="0" fontId="1" fillId="0" borderId="10" xfId="0" applyFont="1" applyBorder="1" applyAlignment="1">
      <alignment horizontal="center" vertical="top" wrapText="1"/>
    </xf>
    <xf numFmtId="0" fontId="25" fillId="0" borderId="1" xfId="0" applyFont="1" applyBorder="1" applyAlignment="1">
      <alignment horizontal="left" vertical="top" wrapText="1"/>
    </xf>
    <xf numFmtId="0" fontId="1" fillId="0" borderId="2" xfId="0" applyFont="1" applyBorder="1" applyAlignment="1">
      <alignment horizontal="left" vertical="top" wrapText="1"/>
    </xf>
    <xf numFmtId="176" fontId="3" fillId="0" borderId="15" xfId="0" applyNumberFormat="1" applyFont="1" applyBorder="1" applyAlignment="1">
      <alignment horizontal="right" vertical="top" wrapText="1" indent="1"/>
    </xf>
    <xf numFmtId="176" fontId="3" fillId="0" borderId="7" xfId="0" applyNumberFormat="1" applyFont="1" applyBorder="1" applyAlignment="1">
      <alignment horizontal="left" vertical="top" wrapText="1" indent="1"/>
    </xf>
    <xf numFmtId="176" fontId="3" fillId="0" borderId="7" xfId="0" applyNumberFormat="1" applyFont="1" applyBorder="1" applyAlignment="1">
      <alignment horizontal="center" vertical="top" wrapText="1"/>
    </xf>
    <xf numFmtId="176" fontId="3" fillId="0" borderId="16" xfId="0" applyNumberFormat="1" applyFont="1" applyBorder="1" applyAlignment="1">
      <alignment horizontal="right" vertical="top" wrapText="1" indent="2"/>
    </xf>
    <xf numFmtId="176" fontId="3" fillId="0" borderId="7" xfId="0" applyNumberFormat="1" applyFont="1" applyBorder="1" applyAlignment="1">
      <alignment horizontal="right" vertical="top" wrapText="1" indent="1"/>
    </xf>
    <xf numFmtId="1" fontId="3" fillId="0" borderId="16" xfId="0" applyNumberFormat="1" applyFont="1" applyBorder="1" applyAlignment="1">
      <alignment horizontal="left" vertical="top" wrapText="1" indent="1"/>
    </xf>
    <xf numFmtId="1" fontId="3" fillId="0" borderId="7" xfId="0" applyNumberFormat="1" applyFont="1" applyBorder="1" applyAlignment="1">
      <alignment horizontal="right" vertical="top" wrapText="1"/>
    </xf>
    <xf numFmtId="176" fontId="3" fillId="0" borderId="7" xfId="0" applyNumberFormat="1" applyFont="1" applyBorder="1" applyAlignment="1">
      <alignment horizontal="left" vertical="top" wrapText="1" indent="2"/>
    </xf>
    <xf numFmtId="176" fontId="3" fillId="0" borderId="12" xfId="0" applyNumberFormat="1" applyFont="1" applyBorder="1" applyAlignment="1">
      <alignment horizontal="left" vertical="top" wrapText="1" indent="2"/>
    </xf>
    <xf numFmtId="0" fontId="1" fillId="0" borderId="1" xfId="0" applyFont="1" applyBorder="1" applyAlignment="1">
      <alignment horizontal="left" vertical="top" wrapText="1"/>
    </xf>
    <xf numFmtId="0" fontId="1" fillId="0" borderId="6" xfId="0" applyFont="1" applyBorder="1" applyAlignment="1">
      <alignment horizontal="left" vertical="top" wrapText="1"/>
    </xf>
    <xf numFmtId="176" fontId="3" fillId="0" borderId="12" xfId="0" applyNumberFormat="1" applyFont="1" applyBorder="1" applyAlignment="1">
      <alignment horizontal="right" vertical="top" wrapText="1" indent="1"/>
    </xf>
    <xf numFmtId="176" fontId="3" fillId="0" borderId="0" xfId="0" applyNumberFormat="1" applyFont="1" applyAlignment="1">
      <alignment horizontal="left" vertical="top" wrapText="1" indent="1"/>
    </xf>
    <xf numFmtId="176" fontId="3" fillId="0" borderId="0" xfId="0" applyNumberFormat="1" applyFont="1" applyAlignment="1">
      <alignment horizontal="center" vertical="top" wrapText="1"/>
    </xf>
    <xf numFmtId="176" fontId="3" fillId="0" borderId="11" xfId="0" applyNumberFormat="1" applyFont="1" applyBorder="1" applyAlignment="1">
      <alignment horizontal="right" vertical="top" wrapText="1" indent="2"/>
    </xf>
    <xf numFmtId="176" fontId="3" fillId="0" borderId="0" xfId="0" applyNumberFormat="1" applyFont="1" applyAlignment="1">
      <alignment horizontal="right" vertical="top" wrapText="1" indent="1"/>
    </xf>
    <xf numFmtId="1" fontId="3" fillId="0" borderId="11" xfId="0" applyNumberFormat="1" applyFont="1" applyBorder="1" applyAlignment="1">
      <alignment horizontal="left" vertical="top" wrapText="1" indent="1"/>
    </xf>
    <xf numFmtId="1" fontId="3" fillId="0" borderId="0" xfId="0" applyNumberFormat="1" applyFont="1" applyAlignment="1">
      <alignment horizontal="right" vertical="top" wrapText="1"/>
    </xf>
    <xf numFmtId="176" fontId="3" fillId="0" borderId="0" xfId="0" applyNumberFormat="1" applyFont="1" applyAlignment="1">
      <alignment horizontal="left" vertical="top" wrapText="1" indent="2"/>
    </xf>
    <xf numFmtId="176" fontId="3" fillId="0" borderId="0" xfId="0" applyNumberFormat="1" applyFont="1" applyAlignment="1">
      <alignment vertical="top" wrapText="1"/>
    </xf>
    <xf numFmtId="176" fontId="3" fillId="0" borderId="12" xfId="0" applyNumberFormat="1" applyFont="1" applyBorder="1" applyAlignment="1">
      <alignment vertical="top" wrapText="1"/>
    </xf>
    <xf numFmtId="0" fontId="3" fillId="0" borderId="12" xfId="0" applyFont="1" applyBorder="1" applyAlignment="1">
      <alignment horizontal="left" vertical="top" wrapText="1"/>
    </xf>
    <xf numFmtId="0" fontId="3" fillId="0" borderId="0" xfId="0" applyFont="1" applyAlignment="1">
      <alignment horizontal="left" vertical="top" wrapText="1"/>
    </xf>
    <xf numFmtId="0" fontId="3" fillId="0" borderId="12" xfId="0" applyFont="1" applyBorder="1" applyAlignment="1">
      <alignment vertical="top" wrapText="1"/>
    </xf>
    <xf numFmtId="0" fontId="1" fillId="0" borderId="3" xfId="0" applyFont="1" applyBorder="1" applyAlignment="1">
      <alignment horizontal="left" vertical="top" wrapText="1"/>
    </xf>
    <xf numFmtId="176" fontId="3" fillId="0" borderId="14" xfId="0" applyNumberFormat="1" applyFont="1" applyBorder="1" applyAlignment="1">
      <alignment horizontal="right" vertical="top" wrapText="1" indent="1"/>
    </xf>
    <xf numFmtId="176" fontId="3" fillId="0" borderId="8" xfId="0" applyNumberFormat="1" applyFont="1" applyBorder="1" applyAlignment="1">
      <alignment horizontal="left" vertical="top" wrapText="1" indent="1"/>
    </xf>
    <xf numFmtId="176" fontId="3" fillId="0" borderId="8" xfId="0" applyNumberFormat="1" applyFont="1" applyBorder="1" applyAlignment="1">
      <alignment horizontal="center" vertical="top" wrapText="1"/>
    </xf>
    <xf numFmtId="176" fontId="3" fillId="0" borderId="13" xfId="0" applyNumberFormat="1" applyFont="1" applyBorder="1" applyAlignment="1">
      <alignment horizontal="right" vertical="top" wrapText="1" indent="2"/>
    </xf>
    <xf numFmtId="176" fontId="3" fillId="0" borderId="8" xfId="0" applyNumberFormat="1" applyFont="1" applyBorder="1" applyAlignment="1">
      <alignment horizontal="right" vertical="top" wrapText="1" indent="1"/>
    </xf>
    <xf numFmtId="1" fontId="3" fillId="0" borderId="13" xfId="0" applyNumberFormat="1" applyFont="1" applyBorder="1" applyAlignment="1">
      <alignment horizontal="left" vertical="top" wrapText="1" indent="1"/>
    </xf>
    <xf numFmtId="1" fontId="3" fillId="0" borderId="8" xfId="0" applyNumberFormat="1" applyFont="1" applyBorder="1" applyAlignment="1">
      <alignment horizontal="right" vertical="top" wrapText="1"/>
    </xf>
    <xf numFmtId="176" fontId="3" fillId="0" borderId="8" xfId="0" applyNumberFormat="1" applyFont="1" applyBorder="1" applyAlignment="1">
      <alignment vertical="top" wrapText="1"/>
    </xf>
    <xf numFmtId="176" fontId="30" fillId="0" borderId="4" xfId="0" applyNumberFormat="1" applyFont="1" applyFill="1" applyBorder="1" applyAlignment="1" applyProtection="1">
      <alignment horizontal="left" vertical="top"/>
    </xf>
    <xf numFmtId="0" fontId="83" fillId="0" borderId="7" xfId="0" applyFont="1" applyBorder="1" applyAlignment="1">
      <alignment horizontal="left" vertical="top" wrapText="1" indent="1"/>
    </xf>
    <xf numFmtId="0" fontId="83" fillId="0" borderId="8" xfId="0" applyFont="1" applyBorder="1" applyAlignment="1">
      <alignment horizontal="left" vertical="top" wrapText="1" indent="1"/>
    </xf>
    <xf numFmtId="0" fontId="83" fillId="0" borderId="7" xfId="0" applyFont="1" applyBorder="1" applyAlignment="1">
      <alignment horizontal="left" vertical="top" wrapText="1"/>
    </xf>
    <xf numFmtId="0" fontId="83" fillId="0" borderId="0" xfId="0" applyFont="1" applyAlignment="1">
      <alignment horizontal="left" vertical="top"/>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left" vertical="center" wrapText="1" indent="1"/>
    </xf>
    <xf numFmtId="0" fontId="0" fillId="0" borderId="9" xfId="0" applyBorder="1" applyAlignment="1">
      <alignment vertical="center" wrapText="1"/>
    </xf>
    <xf numFmtId="0" fontId="0" fillId="0" borderId="5" xfId="0" applyBorder="1" applyAlignment="1">
      <alignment horizontal="left" vertical="center" wrapText="1" indent="1"/>
    </xf>
    <xf numFmtId="0" fontId="0" fillId="0" borderId="9" xfId="0" applyBorder="1" applyAlignment="1">
      <alignment horizontal="right" vertical="center" wrapText="1" indent="1"/>
    </xf>
    <xf numFmtId="0" fontId="0" fillId="0" borderId="10" xfId="0" applyBorder="1" applyAlignment="1">
      <alignment horizontal="center" vertical="center" wrapText="1"/>
    </xf>
    <xf numFmtId="0" fontId="0" fillId="0" borderId="5" xfId="0" applyBorder="1" applyAlignment="1">
      <alignment horizontal="center" vertical="top" wrapText="1"/>
    </xf>
    <xf numFmtId="0" fontId="24" fillId="0" borderId="9" xfId="0" applyFont="1" applyBorder="1" applyAlignment="1">
      <alignment horizontal="center" vertical="center" wrapText="1"/>
    </xf>
    <xf numFmtId="0" fontId="0" fillId="0" borderId="10" xfId="0" applyBorder="1" applyAlignment="1">
      <alignment horizontal="center" vertical="top" wrapText="1"/>
    </xf>
    <xf numFmtId="0" fontId="115" fillId="0" borderId="1" xfId="0" applyFont="1" applyBorder="1" applyAlignment="1">
      <alignment horizontal="left" vertical="top" wrapText="1"/>
    </xf>
    <xf numFmtId="2" fontId="116" fillId="0" borderId="15" xfId="0" applyNumberFormat="1" applyFont="1" applyBorder="1" applyAlignment="1">
      <alignment horizontal="center" vertical="top" wrapText="1"/>
    </xf>
    <xf numFmtId="178" fontId="116" fillId="0" borderId="7" xfId="0" applyNumberFormat="1" applyFont="1" applyBorder="1" applyAlignment="1">
      <alignment horizontal="center" vertical="top" wrapText="1"/>
    </xf>
    <xf numFmtId="2" fontId="116" fillId="0" borderId="7" xfId="0" applyNumberFormat="1" applyFont="1" applyBorder="1" applyAlignment="1">
      <alignment horizontal="left" vertical="top" wrapText="1" indent="1"/>
    </xf>
    <xf numFmtId="2" fontId="116" fillId="0" borderId="7" xfId="0" applyNumberFormat="1" applyFont="1" applyBorder="1" applyAlignment="1">
      <alignment vertical="top" wrapText="1"/>
    </xf>
    <xf numFmtId="2" fontId="116" fillId="0" borderId="15" xfId="0" applyNumberFormat="1" applyFont="1" applyBorder="1" applyAlignment="1">
      <alignment horizontal="right" vertical="top" wrapText="1" indent="1"/>
    </xf>
    <xf numFmtId="2" fontId="116" fillId="0" borderId="7" xfId="0" applyNumberFormat="1" applyFont="1" applyBorder="1" applyAlignment="1">
      <alignment horizontal="right" vertical="top" wrapText="1" indent="1"/>
    </xf>
    <xf numFmtId="1" fontId="116" fillId="0" borderId="16" xfId="0" applyNumberFormat="1" applyFont="1" applyBorder="1" applyAlignment="1">
      <alignment horizontal="center" vertical="top" wrapText="1"/>
    </xf>
    <xf numFmtId="1" fontId="116" fillId="0" borderId="7" xfId="0" applyNumberFormat="1" applyFont="1" applyBorder="1" applyAlignment="1">
      <alignment horizontal="center" vertical="top" wrapText="1"/>
    </xf>
    <xf numFmtId="2" fontId="116" fillId="0" borderId="16" xfId="0" applyNumberFormat="1" applyFont="1" applyBorder="1" applyAlignment="1">
      <alignment horizontal="center" vertical="top" wrapText="1"/>
    </xf>
    <xf numFmtId="0" fontId="83" fillId="0" borderId="1" xfId="0" applyFont="1" applyBorder="1" applyAlignment="1">
      <alignment horizontal="left" vertical="top" wrapText="1"/>
    </xf>
    <xf numFmtId="2" fontId="116" fillId="0" borderId="12" xfId="0" applyNumberFormat="1" applyFont="1" applyBorder="1" applyAlignment="1">
      <alignment horizontal="center" vertical="top" wrapText="1"/>
    </xf>
    <xf numFmtId="178" fontId="116" fillId="0" borderId="0" xfId="0" applyNumberFormat="1" applyFont="1" applyAlignment="1">
      <alignment horizontal="center" vertical="top" wrapText="1"/>
    </xf>
    <xf numFmtId="2" fontId="116" fillId="0" borderId="0" xfId="0" applyNumberFormat="1" applyFont="1" applyAlignment="1">
      <alignment horizontal="left" vertical="top" wrapText="1" indent="1"/>
    </xf>
    <xf numFmtId="2" fontId="116" fillId="0" borderId="0" xfId="0" applyNumberFormat="1" applyFont="1" applyAlignment="1">
      <alignment vertical="top" wrapText="1"/>
    </xf>
    <xf numFmtId="180" fontId="116" fillId="0" borderId="12" xfId="0" applyNumberFormat="1" applyFont="1" applyBorder="1" applyAlignment="1">
      <alignment horizontal="right" vertical="top" wrapText="1" indent="1"/>
    </xf>
    <xf numFmtId="180" fontId="116" fillId="0" borderId="0" xfId="0" applyNumberFormat="1" applyFont="1" applyAlignment="1">
      <alignment horizontal="right" vertical="top" wrapText="1" indent="1"/>
    </xf>
    <xf numFmtId="1" fontId="116" fillId="0" borderId="11" xfId="0" applyNumberFormat="1" applyFont="1" applyBorder="1" applyAlignment="1">
      <alignment horizontal="center" vertical="top" wrapText="1"/>
    </xf>
    <xf numFmtId="1" fontId="116" fillId="0" borderId="0" xfId="0" applyNumberFormat="1" applyFont="1" applyAlignment="1">
      <alignment horizontal="center" vertical="top" wrapText="1"/>
    </xf>
    <xf numFmtId="180" fontId="116" fillId="0" borderId="11" xfId="0" applyNumberFormat="1" applyFont="1" applyBorder="1" applyAlignment="1">
      <alignment horizontal="center" vertical="top" wrapText="1"/>
    </xf>
    <xf numFmtId="2" fontId="116" fillId="0" borderId="12" xfId="0" applyNumberFormat="1" applyFont="1" applyBorder="1" applyAlignment="1">
      <alignment horizontal="right" vertical="top" wrapText="1" indent="1"/>
    </xf>
    <xf numFmtId="2" fontId="116" fillId="0" borderId="0" xfId="0" applyNumberFormat="1" applyFont="1" applyAlignment="1">
      <alignment horizontal="right" vertical="top" wrapText="1" indent="1"/>
    </xf>
    <xf numFmtId="2" fontId="116" fillId="0" borderId="11" xfId="0" applyNumberFormat="1" applyFont="1" applyBorder="1" applyAlignment="1">
      <alignment horizontal="center" vertical="top" wrapText="1"/>
    </xf>
    <xf numFmtId="178" fontId="116" fillId="0" borderId="0" xfId="0" applyNumberFormat="1" applyFont="1" applyAlignment="1">
      <alignment horizontal="righ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178" fontId="116" fillId="0" borderId="12" xfId="0" applyNumberFormat="1" applyFont="1" applyBorder="1" applyAlignment="1">
      <alignment horizontal="right" vertical="top" wrapText="1"/>
    </xf>
    <xf numFmtId="2" fontId="116" fillId="0" borderId="14" xfId="0" applyNumberFormat="1" applyFont="1" applyBorder="1" applyAlignment="1">
      <alignment horizontal="center" vertical="top" wrapText="1"/>
    </xf>
    <xf numFmtId="178" fontId="116" fillId="0" borderId="8" xfId="0" applyNumberFormat="1" applyFont="1" applyBorder="1" applyAlignment="1">
      <alignment horizontal="center" vertical="top" wrapText="1"/>
    </xf>
    <xf numFmtId="2" fontId="116" fillId="0" borderId="8" xfId="0" applyNumberFormat="1" applyFont="1" applyBorder="1" applyAlignment="1">
      <alignment horizontal="left" vertical="top" wrapText="1" indent="1"/>
    </xf>
    <xf numFmtId="2" fontId="116" fillId="0" borderId="8" xfId="0" applyNumberFormat="1" applyFont="1" applyBorder="1" applyAlignment="1">
      <alignment vertical="top" wrapText="1"/>
    </xf>
    <xf numFmtId="180" fontId="116" fillId="0" borderId="14" xfId="0" applyNumberFormat="1" applyFont="1" applyBorder="1" applyAlignment="1">
      <alignment horizontal="right" vertical="top" wrapText="1" indent="1"/>
    </xf>
    <xf numFmtId="180" fontId="116" fillId="0" borderId="8" xfId="0" applyNumberFormat="1" applyFont="1" applyBorder="1" applyAlignment="1">
      <alignment horizontal="right" vertical="top" wrapText="1" indent="1"/>
    </xf>
    <xf numFmtId="1" fontId="116" fillId="0" borderId="13" xfId="0" applyNumberFormat="1" applyFont="1" applyBorder="1" applyAlignment="1">
      <alignment horizontal="center" vertical="top" wrapText="1"/>
    </xf>
    <xf numFmtId="1" fontId="116" fillId="0" borderId="8" xfId="0" applyNumberFormat="1" applyFont="1" applyBorder="1" applyAlignment="1">
      <alignment horizontal="center" vertical="top" wrapText="1"/>
    </xf>
    <xf numFmtId="180" fontId="116" fillId="0" borderId="13" xfId="0" applyNumberFormat="1" applyFont="1" applyBorder="1" applyAlignment="1">
      <alignment horizontal="center" vertical="top" wrapText="1"/>
    </xf>
    <xf numFmtId="0" fontId="1" fillId="0" borderId="0" xfId="0" applyFont="1" applyAlignment="1">
      <alignment horizontal="left" vertical="top" wrapText="1"/>
    </xf>
    <xf numFmtId="2" fontId="116" fillId="0" borderId="0" xfId="0" applyNumberFormat="1" applyFont="1" applyAlignment="1">
      <alignment horizontal="center" vertical="top" wrapText="1"/>
    </xf>
    <xf numFmtId="180" fontId="116" fillId="0" borderId="0" xfId="0" applyNumberFormat="1" applyFont="1" applyAlignment="1">
      <alignment horizontal="center" vertical="top" wrapText="1"/>
    </xf>
    <xf numFmtId="0" fontId="0" fillId="0" borderId="5"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1" fillId="0" borderId="5" xfId="0" applyFont="1" applyBorder="1" applyAlignment="1">
      <alignment vertical="top" wrapText="1"/>
    </xf>
    <xf numFmtId="0" fontId="1" fillId="0" borderId="9" xfId="0" applyFont="1" applyBorder="1" applyAlignment="1">
      <alignment vertical="top" wrapText="1"/>
    </xf>
    <xf numFmtId="0" fontId="1" fillId="0" borderId="10" xfId="0" applyFont="1" applyBorder="1" applyAlignment="1">
      <alignment vertical="top" wrapText="1"/>
    </xf>
    <xf numFmtId="0" fontId="30" fillId="0" borderId="0" xfId="0" applyFont="1" applyFill="1" applyBorder="1" applyAlignment="1" applyProtection="1">
      <alignment horizontal="left" vertical="top"/>
    </xf>
    <xf numFmtId="11" fontId="30" fillId="0" borderId="0" xfId="0" applyNumberFormat="1" applyFont="1" applyFill="1" applyBorder="1" applyAlignment="1" applyProtection="1">
      <alignment horizontal="right" vertical="top"/>
    </xf>
    <xf numFmtId="184" fontId="1" fillId="0" borderId="0" xfId="0" applyNumberFormat="1" applyFont="1" applyFill="1" applyBorder="1" applyAlignment="1" applyProtection="1">
      <alignment horizontal="right" vertical="top"/>
    </xf>
    <xf numFmtId="0" fontId="0" fillId="0" borderId="0" xfId="0" applyNumberFormat="1" applyFill="1" applyBorder="1" applyAlignment="1" applyProtection="1">
      <alignment horizontal="right" vertical="top"/>
      <protection locked="0"/>
    </xf>
    <xf numFmtId="182" fontId="0" fillId="0" borderId="0" xfId="0" applyNumberFormat="1" applyFill="1" applyBorder="1" applyAlignment="1" applyProtection="1">
      <alignment horizontal="right" vertical="top"/>
      <protection locked="0"/>
    </xf>
    <xf numFmtId="185" fontId="0" fillId="0" borderId="0" xfId="0" applyNumberFormat="1" applyFill="1" applyBorder="1" applyAlignment="1" applyProtection="1">
      <alignment horizontal="right" vertical="top"/>
      <protection locked="0"/>
    </xf>
    <xf numFmtId="0" fontId="1" fillId="0" borderId="9" xfId="0" applyFont="1" applyBorder="1" applyAlignment="1">
      <alignment horizontal="center" vertical="top" wrapText="1"/>
    </xf>
    <xf numFmtId="0" fontId="0" fillId="0" borderId="9" xfId="0" applyBorder="1" applyAlignment="1">
      <alignment horizontal="left" vertical="top"/>
    </xf>
    <xf numFmtId="0" fontId="3" fillId="0" borderId="9" xfId="0" applyFont="1" applyBorder="1" applyAlignment="1">
      <alignment horizontal="left" vertical="top"/>
    </xf>
    <xf numFmtId="0" fontId="3" fillId="0" borderId="9" xfId="0" applyFont="1" applyBorder="1" applyAlignment="1">
      <alignment vertical="top"/>
    </xf>
    <xf numFmtId="0" fontId="1" fillId="0" borderId="7" xfId="0" applyFont="1" applyBorder="1" applyAlignment="1">
      <alignment horizontal="center" vertical="top" wrapText="1"/>
    </xf>
    <xf numFmtId="178" fontId="3" fillId="0" borderId="7" xfId="0" applyNumberFormat="1" applyFont="1" applyBorder="1" applyAlignment="1">
      <alignment horizontal="left" vertical="top" wrapText="1" indent="1"/>
    </xf>
    <xf numFmtId="178" fontId="3" fillId="0" borderId="7" xfId="0" applyNumberFormat="1" applyFont="1" applyBorder="1" applyAlignment="1">
      <alignment horizontal="right" vertical="top" wrapText="1" indent="1"/>
    </xf>
    <xf numFmtId="187" fontId="3" fillId="0" borderId="7" xfId="0" applyNumberFormat="1" applyFont="1" applyBorder="1" applyAlignment="1">
      <alignment horizontal="right" vertical="top" wrapText="1" indent="1"/>
    </xf>
    <xf numFmtId="178" fontId="3" fillId="0" borderId="7" xfId="0" applyNumberFormat="1" applyFont="1" applyBorder="1" applyAlignment="1">
      <alignment horizontal="center" vertical="top" wrapText="1"/>
    </xf>
    <xf numFmtId="0" fontId="3" fillId="0" borderId="7" xfId="0" applyFont="1" applyBorder="1" applyAlignment="1">
      <alignment horizontal="left" vertical="top" wrapText="1"/>
    </xf>
    <xf numFmtId="0" fontId="1" fillId="0" borderId="0" xfId="0" applyFont="1" applyAlignment="1">
      <alignment horizontal="center" vertical="top" wrapText="1"/>
    </xf>
    <xf numFmtId="178" fontId="3" fillId="0" borderId="0" xfId="0" applyNumberFormat="1" applyFont="1" applyAlignment="1">
      <alignment horizontal="left" vertical="top" wrapText="1" indent="1"/>
    </xf>
    <xf numFmtId="178" fontId="3" fillId="0" borderId="0" xfId="0" applyNumberFormat="1" applyFont="1" applyAlignment="1">
      <alignment horizontal="right" vertical="top" wrapText="1" indent="1"/>
    </xf>
    <xf numFmtId="187" fontId="3" fillId="0" borderId="0" xfId="0" applyNumberFormat="1" applyFont="1" applyAlignment="1">
      <alignment horizontal="right" vertical="top" wrapText="1" indent="1"/>
    </xf>
    <xf numFmtId="178" fontId="3" fillId="0" borderId="0" xfId="0" applyNumberFormat="1" applyFont="1" applyAlignment="1">
      <alignment horizontal="center" vertical="top" wrapText="1"/>
    </xf>
    <xf numFmtId="2" fontId="3" fillId="0" borderId="0" xfId="0" applyNumberFormat="1" applyFont="1" applyAlignment="1">
      <alignment horizontal="left" vertical="top" wrapText="1" indent="1"/>
    </xf>
    <xf numFmtId="2" fontId="3" fillId="0" borderId="0" xfId="0" applyNumberFormat="1" applyFont="1" applyAlignment="1">
      <alignment horizontal="right" vertical="top" wrapText="1" indent="1"/>
    </xf>
    <xf numFmtId="178" fontId="3" fillId="0" borderId="0" xfId="0" applyNumberFormat="1" applyFont="1" applyAlignment="1">
      <alignment horizontal="left" vertical="top" wrapText="1" indent="2"/>
    </xf>
    <xf numFmtId="2" fontId="3" fillId="0" borderId="0" xfId="0" applyNumberFormat="1" applyFont="1" applyAlignment="1">
      <alignment horizontal="left" vertical="top" wrapText="1" indent="2"/>
    </xf>
    <xf numFmtId="0" fontId="1" fillId="0" borderId="8" xfId="0" applyFont="1" applyBorder="1" applyAlignment="1">
      <alignment horizontal="center" vertical="top" wrapText="1"/>
    </xf>
    <xf numFmtId="2" fontId="3" fillId="0" borderId="8" xfId="0" applyNumberFormat="1" applyFont="1" applyBorder="1" applyAlignment="1">
      <alignment horizontal="left" vertical="top" wrapText="1" indent="1"/>
    </xf>
    <xf numFmtId="2" fontId="3" fillId="0" borderId="8" xfId="0" applyNumberFormat="1" applyFont="1" applyBorder="1" applyAlignment="1">
      <alignment horizontal="right" vertical="top" wrapText="1" indent="1"/>
    </xf>
    <xf numFmtId="187" fontId="3" fillId="0" borderId="8" xfId="0" applyNumberFormat="1" applyFont="1" applyBorder="1" applyAlignment="1">
      <alignment horizontal="right" vertical="top" wrapText="1" indent="1"/>
    </xf>
    <xf numFmtId="178" fontId="3" fillId="0" borderId="8" xfId="0" applyNumberFormat="1" applyFont="1" applyBorder="1" applyAlignment="1">
      <alignment horizontal="center" vertical="top" wrapText="1"/>
    </xf>
    <xf numFmtId="178" fontId="3" fillId="0" borderId="8" xfId="0" applyNumberFormat="1" applyFont="1" applyBorder="1" applyAlignment="1">
      <alignment horizontal="left" vertical="top" wrapText="1" indent="1"/>
    </xf>
    <xf numFmtId="0" fontId="3" fillId="0" borderId="8" xfId="0" applyFont="1" applyBorder="1" applyAlignment="1">
      <alignment horizontal="left" vertical="top" wrapText="1"/>
    </xf>
    <xf numFmtId="178" fontId="3" fillId="0" borderId="8" xfId="0" applyNumberFormat="1" applyFont="1" applyBorder="1" applyAlignment="1">
      <alignment horizontal="right" vertical="top" wrapText="1" indent="1"/>
    </xf>
    <xf numFmtId="0" fontId="0" fillId="0" borderId="7" xfId="0" applyBorder="1" applyAlignment="1">
      <alignment horizontal="left" vertical="top"/>
    </xf>
    <xf numFmtId="0" fontId="0" fillId="0" borderId="8" xfId="0" applyBorder="1" applyAlignment="1">
      <alignment horizontal="left" vertical="top"/>
    </xf>
    <xf numFmtId="0" fontId="83" fillId="0" borderId="7" xfId="0" applyFont="1" applyBorder="1" applyAlignment="1">
      <alignment horizontal="center" vertical="top" wrapText="1"/>
    </xf>
    <xf numFmtId="2" fontId="87" fillId="0" borderId="7" xfId="0" applyNumberFormat="1" applyFont="1" applyBorder="1" applyAlignment="1">
      <alignment horizontal="right" vertical="top" wrapText="1"/>
    </xf>
    <xf numFmtId="0" fontId="83" fillId="0" borderId="0" xfId="0" applyFont="1" applyAlignment="1">
      <alignment horizontal="center" vertical="top" wrapText="1"/>
    </xf>
    <xf numFmtId="0" fontId="83" fillId="0" borderId="0" xfId="0" applyFont="1" applyAlignment="1">
      <alignment horizontal="left" vertical="top" wrapText="1" indent="1"/>
    </xf>
    <xf numFmtId="2" fontId="87" fillId="0" borderId="0" xfId="0" applyNumberFormat="1" applyFont="1" applyAlignment="1">
      <alignment horizontal="right" vertical="top" wrapText="1"/>
    </xf>
    <xf numFmtId="1" fontId="87" fillId="0" borderId="0" xfId="0" applyNumberFormat="1" applyFont="1" applyAlignment="1">
      <alignment horizontal="right" vertical="top" wrapText="1"/>
    </xf>
    <xf numFmtId="180" fontId="87" fillId="0" borderId="0" xfId="0" applyNumberFormat="1" applyFont="1" applyAlignment="1">
      <alignment horizontal="right" vertical="top" wrapText="1"/>
    </xf>
    <xf numFmtId="0" fontId="83" fillId="0" borderId="8" xfId="0" applyFont="1" applyBorder="1" applyAlignment="1">
      <alignment horizontal="center" vertical="top" wrapText="1"/>
    </xf>
    <xf numFmtId="2" fontId="87" fillId="0" borderId="8" xfId="0" applyNumberFormat="1" applyFont="1" applyBorder="1" applyAlignment="1">
      <alignment horizontal="right" vertical="top" wrapText="1"/>
    </xf>
    <xf numFmtId="0" fontId="15" fillId="0" borderId="0" xfId="0" applyFont="1" applyAlignment="1">
      <alignment horizontal="left" vertical="top"/>
    </xf>
    <xf numFmtId="0" fontId="10" fillId="0" borderId="0" xfId="0" applyFont="1" applyAlignment="1">
      <alignment horizontal="left" vertical="top"/>
    </xf>
    <xf numFmtId="0" fontId="13" fillId="0" borderId="1" xfId="0" applyFont="1" applyBorder="1" applyAlignment="1">
      <alignment horizontal="left" vertical="top" wrapText="1"/>
    </xf>
    <xf numFmtId="0" fontId="0" fillId="0" borderId="5"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14" fillId="0" borderId="9" xfId="0" applyFont="1" applyBorder="1" applyAlignment="1">
      <alignment horizontal="center" vertical="top" wrapText="1"/>
    </xf>
    <xf numFmtId="0" fontId="0" fillId="0" borderId="9" xfId="0" applyBorder="1" applyAlignment="1">
      <alignment horizontal="left" vertical="top" wrapText="1" indent="2"/>
    </xf>
    <xf numFmtId="0" fontId="15" fillId="0" borderId="1" xfId="0" applyFont="1" applyBorder="1" applyAlignment="1">
      <alignment horizontal="left" vertical="top" wrapText="1"/>
    </xf>
    <xf numFmtId="178" fontId="17" fillId="0" borderId="1" xfId="0" applyNumberFormat="1" applyFont="1" applyBorder="1" applyAlignment="1">
      <alignment horizontal="center" vertical="top" wrapText="1"/>
    </xf>
    <xf numFmtId="177" fontId="17" fillId="0" borderId="1" xfId="0" applyNumberFormat="1" applyFont="1" applyBorder="1" applyAlignment="1">
      <alignment horizontal="right" vertical="top" wrapText="1" indent="1"/>
    </xf>
    <xf numFmtId="178" fontId="17" fillId="0" borderId="1" xfId="0" applyNumberFormat="1" applyFont="1" applyBorder="1" applyAlignment="1">
      <alignment horizontal="right" vertical="top" wrapText="1" indent="1"/>
    </xf>
    <xf numFmtId="1" fontId="17" fillId="0" borderId="1" xfId="0" applyNumberFormat="1" applyFont="1" applyBorder="1" applyAlignment="1">
      <alignment horizontal="right" vertical="top" wrapText="1" indent="3"/>
    </xf>
    <xf numFmtId="2" fontId="17" fillId="0" borderId="1" xfId="0" applyNumberFormat="1" applyFont="1" applyBorder="1" applyAlignment="1">
      <alignment horizontal="center" vertical="top" wrapText="1"/>
    </xf>
    <xf numFmtId="10" fontId="17" fillId="0" borderId="1" xfId="0" applyNumberFormat="1" applyFont="1" applyBorder="1" applyAlignment="1">
      <alignment horizontal="right" vertical="top" wrapText="1" indent="1"/>
    </xf>
    <xf numFmtId="1" fontId="17" fillId="0" borderId="1" xfId="0" applyNumberFormat="1" applyFont="1" applyBorder="1" applyAlignment="1">
      <alignment vertical="top" wrapText="1"/>
    </xf>
    <xf numFmtId="176" fontId="17" fillId="0" borderId="1" xfId="0" applyNumberFormat="1" applyFont="1" applyBorder="1" applyAlignment="1">
      <alignment horizontal="right" vertical="top" wrapText="1" indent="1"/>
    </xf>
    <xf numFmtId="0" fontId="15" fillId="0" borderId="2" xfId="0" applyFont="1" applyBorder="1" applyAlignment="1">
      <alignment horizontal="left" vertical="top" wrapText="1"/>
    </xf>
    <xf numFmtId="178" fontId="17" fillId="0" borderId="15" xfId="0" applyNumberFormat="1" applyFont="1" applyBorder="1" applyAlignment="1">
      <alignment horizontal="right" vertical="top" wrapText="1" indent="1"/>
    </xf>
    <xf numFmtId="178" fontId="17" fillId="0" borderId="7" xfId="0" applyNumberFormat="1" applyFont="1" applyBorder="1" applyAlignment="1">
      <alignment horizontal="center" vertical="top" wrapText="1"/>
    </xf>
    <xf numFmtId="177" fontId="17" fillId="0" borderId="7" xfId="0" applyNumberFormat="1" applyFont="1" applyBorder="1" applyAlignment="1">
      <alignment horizontal="right" vertical="top" wrapText="1" indent="1"/>
    </xf>
    <xf numFmtId="177" fontId="17" fillId="0" borderId="16" xfId="0" applyNumberFormat="1" applyFont="1" applyBorder="1" applyAlignment="1">
      <alignment horizontal="right" vertical="top" wrapText="1" indent="1"/>
    </xf>
    <xf numFmtId="2" fontId="17" fillId="0" borderId="15" xfId="0" applyNumberFormat="1" applyFont="1" applyBorder="1" applyAlignment="1">
      <alignment horizontal="center" vertical="top" wrapText="1"/>
    </xf>
    <xf numFmtId="2" fontId="17" fillId="0" borderId="7" xfId="0" applyNumberFormat="1" applyFont="1" applyBorder="1" applyAlignment="1">
      <alignment horizontal="center" vertical="top" wrapText="1"/>
    </xf>
    <xf numFmtId="1" fontId="17" fillId="0" borderId="16" xfId="0" applyNumberFormat="1" applyFont="1" applyBorder="1" applyAlignment="1">
      <alignment horizontal="right" vertical="top" wrapText="1" indent="3"/>
    </xf>
    <xf numFmtId="178" fontId="17" fillId="0" borderId="15" xfId="0" applyNumberFormat="1" applyFont="1" applyBorder="1" applyAlignment="1">
      <alignment horizontal="center" vertical="top" wrapText="1"/>
    </xf>
    <xf numFmtId="10" fontId="17" fillId="0" borderId="7" xfId="0" applyNumberFormat="1" applyFont="1" applyBorder="1" applyAlignment="1">
      <alignment horizontal="right" vertical="top" wrapText="1" indent="1"/>
    </xf>
    <xf numFmtId="1" fontId="17" fillId="0" borderId="7" xfId="0" applyNumberFormat="1" applyFont="1" applyBorder="1" applyAlignment="1">
      <alignment vertical="top" wrapText="1"/>
    </xf>
    <xf numFmtId="178" fontId="17" fillId="0" borderId="7" xfId="0" applyNumberFormat="1" applyFont="1" applyBorder="1" applyAlignment="1">
      <alignment horizontal="right" vertical="top" wrapText="1" indent="1"/>
    </xf>
    <xf numFmtId="10" fontId="17" fillId="0" borderId="16" xfId="0" applyNumberFormat="1" applyFont="1" applyBorder="1" applyAlignment="1">
      <alignment horizontal="right" vertical="top" wrapText="1" indent="1"/>
    </xf>
    <xf numFmtId="0" fontId="15" fillId="0" borderId="6" xfId="0" applyFont="1" applyBorder="1" applyAlignment="1">
      <alignment horizontal="left" vertical="top" wrapText="1"/>
    </xf>
    <xf numFmtId="178" fontId="17" fillId="0" borderId="12" xfId="0" applyNumberFormat="1" applyFont="1" applyBorder="1" applyAlignment="1">
      <alignment horizontal="right" vertical="top" wrapText="1" indent="1"/>
    </xf>
    <xf numFmtId="178" fontId="17" fillId="0" borderId="0" xfId="0" applyNumberFormat="1" applyFont="1" applyAlignment="1">
      <alignment horizontal="center" vertical="top" wrapText="1"/>
    </xf>
    <xf numFmtId="177" fontId="17" fillId="0" borderId="0" xfId="0" applyNumberFormat="1" applyFont="1" applyAlignment="1">
      <alignment horizontal="right" vertical="top" wrapText="1" indent="1"/>
    </xf>
    <xf numFmtId="177" fontId="17" fillId="0" borderId="11" xfId="0" applyNumberFormat="1" applyFont="1" applyBorder="1" applyAlignment="1">
      <alignment horizontal="right" vertical="top" wrapText="1" indent="1"/>
    </xf>
    <xf numFmtId="2" fontId="17" fillId="0" borderId="12" xfId="0" applyNumberFormat="1" applyFont="1" applyBorder="1" applyAlignment="1">
      <alignment horizontal="center" vertical="top" wrapText="1"/>
    </xf>
    <xf numFmtId="2" fontId="17" fillId="0" borderId="0" xfId="0" applyNumberFormat="1" applyFont="1" applyAlignment="1">
      <alignment horizontal="center" vertical="top" wrapText="1"/>
    </xf>
    <xf numFmtId="1" fontId="17" fillId="0" borderId="11" xfId="0" applyNumberFormat="1" applyFont="1" applyBorder="1" applyAlignment="1">
      <alignment horizontal="right" vertical="top" wrapText="1" indent="3"/>
    </xf>
    <xf numFmtId="178" fontId="17" fillId="0" borderId="12" xfId="0" applyNumberFormat="1" applyFont="1" applyBorder="1" applyAlignment="1">
      <alignment horizontal="center" vertical="top" wrapText="1"/>
    </xf>
    <xf numFmtId="10" fontId="17" fillId="0" borderId="0" xfId="0" applyNumberFormat="1" applyFont="1" applyAlignment="1">
      <alignment horizontal="right" vertical="top" wrapText="1" indent="1"/>
    </xf>
    <xf numFmtId="1" fontId="17" fillId="0" borderId="0" xfId="0" applyNumberFormat="1" applyFont="1" applyAlignment="1">
      <alignment vertical="top" wrapText="1"/>
    </xf>
    <xf numFmtId="178" fontId="17" fillId="0" borderId="0" xfId="0" applyNumberFormat="1" applyFont="1" applyAlignment="1">
      <alignment horizontal="right" vertical="top" wrapText="1" indent="1"/>
    </xf>
    <xf numFmtId="10" fontId="17" fillId="0" borderId="11" xfId="0" applyNumberFormat="1" applyFont="1" applyBorder="1" applyAlignment="1">
      <alignment horizontal="right" vertical="top" wrapText="1" indent="1"/>
    </xf>
    <xf numFmtId="0" fontId="15" fillId="0" borderId="3" xfId="0" applyFont="1" applyBorder="1" applyAlignment="1">
      <alignment horizontal="left" vertical="top" wrapText="1"/>
    </xf>
    <xf numFmtId="178" fontId="17" fillId="0" borderId="14" xfId="0" applyNumberFormat="1" applyFont="1" applyBorder="1" applyAlignment="1">
      <alignment horizontal="right" vertical="top" wrapText="1" indent="1"/>
    </xf>
    <xf numFmtId="178" fontId="17" fillId="0" borderId="8" xfId="0" applyNumberFormat="1" applyFont="1" applyBorder="1" applyAlignment="1">
      <alignment horizontal="center" vertical="top" wrapText="1"/>
    </xf>
    <xf numFmtId="177" fontId="17" fillId="0" borderId="8" xfId="0" applyNumberFormat="1" applyFont="1" applyBorder="1" applyAlignment="1">
      <alignment horizontal="right" vertical="top" wrapText="1" indent="1"/>
    </xf>
    <xf numFmtId="177" fontId="17" fillId="0" borderId="13" xfId="0" applyNumberFormat="1" applyFont="1" applyBorder="1" applyAlignment="1">
      <alignment horizontal="right" vertical="top" wrapText="1" indent="1"/>
    </xf>
    <xf numFmtId="2" fontId="17" fillId="0" borderId="14" xfId="0" applyNumberFormat="1" applyFont="1" applyBorder="1" applyAlignment="1">
      <alignment horizontal="center" vertical="top" wrapText="1"/>
    </xf>
    <xf numFmtId="2" fontId="17" fillId="0" borderId="8" xfId="0" applyNumberFormat="1" applyFont="1" applyBorder="1" applyAlignment="1">
      <alignment horizontal="center" vertical="top" wrapText="1"/>
    </xf>
    <xf numFmtId="1" fontId="17" fillId="0" borderId="13" xfId="0" applyNumberFormat="1" applyFont="1" applyBorder="1" applyAlignment="1">
      <alignment horizontal="right" vertical="top" wrapText="1" indent="3"/>
    </xf>
    <xf numFmtId="178" fontId="17" fillId="0" borderId="14" xfId="0" applyNumberFormat="1" applyFont="1" applyBorder="1" applyAlignment="1">
      <alignment horizontal="center" vertical="top" wrapText="1"/>
    </xf>
    <xf numFmtId="10" fontId="17" fillId="0" borderId="8" xfId="0" applyNumberFormat="1" applyFont="1" applyBorder="1" applyAlignment="1">
      <alignment horizontal="right" vertical="top" wrapText="1" indent="1"/>
    </xf>
    <xf numFmtId="1" fontId="17" fillId="0" borderId="8" xfId="0" applyNumberFormat="1" applyFont="1" applyBorder="1" applyAlignment="1">
      <alignment vertical="top" wrapText="1"/>
    </xf>
    <xf numFmtId="178" fontId="17" fillId="0" borderId="8" xfId="0" applyNumberFormat="1" applyFont="1" applyBorder="1" applyAlignment="1">
      <alignment horizontal="right" vertical="top" wrapText="1" indent="1"/>
    </xf>
    <xf numFmtId="10" fontId="17" fillId="0" borderId="13" xfId="0" applyNumberFormat="1" applyFont="1" applyBorder="1" applyAlignment="1">
      <alignment horizontal="right" vertical="top" wrapText="1" indent="1"/>
    </xf>
    <xf numFmtId="0" fontId="15" fillId="0" borderId="0" xfId="0" applyFont="1" applyAlignment="1">
      <alignment horizontal="left" vertical="top" wrapText="1"/>
    </xf>
    <xf numFmtId="1" fontId="17" fillId="0" borderId="0" xfId="0" applyNumberFormat="1" applyFont="1" applyAlignment="1">
      <alignment horizontal="right" vertical="top" wrapText="1" indent="3"/>
    </xf>
    <xf numFmtId="1" fontId="17" fillId="0" borderId="0" xfId="0" applyNumberFormat="1" applyFont="1" applyAlignment="1">
      <alignment horizontal="left" vertical="top" wrapText="1" indent="3"/>
    </xf>
    <xf numFmtId="176" fontId="17" fillId="0" borderId="15" xfId="0" applyNumberFormat="1" applyFont="1" applyBorder="1" applyAlignment="1">
      <alignment horizontal="center" vertical="top" wrapText="1"/>
    </xf>
    <xf numFmtId="176" fontId="17" fillId="0" borderId="7" xfId="0" applyNumberFormat="1" applyFont="1" applyBorder="1" applyAlignment="1">
      <alignment horizontal="center" vertical="top" wrapText="1"/>
    </xf>
    <xf numFmtId="176" fontId="17" fillId="0" borderId="15" xfId="0" applyNumberFormat="1" applyFont="1" applyBorder="1" applyAlignment="1">
      <alignment horizontal="right" vertical="top" wrapText="1" indent="1"/>
    </xf>
    <xf numFmtId="176" fontId="17" fillId="0" borderId="7" xfId="0" applyNumberFormat="1" applyFont="1" applyBorder="1" applyAlignment="1">
      <alignment horizontal="right" vertical="top" wrapText="1" indent="1"/>
    </xf>
    <xf numFmtId="176" fontId="17" fillId="0" borderId="12" xfId="0" applyNumberFormat="1" applyFont="1" applyBorder="1" applyAlignment="1">
      <alignment horizontal="center" vertical="top" wrapText="1"/>
    </xf>
    <xf numFmtId="176" fontId="17" fillId="0" borderId="0" xfId="0" applyNumberFormat="1" applyFont="1" applyAlignment="1">
      <alignment horizontal="center" vertical="top" wrapText="1"/>
    </xf>
    <xf numFmtId="176" fontId="17" fillId="0" borderId="12" xfId="0" applyNumberFormat="1" applyFont="1" applyBorder="1" applyAlignment="1">
      <alignment horizontal="right" vertical="top" wrapText="1" indent="1"/>
    </xf>
    <xf numFmtId="176" fontId="17" fillId="0" borderId="0" xfId="0" applyNumberFormat="1" applyFont="1" applyAlignment="1">
      <alignment horizontal="right" vertical="top" wrapText="1" indent="1"/>
    </xf>
    <xf numFmtId="2" fontId="17" fillId="0" borderId="12" xfId="0" applyNumberFormat="1" applyFont="1" applyBorder="1" applyAlignment="1">
      <alignment horizontal="right" vertical="top" wrapText="1" indent="2"/>
    </xf>
    <xf numFmtId="2" fontId="17" fillId="0" borderId="0" xfId="0" applyNumberFormat="1" applyFont="1" applyAlignment="1">
      <alignment horizontal="right" vertical="top" wrapText="1" indent="2"/>
    </xf>
    <xf numFmtId="0" fontId="0" fillId="0" borderId="0" xfId="0" applyAlignment="1">
      <alignment vertical="top" wrapText="1"/>
    </xf>
    <xf numFmtId="176" fontId="17" fillId="0" borderId="14" xfId="0" applyNumberFormat="1" applyFont="1" applyBorder="1" applyAlignment="1">
      <alignment horizontal="center" vertical="top" wrapText="1"/>
    </xf>
    <xf numFmtId="176" fontId="17" fillId="0" borderId="8" xfId="0" applyNumberFormat="1" applyFont="1" applyBorder="1" applyAlignment="1">
      <alignment horizontal="center" vertical="top" wrapText="1"/>
    </xf>
    <xf numFmtId="176" fontId="17" fillId="0" borderId="14" xfId="0" applyNumberFormat="1" applyFont="1" applyBorder="1" applyAlignment="1">
      <alignment horizontal="right" vertical="top" wrapText="1" indent="1"/>
    </xf>
    <xf numFmtId="176" fontId="17" fillId="0" borderId="8" xfId="0" applyNumberFormat="1" applyFont="1" applyBorder="1" applyAlignment="1">
      <alignment horizontal="right" vertical="top" wrapText="1" indent="1"/>
    </xf>
    <xf numFmtId="178" fontId="17" fillId="0" borderId="5" xfId="0" applyNumberFormat="1" applyFont="1" applyBorder="1" applyAlignment="1">
      <alignment horizontal="center" vertical="top" wrapText="1"/>
    </xf>
    <xf numFmtId="178" fontId="17" fillId="0" borderId="9" xfId="0" applyNumberFormat="1" applyFont="1" applyBorder="1" applyAlignment="1">
      <alignment horizontal="center" vertical="top" wrapText="1"/>
    </xf>
    <xf numFmtId="176" fontId="17" fillId="0" borderId="9" xfId="0" applyNumberFormat="1" applyFont="1" applyBorder="1" applyAlignment="1">
      <alignment horizontal="center" vertical="top" wrapText="1"/>
    </xf>
    <xf numFmtId="176" fontId="17" fillId="0" borderId="10" xfId="0" applyNumberFormat="1" applyFont="1" applyBorder="1" applyAlignment="1">
      <alignment horizontal="center" vertical="top" wrapText="1"/>
    </xf>
    <xf numFmtId="2" fontId="17" fillId="0" borderId="5" xfId="0" applyNumberFormat="1" applyFont="1" applyBorder="1" applyAlignment="1">
      <alignment horizontal="right" vertical="top" wrapText="1" indent="1"/>
    </xf>
    <xf numFmtId="2" fontId="17" fillId="0" borderId="9" xfId="0" applyNumberFormat="1" applyFont="1" applyBorder="1" applyAlignment="1">
      <alignment horizontal="right" vertical="top" wrapText="1" indent="2"/>
    </xf>
    <xf numFmtId="1" fontId="17" fillId="0" borderId="10" xfId="0" applyNumberFormat="1" applyFont="1" applyBorder="1" applyAlignment="1">
      <alignment horizontal="right" vertical="top" wrapText="1" indent="3"/>
    </xf>
    <xf numFmtId="10" fontId="17" fillId="0" borderId="9" xfId="0" applyNumberFormat="1" applyFont="1" applyBorder="1" applyAlignment="1">
      <alignment horizontal="right" vertical="top" wrapText="1" indent="1"/>
    </xf>
    <xf numFmtId="1" fontId="17" fillId="0" borderId="9" xfId="0" applyNumberFormat="1" applyFont="1" applyBorder="1" applyAlignment="1">
      <alignment vertical="top" wrapText="1"/>
    </xf>
    <xf numFmtId="178" fontId="17" fillId="0" borderId="9" xfId="0" applyNumberFormat="1" applyFont="1" applyBorder="1" applyAlignment="1">
      <alignment horizontal="right" vertical="top" wrapText="1" indent="1"/>
    </xf>
    <xf numFmtId="10" fontId="17" fillId="0" borderId="10" xfId="0" applyNumberFormat="1" applyFont="1" applyBorder="1" applyAlignment="1">
      <alignment horizontal="right" vertical="top" wrapText="1" indent="1"/>
    </xf>
    <xf numFmtId="176" fontId="17" fillId="0" borderId="16" xfId="0" applyNumberFormat="1" applyFont="1" applyBorder="1" applyAlignment="1">
      <alignment horizontal="center" vertical="top" wrapText="1"/>
    </xf>
    <xf numFmtId="180" fontId="17" fillId="0" borderId="15" xfId="0" applyNumberFormat="1" applyFont="1" applyBorder="1" applyAlignment="1">
      <alignment horizontal="right" vertical="top" wrapText="1" indent="2"/>
    </xf>
    <xf numFmtId="180" fontId="17" fillId="0" borderId="7" xfId="0" applyNumberFormat="1" applyFont="1" applyBorder="1" applyAlignment="1">
      <alignment horizontal="right" vertical="top" wrapText="1" indent="2"/>
    </xf>
    <xf numFmtId="176" fontId="17" fillId="0" borderId="11" xfId="0" applyNumberFormat="1" applyFont="1" applyBorder="1" applyAlignment="1">
      <alignment horizontal="center" vertical="top" wrapText="1"/>
    </xf>
    <xf numFmtId="2" fontId="17" fillId="0" borderId="12" xfId="0" applyNumberFormat="1" applyFont="1" applyBorder="1" applyAlignment="1">
      <alignment horizontal="right" vertical="top" wrapText="1" indent="1"/>
    </xf>
    <xf numFmtId="176" fontId="17" fillId="0" borderId="13" xfId="0" applyNumberFormat="1" applyFont="1" applyBorder="1" applyAlignment="1">
      <alignment horizontal="center" vertical="top" wrapText="1"/>
    </xf>
    <xf numFmtId="2" fontId="17" fillId="0" borderId="14" xfId="0" applyNumberFormat="1" applyFont="1" applyBorder="1" applyAlignment="1">
      <alignment horizontal="right" vertical="top" wrapText="1" indent="1"/>
    </xf>
    <xf numFmtId="2" fontId="17" fillId="0" borderId="8" xfId="0" applyNumberFormat="1" applyFont="1" applyBorder="1" applyAlignment="1">
      <alignment horizontal="right" vertical="top" wrapText="1" indent="2"/>
    </xf>
    <xf numFmtId="2" fontId="17" fillId="0" borderId="0" xfId="0" applyNumberFormat="1" applyFont="1" applyAlignment="1">
      <alignment horizontal="right" vertical="top" wrapText="1" indent="1"/>
    </xf>
    <xf numFmtId="2" fontId="17" fillId="0" borderId="15" xfId="0" applyNumberFormat="1" applyFont="1" applyBorder="1" applyAlignment="1">
      <alignment horizontal="right" vertical="top" wrapText="1" indent="1"/>
    </xf>
    <xf numFmtId="2" fontId="17" fillId="0" borderId="7" xfId="0" applyNumberFormat="1" applyFont="1" applyBorder="1" applyAlignment="1">
      <alignment horizontal="right" vertical="top" wrapText="1" indent="2"/>
    </xf>
    <xf numFmtId="2" fontId="17" fillId="0" borderId="15" xfId="0" applyNumberFormat="1" applyFont="1" applyBorder="1" applyAlignment="1">
      <alignment horizontal="right" vertical="top" wrapText="1" indent="2"/>
    </xf>
    <xf numFmtId="180" fontId="17" fillId="0" borderId="12" xfId="0" applyNumberFormat="1" applyFont="1" applyBorder="1" applyAlignment="1">
      <alignment horizontal="right" vertical="top" wrapText="1" indent="2"/>
    </xf>
    <xf numFmtId="180" fontId="17" fillId="0" borderId="0" xfId="0" applyNumberFormat="1" applyFont="1" applyAlignment="1">
      <alignment horizontal="right" vertical="top" wrapText="1" indent="2"/>
    </xf>
    <xf numFmtId="180" fontId="17" fillId="0" borderId="14" xfId="0" applyNumberFormat="1" applyFont="1" applyBorder="1" applyAlignment="1">
      <alignment horizontal="right" vertical="top" wrapText="1" indent="2"/>
    </xf>
    <xf numFmtId="180" fontId="17" fillId="0" borderId="8" xfId="0" applyNumberFormat="1" applyFont="1" applyBorder="1" applyAlignment="1">
      <alignment horizontal="right" vertical="top" wrapText="1" indent="2"/>
    </xf>
    <xf numFmtId="2" fontId="17" fillId="0" borderId="14" xfId="0" applyNumberFormat="1" applyFont="1" applyBorder="1" applyAlignment="1">
      <alignment horizontal="right" vertical="top" wrapText="1" indent="2"/>
    </xf>
    <xf numFmtId="177" fontId="30" fillId="0" borderId="4" xfId="0" applyNumberFormat="1" applyFont="1" applyFill="1" applyBorder="1" applyAlignment="1" applyProtection="1">
      <alignment horizontal="left" vertical="top"/>
    </xf>
    <xf numFmtId="0" fontId="9" fillId="0" borderId="0" xfId="0" applyFont="1" applyAlignment="1">
      <alignment horizontal="left" vertical="top"/>
    </xf>
    <xf numFmtId="0" fontId="95" fillId="0" borderId="0" xfId="0" applyFont="1" applyAlignment="1">
      <alignment horizontal="left" vertical="top"/>
    </xf>
    <xf numFmtId="0" fontId="124" fillId="0" borderId="0" xfId="0" applyFont="1" applyAlignment="1">
      <alignment horizontal="left" vertical="top"/>
    </xf>
    <xf numFmtId="0" fontId="0" fillId="0" borderId="1" xfId="0" applyBorder="1" applyAlignment="1">
      <alignment horizontal="left" vertical="top" wrapText="1"/>
    </xf>
    <xf numFmtId="0" fontId="10" fillId="0" borderId="1" xfId="0" applyFont="1" applyBorder="1" applyAlignment="1">
      <alignment horizontal="left" vertical="top" wrapText="1" indent="4"/>
    </xf>
    <xf numFmtId="0" fontId="88" fillId="0" borderId="9" xfId="0" applyFont="1" applyBorder="1" applyAlignment="1">
      <alignment horizontal="left" vertical="top" wrapText="1"/>
    </xf>
    <xf numFmtId="0" fontId="88" fillId="0" borderId="9" xfId="0" applyFont="1" applyBorder="1" applyAlignment="1">
      <alignment horizontal="left" vertical="top" wrapText="1" indent="1"/>
    </xf>
    <xf numFmtId="0" fontId="132" fillId="0" borderId="1" xfId="0" applyFont="1" applyBorder="1" applyAlignment="1">
      <alignment horizontal="left" vertical="top" wrapText="1"/>
    </xf>
    <xf numFmtId="2" fontId="133" fillId="0" borderId="1" xfId="0" applyNumberFormat="1" applyFont="1" applyBorder="1" applyAlignment="1">
      <alignment horizontal="center" vertical="top" wrapText="1"/>
    </xf>
    <xf numFmtId="178" fontId="133" fillId="0" borderId="1" xfId="0" applyNumberFormat="1" applyFont="1" applyBorder="1" applyAlignment="1">
      <alignment horizontal="center" vertical="top" wrapText="1"/>
    </xf>
    <xf numFmtId="2" fontId="61" fillId="6" borderId="1" xfId="0" applyNumberFormat="1" applyFont="1" applyFill="1" applyBorder="1" applyAlignment="1">
      <alignment horizontal="left" vertical="top" wrapText="1" indent="2"/>
    </xf>
    <xf numFmtId="0" fontId="88" fillId="7" borderId="7" xfId="0" applyFont="1" applyFill="1" applyBorder="1" applyAlignment="1">
      <alignment horizontal="left" vertical="top" wrapText="1"/>
    </xf>
    <xf numFmtId="2" fontId="61" fillId="6" borderId="1" xfId="0" applyNumberFormat="1" applyFont="1" applyFill="1" applyBorder="1" applyAlignment="1">
      <alignment horizontal="left" vertical="top" wrapText="1" indent="1"/>
    </xf>
    <xf numFmtId="0" fontId="88" fillId="0" borderId="0" xfId="0" applyFont="1" applyAlignment="1">
      <alignment horizontal="left" vertical="top" wrapText="1"/>
    </xf>
    <xf numFmtId="180" fontId="133" fillId="0" borderId="1" xfId="0" applyNumberFormat="1" applyFont="1" applyBorder="1" applyAlignment="1">
      <alignment horizontal="center" vertical="top" wrapText="1"/>
    </xf>
    <xf numFmtId="0" fontId="88" fillId="7" borderId="0" xfId="0" applyFont="1" applyFill="1" applyAlignment="1">
      <alignment horizontal="left" vertical="top" wrapText="1"/>
    </xf>
    <xf numFmtId="0" fontId="88" fillId="0" borderId="41" xfId="0" applyFont="1" applyBorder="1" applyAlignment="1">
      <alignment horizontal="left" vertical="top" wrapText="1"/>
    </xf>
    <xf numFmtId="0" fontId="88" fillId="0" borderId="8" xfId="0" applyFont="1" applyBorder="1" applyAlignment="1">
      <alignment horizontal="left" vertical="top" wrapText="1"/>
    </xf>
    <xf numFmtId="0" fontId="95" fillId="0" borderId="8" xfId="0" applyFont="1" applyBorder="1" applyAlignment="1">
      <alignment horizontal="left" vertical="top" wrapText="1" indent="1"/>
    </xf>
    <xf numFmtId="0" fontId="134" fillId="0" borderId="0" xfId="0" applyFont="1" applyAlignment="1">
      <alignment horizontal="left" vertical="top" wrapText="1"/>
    </xf>
    <xf numFmtId="0" fontId="135" fillId="0" borderId="0" xfId="0" applyFont="1" applyAlignment="1">
      <alignment horizontal="center" vertical="top" wrapText="1"/>
    </xf>
    <xf numFmtId="0" fontId="136" fillId="0" borderId="0" xfId="0" applyFont="1" applyAlignment="1">
      <alignment horizontal="left" vertical="top" wrapText="1"/>
    </xf>
    <xf numFmtId="0" fontId="136" fillId="0" borderId="0" xfId="0" applyFont="1" applyAlignment="1">
      <alignment horizontal="center" vertical="top" wrapText="1"/>
    </xf>
    <xf numFmtId="0" fontId="0" fillId="0" borderId="4" xfId="0" applyBorder="1" applyAlignment="1">
      <alignment horizontal="left" vertical="top" wrapText="1"/>
    </xf>
    <xf numFmtId="0" fontId="15" fillId="0" borderId="4" xfId="0" applyFont="1" applyBorder="1" applyAlignment="1">
      <alignment horizontal="left" vertical="top" wrapText="1"/>
    </xf>
    <xf numFmtId="0" fontId="14" fillId="0" borderId="9" xfId="0" applyFont="1" applyBorder="1" applyAlignment="1">
      <alignment horizontal="left" vertical="top" wrapText="1"/>
    </xf>
    <xf numFmtId="0" fontId="95" fillId="0" borderId="2" xfId="0" applyFont="1" applyBorder="1" applyAlignment="1">
      <alignment horizontal="left" vertical="top" wrapText="1"/>
    </xf>
    <xf numFmtId="176" fontId="94" fillId="0" borderId="15" xfId="0" applyNumberFormat="1" applyFont="1" applyBorder="1" applyAlignment="1">
      <alignment horizontal="right" vertical="top" wrapText="1"/>
    </xf>
    <xf numFmtId="176" fontId="94" fillId="0" borderId="7" xfId="0" applyNumberFormat="1" applyFont="1" applyBorder="1" applyAlignment="1">
      <alignment vertical="top" wrapText="1"/>
    </xf>
    <xf numFmtId="177" fontId="94" fillId="0" borderId="16" xfId="0" applyNumberFormat="1" applyFont="1" applyBorder="1" applyAlignment="1">
      <alignment horizontal="right" vertical="top" wrapText="1"/>
    </xf>
    <xf numFmtId="178" fontId="94" fillId="0" borderId="15" xfId="0" applyNumberFormat="1" applyFont="1" applyBorder="1" applyAlignment="1">
      <alignment horizontal="right" vertical="top" wrapText="1"/>
    </xf>
    <xf numFmtId="178" fontId="94" fillId="0" borderId="7" xfId="0" applyNumberFormat="1" applyFont="1" applyBorder="1" applyAlignment="1">
      <alignment vertical="top" wrapText="1"/>
    </xf>
    <xf numFmtId="1" fontId="94" fillId="0" borderId="16" xfId="0" applyNumberFormat="1" applyFont="1" applyBorder="1" applyAlignment="1">
      <alignment horizontal="right" vertical="top" wrapText="1"/>
    </xf>
    <xf numFmtId="10" fontId="94" fillId="0" borderId="7" xfId="0" applyNumberFormat="1" applyFont="1" applyBorder="1" applyAlignment="1">
      <alignment horizontal="right" vertical="top" wrapText="1"/>
    </xf>
    <xf numFmtId="1" fontId="94" fillId="0" borderId="7" xfId="0" applyNumberFormat="1" applyFont="1" applyBorder="1" applyAlignment="1">
      <alignment vertical="top" wrapText="1"/>
    </xf>
    <xf numFmtId="176" fontId="94" fillId="0" borderId="7" xfId="0" applyNumberFormat="1" applyFont="1" applyBorder="1" applyAlignment="1">
      <alignment horizontal="right" vertical="top" wrapText="1"/>
    </xf>
    <xf numFmtId="10" fontId="94" fillId="0" borderId="16" xfId="0" applyNumberFormat="1" applyFont="1" applyBorder="1" applyAlignment="1">
      <alignment horizontal="right" vertical="top" wrapText="1"/>
    </xf>
    <xf numFmtId="0" fontId="95" fillId="0" borderId="6" xfId="0" applyFont="1" applyBorder="1" applyAlignment="1">
      <alignment horizontal="left" vertical="top" wrapText="1"/>
    </xf>
    <xf numFmtId="176" fontId="94" fillId="0" borderId="12" xfId="0" applyNumberFormat="1" applyFont="1" applyBorder="1" applyAlignment="1">
      <alignment horizontal="right" vertical="top" wrapText="1"/>
    </xf>
    <xf numFmtId="176" fontId="94" fillId="0" borderId="0" xfId="0" applyNumberFormat="1" applyFont="1" applyAlignment="1">
      <alignment vertical="top" wrapText="1"/>
    </xf>
    <xf numFmtId="177" fontId="94" fillId="0" borderId="11" xfId="0" applyNumberFormat="1" applyFont="1" applyBorder="1" applyAlignment="1">
      <alignment horizontal="right" vertical="top" wrapText="1"/>
    </xf>
    <xf numFmtId="178" fontId="94" fillId="0" borderId="12" xfId="0" applyNumberFormat="1" applyFont="1" applyBorder="1" applyAlignment="1">
      <alignment horizontal="right" vertical="top" wrapText="1"/>
    </xf>
    <xf numFmtId="178" fontId="94" fillId="0" borderId="0" xfId="0" applyNumberFormat="1" applyFont="1" applyAlignment="1">
      <alignment vertical="top" wrapText="1"/>
    </xf>
    <xf numFmtId="1" fontId="94" fillId="0" borderId="11" xfId="0" applyNumberFormat="1" applyFont="1" applyBorder="1" applyAlignment="1">
      <alignment horizontal="right" vertical="top" wrapText="1"/>
    </xf>
    <xf numFmtId="10" fontId="94" fillId="0" borderId="0" xfId="0" applyNumberFormat="1" applyFont="1" applyAlignment="1">
      <alignment horizontal="right" vertical="top" wrapText="1"/>
    </xf>
    <xf numFmtId="1" fontId="94" fillId="0" borderId="0" xfId="0" applyNumberFormat="1" applyFont="1" applyAlignment="1">
      <alignment vertical="top" wrapText="1"/>
    </xf>
    <xf numFmtId="176" fontId="94" fillId="0" borderId="0" xfId="0" applyNumberFormat="1" applyFont="1" applyAlignment="1">
      <alignment horizontal="right" vertical="top" wrapText="1"/>
    </xf>
    <xf numFmtId="10" fontId="94" fillId="0" borderId="11" xfId="0" applyNumberFormat="1" applyFont="1" applyBorder="1" applyAlignment="1">
      <alignment horizontal="right" vertical="top" wrapText="1"/>
    </xf>
    <xf numFmtId="177" fontId="94" fillId="0" borderId="12" xfId="0" applyNumberFormat="1" applyFont="1" applyBorder="1" applyAlignment="1">
      <alignment horizontal="left" vertical="top" wrapText="1" indent="1"/>
    </xf>
    <xf numFmtId="2" fontId="94" fillId="0" borderId="12" xfId="0" applyNumberFormat="1" applyFont="1" applyBorder="1" applyAlignment="1">
      <alignment horizontal="right" vertical="top" wrapText="1"/>
    </xf>
    <xf numFmtId="0" fontId="95" fillId="0" borderId="3" xfId="0" applyFont="1" applyBorder="1" applyAlignment="1">
      <alignment horizontal="left" vertical="top" wrapText="1"/>
    </xf>
    <xf numFmtId="176" fontId="94" fillId="0" borderId="14" xfId="0" applyNumberFormat="1" applyFont="1" applyBorder="1" applyAlignment="1">
      <alignment horizontal="right" vertical="top" wrapText="1"/>
    </xf>
    <xf numFmtId="176" fontId="94" fillId="0" borderId="8" xfId="0" applyNumberFormat="1" applyFont="1" applyBorder="1" applyAlignment="1">
      <alignment vertical="top" wrapText="1"/>
    </xf>
    <xf numFmtId="177" fontId="94" fillId="0" borderId="13" xfId="0" applyNumberFormat="1" applyFont="1" applyBorder="1" applyAlignment="1">
      <alignment horizontal="right" vertical="top" wrapText="1"/>
    </xf>
    <xf numFmtId="178" fontId="94" fillId="0" borderId="14" xfId="0" applyNumberFormat="1" applyFont="1" applyBorder="1" applyAlignment="1">
      <alignment horizontal="right" vertical="top" wrapText="1"/>
    </xf>
    <xf numFmtId="178" fontId="94" fillId="0" borderId="8" xfId="0" applyNumberFormat="1" applyFont="1" applyBorder="1" applyAlignment="1">
      <alignment vertical="top" wrapText="1"/>
    </xf>
    <xf numFmtId="1" fontId="94" fillId="0" borderId="13" xfId="0" applyNumberFormat="1" applyFont="1" applyBorder="1" applyAlignment="1">
      <alignment horizontal="right" vertical="top" wrapText="1"/>
    </xf>
    <xf numFmtId="10" fontId="94" fillId="0" borderId="8" xfId="0" applyNumberFormat="1" applyFont="1" applyBorder="1" applyAlignment="1">
      <alignment horizontal="right" vertical="top" wrapText="1"/>
    </xf>
    <xf numFmtId="1" fontId="94" fillId="0" borderId="8" xfId="0" applyNumberFormat="1" applyFont="1" applyBorder="1" applyAlignment="1">
      <alignment vertical="top" wrapText="1"/>
    </xf>
    <xf numFmtId="176" fontId="94" fillId="0" borderId="8" xfId="0" applyNumberFormat="1" applyFont="1" applyBorder="1" applyAlignment="1">
      <alignment horizontal="right" vertical="top" wrapText="1"/>
    </xf>
    <xf numFmtId="10" fontId="94" fillId="0" borderId="13" xfId="0" applyNumberFormat="1" applyFont="1" applyBorder="1" applyAlignment="1">
      <alignment horizontal="right" vertical="top" wrapText="1"/>
    </xf>
    <xf numFmtId="0" fontId="95" fillId="0" borderId="0" xfId="0" applyFont="1" applyAlignment="1">
      <alignment horizontal="left" vertical="top" wrapText="1"/>
    </xf>
    <xf numFmtId="177" fontId="94" fillId="0" borderId="0" xfId="0" applyNumberFormat="1" applyFont="1" applyAlignment="1">
      <alignment horizontal="right" vertical="top" wrapText="1"/>
    </xf>
    <xf numFmtId="178" fontId="94" fillId="0" borderId="0" xfId="0" applyNumberFormat="1" applyFont="1" applyAlignment="1">
      <alignment horizontal="right" vertical="top" wrapText="1"/>
    </xf>
    <xf numFmtId="1" fontId="94" fillId="0" borderId="0" xfId="0" applyNumberFormat="1" applyFont="1" applyAlignment="1">
      <alignment horizontal="right" vertical="top" wrapText="1"/>
    </xf>
    <xf numFmtId="2" fontId="94" fillId="0" borderId="15" xfId="0" applyNumberFormat="1" applyFont="1" applyBorder="1" applyAlignment="1">
      <alignment horizontal="right" vertical="top" wrapText="1"/>
    </xf>
    <xf numFmtId="177" fontId="94" fillId="0" borderId="12" xfId="0" applyNumberFormat="1" applyFont="1" applyBorder="1" applyAlignment="1">
      <alignment horizontal="right" vertical="top" wrapText="1"/>
    </xf>
    <xf numFmtId="177" fontId="94" fillId="0" borderId="7" xfId="0" applyNumberFormat="1" applyFont="1" applyBorder="1" applyAlignment="1">
      <alignment vertical="top" wrapText="1"/>
    </xf>
    <xf numFmtId="177" fontId="94" fillId="0" borderId="0" xfId="0" applyNumberFormat="1" applyFont="1" applyAlignment="1">
      <alignment vertical="top" wrapText="1"/>
    </xf>
    <xf numFmtId="177" fontId="94" fillId="0" borderId="8" xfId="0" applyNumberFormat="1" applyFont="1" applyBorder="1" applyAlignment="1">
      <alignment vertical="top" wrapText="1"/>
    </xf>
    <xf numFmtId="187" fontId="94" fillId="0" borderId="12" xfId="0" applyNumberFormat="1" applyFont="1" applyBorder="1" applyAlignment="1">
      <alignment horizontal="left" vertical="top" wrapText="1" indent="1"/>
    </xf>
    <xf numFmtId="178" fontId="94" fillId="0" borderId="16" xfId="0" applyNumberFormat="1" applyFont="1" applyBorder="1" applyAlignment="1">
      <alignment horizontal="right" vertical="top" wrapText="1"/>
    </xf>
    <xf numFmtId="178" fontId="94" fillId="0" borderId="11" xfId="0" applyNumberFormat="1" applyFont="1" applyBorder="1" applyAlignment="1">
      <alignment horizontal="right" vertical="top" wrapText="1"/>
    </xf>
    <xf numFmtId="178" fontId="94" fillId="0" borderId="13" xfId="0" applyNumberFormat="1" applyFont="1" applyBorder="1" applyAlignment="1">
      <alignment horizontal="right" vertical="top" wrapText="1"/>
    </xf>
    <xf numFmtId="0" fontId="83" fillId="0" borderId="0" xfId="0" applyFont="1" applyAlignment="1">
      <alignment horizontal="left" vertical="top" indent="2"/>
    </xf>
    <xf numFmtId="0" fontId="0" fillId="0" borderId="0" xfId="0" applyAlignment="1">
      <alignment horizontal="left" vertical="top" indent="2"/>
    </xf>
    <xf numFmtId="0" fontId="83" fillId="0" borderId="5" xfId="0" applyFont="1" applyBorder="1" applyAlignment="1">
      <alignment horizontal="left" vertical="top" wrapText="1"/>
    </xf>
    <xf numFmtId="0" fontId="0" fillId="0" borderId="9" xfId="0" applyBorder="1" applyAlignment="1">
      <alignment horizontal="left" vertical="top" wrapText="1" indent="1"/>
    </xf>
    <xf numFmtId="0" fontId="0" fillId="0" borderId="10" xfId="0" applyBorder="1" applyAlignment="1">
      <alignment horizontal="left" vertical="top" wrapText="1" indent="2"/>
    </xf>
    <xf numFmtId="0" fontId="0" fillId="0" borderId="10" xfId="0" applyBorder="1" applyAlignment="1">
      <alignment horizontal="left" vertical="top" wrapText="1" indent="1"/>
    </xf>
    <xf numFmtId="2" fontId="87" fillId="0" borderId="7" xfId="0" applyNumberFormat="1" applyFont="1" applyBorder="1" applyAlignment="1">
      <alignment horizontal="left" vertical="top" wrapText="1" indent="1"/>
    </xf>
    <xf numFmtId="2" fontId="87" fillId="0" borderId="7" xfId="0" applyNumberFormat="1" applyFont="1" applyBorder="1" applyAlignment="1">
      <alignment horizontal="left" vertical="top" wrapText="1" indent="2"/>
    </xf>
    <xf numFmtId="2" fontId="87" fillId="0" borderId="7" xfId="0" applyNumberFormat="1" applyFont="1" applyBorder="1" applyAlignment="1">
      <alignment horizontal="left" vertical="top" wrapText="1"/>
    </xf>
    <xf numFmtId="0" fontId="83" fillId="0" borderId="0" xfId="0" applyFont="1" applyAlignment="1">
      <alignment horizontal="left" vertical="top" wrapText="1"/>
    </xf>
    <xf numFmtId="2" fontId="87" fillId="0" borderId="0" xfId="0" applyNumberFormat="1" applyFont="1" applyAlignment="1">
      <alignment horizontal="left" vertical="top" wrapText="1" indent="1"/>
    </xf>
    <xf numFmtId="2" fontId="87" fillId="0" borderId="0" xfId="0" applyNumberFormat="1" applyFont="1" applyAlignment="1">
      <alignment horizontal="left" vertical="top" wrapText="1" indent="2"/>
    </xf>
    <xf numFmtId="2" fontId="87" fillId="0" borderId="0" xfId="0" applyNumberFormat="1" applyFont="1" applyAlignment="1">
      <alignment horizontal="left" vertical="top" wrapText="1"/>
    </xf>
    <xf numFmtId="1" fontId="87" fillId="0" borderId="0" xfId="0" applyNumberFormat="1" applyFont="1" applyAlignment="1">
      <alignment horizontal="left" vertical="top" wrapText="1"/>
    </xf>
    <xf numFmtId="0" fontId="83" fillId="0" borderId="13" xfId="0" applyFont="1" applyBorder="1" applyAlignment="1">
      <alignment horizontal="left" vertical="top" wrapText="1"/>
    </xf>
    <xf numFmtId="0" fontId="83" fillId="0" borderId="14" xfId="0" applyFont="1" applyBorder="1" applyAlignment="1">
      <alignment horizontal="left" vertical="top" wrapText="1"/>
    </xf>
    <xf numFmtId="2" fontId="87" fillId="0" borderId="8" xfId="0" applyNumberFormat="1" applyFont="1" applyBorder="1" applyAlignment="1">
      <alignment horizontal="left" vertical="top" wrapText="1" indent="1"/>
    </xf>
    <xf numFmtId="2" fontId="87" fillId="0" borderId="13" xfId="0" applyNumberFormat="1" applyFont="1" applyBorder="1" applyAlignment="1">
      <alignment horizontal="left" vertical="top" wrapText="1" indent="2"/>
    </xf>
    <xf numFmtId="2" fontId="87" fillId="0" borderId="14" xfId="0" applyNumberFormat="1" applyFont="1" applyBorder="1" applyAlignment="1">
      <alignment horizontal="left" vertical="top" wrapText="1"/>
    </xf>
    <xf numFmtId="2" fontId="87" fillId="0" borderId="8" xfId="0" applyNumberFormat="1" applyFont="1" applyBorder="1" applyAlignment="1">
      <alignment horizontal="left" vertical="top" wrapText="1"/>
    </xf>
    <xf numFmtId="2" fontId="87" fillId="0" borderId="13" xfId="0" applyNumberFormat="1" applyFont="1" applyBorder="1" applyAlignment="1">
      <alignment horizontal="left" vertical="top" wrapText="1"/>
    </xf>
    <xf numFmtId="0" fontId="62" fillId="0" borderId="0" xfId="0" applyFont="1" applyAlignment="1">
      <alignment horizontal="left" vertical="top"/>
    </xf>
    <xf numFmtId="0" fontId="143" fillId="0" borderId="0" xfId="0" applyFont="1" applyAlignment="1">
      <alignment horizontal="left" vertical="top"/>
    </xf>
    <xf numFmtId="0" fontId="1" fillId="0" borderId="9" xfId="0" applyFont="1" applyBorder="1" applyAlignment="1">
      <alignment horizontal="right" vertical="top" wrapText="1" indent="1"/>
    </xf>
    <xf numFmtId="0" fontId="0" fillId="0" borderId="9" xfId="0" applyBorder="1" applyAlignment="1">
      <alignment horizontal="center" vertical="top" wrapText="1"/>
    </xf>
    <xf numFmtId="0" fontId="1" fillId="0" borderId="7" xfId="0" applyFont="1" applyBorder="1" applyAlignment="1">
      <alignment horizontal="right" vertical="top" wrapText="1"/>
    </xf>
    <xf numFmtId="2" fontId="116" fillId="0" borderId="7" xfId="0" applyNumberFormat="1" applyFont="1" applyBorder="1" applyAlignment="1">
      <alignment horizontal="center" vertical="top" wrapText="1"/>
    </xf>
    <xf numFmtId="2" fontId="147" fillId="0" borderId="7" xfId="0" applyNumberFormat="1" applyFont="1" applyBorder="1" applyAlignment="1">
      <alignment horizontal="left" vertical="top" wrapText="1" indent="2"/>
    </xf>
    <xf numFmtId="180" fontId="116" fillId="0" borderId="7" xfId="0" applyNumberFormat="1" applyFont="1" applyBorder="1" applyAlignment="1">
      <alignment horizontal="center" vertical="top" wrapText="1"/>
    </xf>
    <xf numFmtId="0" fontId="1" fillId="0" borderId="0" xfId="0" applyFont="1" applyAlignment="1">
      <alignment horizontal="right" vertical="top" wrapText="1"/>
    </xf>
    <xf numFmtId="2" fontId="147" fillId="0" borderId="0" xfId="0" applyNumberFormat="1" applyFont="1" applyAlignment="1">
      <alignment horizontal="left" vertical="top" wrapText="1" indent="2"/>
    </xf>
    <xf numFmtId="180" fontId="147" fillId="0" borderId="0" xfId="0" applyNumberFormat="1" applyFont="1" applyAlignment="1">
      <alignment horizontal="left" vertical="top" wrapText="1" indent="3"/>
    </xf>
    <xf numFmtId="0" fontId="1" fillId="0" borderId="8" xfId="0" applyFont="1" applyBorder="1" applyAlignment="1">
      <alignment horizontal="right" vertical="top" wrapText="1"/>
    </xf>
    <xf numFmtId="2" fontId="116" fillId="0" borderId="8" xfId="0" applyNumberFormat="1" applyFont="1" applyBorder="1" applyAlignment="1">
      <alignment horizontal="center" vertical="top" wrapText="1"/>
    </xf>
    <xf numFmtId="2" fontId="147" fillId="0" borderId="8" xfId="0" applyNumberFormat="1" applyFont="1" applyBorder="1" applyAlignment="1">
      <alignment horizontal="left" vertical="top" wrapText="1" indent="2"/>
    </xf>
    <xf numFmtId="0" fontId="61" fillId="0" borderId="0" xfId="0" applyFont="1" applyAlignment="1">
      <alignment horizontal="left" vertical="top"/>
    </xf>
    <xf numFmtId="0" fontId="151" fillId="0" borderId="1" xfId="0" applyFont="1" applyBorder="1" applyAlignment="1">
      <alignment horizontal="right" vertical="top" wrapText="1" indent="1"/>
    </xf>
    <xf numFmtId="0" fontId="151" fillId="0" borderId="1" xfId="0" applyFont="1" applyBorder="1" applyAlignment="1">
      <alignment horizontal="center" vertical="top" wrapText="1"/>
    </xf>
    <xf numFmtId="0" fontId="37" fillId="0" borderId="2" xfId="0" applyFont="1" applyBorder="1" applyAlignment="1">
      <alignment horizontal="center" vertical="top" wrapText="1"/>
    </xf>
    <xf numFmtId="2" fontId="38" fillId="0" borderId="2" xfId="0" applyNumberFormat="1" applyFont="1" applyBorder="1" applyAlignment="1">
      <alignment horizontal="center" vertical="top" wrapText="1"/>
    </xf>
    <xf numFmtId="2" fontId="38" fillId="0" borderId="2" xfId="0" applyNumberFormat="1" applyFont="1" applyBorder="1" applyAlignment="1">
      <alignment horizontal="left" vertical="top" wrapText="1" indent="3"/>
    </xf>
    <xf numFmtId="176" fontId="38" fillId="0" borderId="2" xfId="0" applyNumberFormat="1" applyFont="1" applyBorder="1" applyAlignment="1">
      <alignment horizontal="center" vertical="top" wrapText="1"/>
    </xf>
    <xf numFmtId="178" fontId="38" fillId="0" borderId="2" xfId="0" applyNumberFormat="1" applyFont="1" applyBorder="1" applyAlignment="1">
      <alignment horizontal="left" vertical="top" wrapText="1" indent="3"/>
    </xf>
    <xf numFmtId="178" fontId="38" fillId="0" borderId="2" xfId="0" applyNumberFormat="1" applyFont="1" applyBorder="1" applyAlignment="1">
      <alignment horizontal="center" vertical="top" wrapText="1"/>
    </xf>
    <xf numFmtId="0" fontId="37" fillId="0" borderId="6" xfId="0" applyFont="1" applyBorder="1" applyAlignment="1">
      <alignment horizontal="right" vertical="top" wrapText="1" indent="2"/>
    </xf>
    <xf numFmtId="178" fontId="38" fillId="0" borderId="6" xfId="0" applyNumberFormat="1" applyFont="1" applyBorder="1" applyAlignment="1">
      <alignment horizontal="center" vertical="top" wrapText="1"/>
    </xf>
    <xf numFmtId="2" fontId="38" fillId="0" borderId="6" xfId="0" applyNumberFormat="1" applyFont="1" applyBorder="1" applyAlignment="1">
      <alignment horizontal="left" vertical="top" wrapText="1" indent="3"/>
    </xf>
    <xf numFmtId="176" fontId="38" fillId="0" borderId="6" xfId="0" applyNumberFormat="1" applyFont="1" applyBorder="1" applyAlignment="1">
      <alignment horizontal="center" vertical="top" wrapText="1"/>
    </xf>
    <xf numFmtId="178" fontId="38" fillId="0" borderId="6" xfId="0" applyNumberFormat="1" applyFont="1" applyBorder="1" applyAlignment="1">
      <alignment horizontal="left" vertical="top" wrapText="1" indent="3"/>
    </xf>
    <xf numFmtId="0" fontId="37" fillId="0" borderId="6" xfId="0" applyFont="1" applyBorder="1" applyAlignment="1">
      <alignment horizontal="left" vertical="top" wrapText="1" indent="2"/>
    </xf>
    <xf numFmtId="2" fontId="38" fillId="0" borderId="6" xfId="0" applyNumberFormat="1" applyFont="1" applyBorder="1" applyAlignment="1">
      <alignment horizontal="center" vertical="top" wrapText="1"/>
    </xf>
    <xf numFmtId="0" fontId="37" fillId="0" borderId="6" xfId="0" applyFont="1" applyBorder="1" applyAlignment="1">
      <alignment horizontal="center" vertical="top" wrapText="1"/>
    </xf>
    <xf numFmtId="0" fontId="37" fillId="0" borderId="6" xfId="0" applyFont="1" applyBorder="1" applyAlignment="1">
      <alignment horizontal="left" vertical="top" wrapText="1" indent="3"/>
    </xf>
    <xf numFmtId="0" fontId="37" fillId="0" borderId="3" xfId="0" applyFont="1" applyBorder="1" applyAlignment="1">
      <alignment horizontal="left" vertical="top" wrapText="1" indent="2"/>
    </xf>
    <xf numFmtId="2" fontId="38" fillId="0" borderId="3" xfId="0" applyNumberFormat="1" applyFont="1" applyBorder="1" applyAlignment="1">
      <alignment horizontal="center" vertical="top" wrapText="1"/>
    </xf>
    <xf numFmtId="180" fontId="38" fillId="0" borderId="3" xfId="0" applyNumberFormat="1" applyFont="1" applyBorder="1" applyAlignment="1">
      <alignment horizontal="center" vertical="top" wrapText="1"/>
    </xf>
    <xf numFmtId="176" fontId="38" fillId="0" borderId="3" xfId="0" applyNumberFormat="1" applyFont="1" applyBorder="1" applyAlignment="1">
      <alignment horizontal="center" vertical="top" wrapText="1"/>
    </xf>
    <xf numFmtId="178" fontId="38" fillId="0" borderId="3" xfId="0" applyNumberFormat="1" applyFont="1" applyBorder="1" applyAlignment="1">
      <alignment horizontal="left" vertical="top" wrapText="1" indent="3"/>
    </xf>
    <xf numFmtId="0" fontId="37" fillId="0" borderId="3" xfId="0" applyFont="1" applyBorder="1" applyAlignment="1">
      <alignment horizontal="center" vertical="top" wrapText="1"/>
    </xf>
    <xf numFmtId="178" fontId="38" fillId="0" borderId="3" xfId="0" applyNumberFormat="1" applyFont="1" applyBorder="1" applyAlignment="1">
      <alignment horizontal="center" vertical="top" wrapText="1"/>
    </xf>
    <xf numFmtId="0" fontId="3" fillId="0" borderId="40" xfId="0" applyFont="1" applyBorder="1" applyAlignment="1">
      <alignment horizontal="left" vertical="top" wrapText="1"/>
    </xf>
    <xf numFmtId="0" fontId="3" fillId="0" borderId="40" xfId="0" applyFont="1" applyBorder="1" applyAlignment="1">
      <alignment horizontal="left" vertical="top"/>
    </xf>
    <xf numFmtId="0" fontId="158" fillId="0" borderId="40" xfId="0" applyFont="1" applyBorder="1" applyAlignment="1">
      <alignment horizontal="left" vertical="top"/>
    </xf>
    <xf numFmtId="0" fontId="3" fillId="0" borderId="18" xfId="0" applyFont="1" applyBorder="1" applyAlignment="1">
      <alignment horizontal="left" vertical="top"/>
    </xf>
    <xf numFmtId="0" fontId="1" fillId="0" borderId="4" xfId="0" applyNumberFormat="1" applyFont="1" applyFill="1" applyBorder="1" applyAlignment="1" applyProtection="1">
      <alignment horizontal="right" vertical="top"/>
    </xf>
    <xf numFmtId="0" fontId="0" fillId="0" borderId="10" xfId="0" applyBorder="1" applyAlignment="1">
      <alignment horizontal="right" vertical="top" wrapText="1" indent="2"/>
    </xf>
    <xf numFmtId="0" fontId="161" fillId="0" borderId="9" xfId="0" applyFont="1" applyBorder="1" applyAlignment="1">
      <alignment horizontal="right" vertical="top" wrapText="1" indent="1"/>
    </xf>
    <xf numFmtId="0" fontId="83" fillId="0" borderId="2" xfId="0" applyFont="1" applyBorder="1" applyAlignment="1">
      <alignment horizontal="left" vertical="top" wrapText="1"/>
    </xf>
    <xf numFmtId="1" fontId="87" fillId="0" borderId="2" xfId="0" applyNumberFormat="1" applyFont="1" applyBorder="1" applyAlignment="1">
      <alignment horizontal="left" vertical="top" wrapText="1"/>
    </xf>
    <xf numFmtId="2" fontId="87" fillId="0" borderId="15" xfId="0" applyNumberFormat="1" applyFont="1" applyBorder="1" applyAlignment="1">
      <alignment horizontal="center" vertical="top" wrapText="1"/>
    </xf>
    <xf numFmtId="2" fontId="87" fillId="0" borderId="16" xfId="0" applyNumberFormat="1" applyFont="1" applyBorder="1" applyAlignment="1">
      <alignment horizontal="right" vertical="top" wrapText="1" indent="1"/>
    </xf>
    <xf numFmtId="180" fontId="87" fillId="0" borderId="15" xfId="0" applyNumberFormat="1" applyFont="1" applyBorder="1" applyAlignment="1">
      <alignment horizontal="left" vertical="top" wrapText="1" indent="1"/>
    </xf>
    <xf numFmtId="180" fontId="87" fillId="0" borderId="7" xfId="0" applyNumberFormat="1" applyFont="1" applyBorder="1" applyAlignment="1">
      <alignment horizontal="center" vertical="top" wrapText="1"/>
    </xf>
    <xf numFmtId="1" fontId="87" fillId="0" borderId="16" xfId="0" applyNumberFormat="1" applyFont="1" applyBorder="1" applyAlignment="1">
      <alignment horizontal="center" vertical="top" wrapText="1"/>
    </xf>
    <xf numFmtId="180" fontId="87" fillId="0" borderId="15" xfId="0" applyNumberFormat="1" applyFont="1" applyBorder="1" applyAlignment="1">
      <alignment horizontal="left" vertical="top" wrapText="1" indent="2"/>
    </xf>
    <xf numFmtId="1" fontId="87" fillId="0" borderId="7" xfId="0" applyNumberFormat="1" applyFont="1" applyBorder="1" applyAlignment="1">
      <alignment horizontal="right" vertical="top" wrapText="1" indent="1"/>
    </xf>
    <xf numFmtId="180" fontId="87" fillId="0" borderId="16" xfId="0" applyNumberFormat="1" applyFont="1" applyBorder="1" applyAlignment="1">
      <alignment horizontal="center" vertical="top" wrapText="1"/>
    </xf>
    <xf numFmtId="0" fontId="83" fillId="0" borderId="6" xfId="0" applyFont="1" applyBorder="1" applyAlignment="1">
      <alignment horizontal="left" vertical="top" wrapText="1"/>
    </xf>
    <xf numFmtId="1" fontId="87" fillId="0" borderId="6" xfId="0" applyNumberFormat="1" applyFont="1" applyBorder="1" applyAlignment="1">
      <alignment horizontal="left" vertical="top" wrapText="1"/>
    </xf>
    <xf numFmtId="2" fontId="87" fillId="0" borderId="12" xfId="0" applyNumberFormat="1" applyFont="1" applyBorder="1" applyAlignment="1">
      <alignment horizontal="center" vertical="top" wrapText="1"/>
    </xf>
    <xf numFmtId="2" fontId="87" fillId="0" borderId="11" xfId="0" applyNumberFormat="1" applyFont="1" applyBorder="1" applyAlignment="1">
      <alignment horizontal="right" vertical="top" wrapText="1" indent="1"/>
    </xf>
    <xf numFmtId="180" fontId="87" fillId="0" borderId="12" xfId="0" applyNumberFormat="1" applyFont="1" applyBorder="1" applyAlignment="1">
      <alignment horizontal="left" vertical="top" wrapText="1" indent="1"/>
    </xf>
    <xf numFmtId="180" fontId="87" fillId="0" borderId="0" xfId="0" applyNumberFormat="1" applyFont="1" applyAlignment="1">
      <alignment horizontal="center" vertical="top" wrapText="1"/>
    </xf>
    <xf numFmtId="1" fontId="87" fillId="0" borderId="11" xfId="0" applyNumberFormat="1" applyFont="1" applyBorder="1" applyAlignment="1">
      <alignment horizontal="center" vertical="top" wrapText="1"/>
    </xf>
    <xf numFmtId="1" fontId="87" fillId="0" borderId="0" xfId="0" applyNumberFormat="1" applyFont="1" applyAlignment="1">
      <alignment horizontal="right" vertical="top" wrapText="1" indent="1"/>
    </xf>
    <xf numFmtId="180" fontId="87" fillId="0" borderId="11" xfId="0" applyNumberFormat="1" applyFont="1" applyBorder="1" applyAlignment="1">
      <alignment horizontal="center" vertical="top" wrapText="1"/>
    </xf>
    <xf numFmtId="180" fontId="87" fillId="0" borderId="12" xfId="0" applyNumberFormat="1" applyFont="1" applyBorder="1" applyAlignment="1">
      <alignment horizontal="left" vertical="top" wrapText="1" indent="2"/>
    </xf>
    <xf numFmtId="2" fontId="87" fillId="0" borderId="11" xfId="0" applyNumberFormat="1" applyFont="1" applyBorder="1" applyAlignment="1">
      <alignment horizontal="center" vertical="top" wrapText="1"/>
    </xf>
    <xf numFmtId="2" fontId="87" fillId="0" borderId="12" xfId="0" applyNumberFormat="1" applyFont="1" applyBorder="1" applyAlignment="1">
      <alignment horizontal="right" vertical="top" wrapText="1" indent="1"/>
    </xf>
    <xf numFmtId="2" fontId="87" fillId="0" borderId="0" xfId="0" applyNumberFormat="1" applyFont="1" applyAlignment="1">
      <alignment horizontal="center" vertical="top" wrapText="1"/>
    </xf>
    <xf numFmtId="0" fontId="83" fillId="0" borderId="3" xfId="0" applyFont="1" applyBorder="1" applyAlignment="1">
      <alignment horizontal="left" vertical="top" wrapText="1"/>
    </xf>
    <xf numFmtId="1" fontId="87" fillId="0" borderId="3" xfId="0" applyNumberFormat="1" applyFont="1" applyBorder="1" applyAlignment="1">
      <alignment horizontal="left" vertical="top" wrapText="1"/>
    </xf>
    <xf numFmtId="2" fontId="87" fillId="0" borderId="14" xfId="0" applyNumberFormat="1" applyFont="1" applyBorder="1" applyAlignment="1">
      <alignment horizontal="center" vertical="top" wrapText="1"/>
    </xf>
    <xf numFmtId="2" fontId="87" fillId="0" borderId="13" xfId="0" applyNumberFormat="1" applyFont="1" applyBorder="1" applyAlignment="1">
      <alignment horizontal="right" vertical="top" wrapText="1" indent="1"/>
    </xf>
    <xf numFmtId="180" fontId="87" fillId="0" borderId="14" xfId="0" applyNumberFormat="1" applyFont="1" applyBorder="1" applyAlignment="1">
      <alignment horizontal="left" vertical="top" wrapText="1" indent="1"/>
    </xf>
    <xf numFmtId="180" fontId="87" fillId="0" borderId="8" xfId="0" applyNumberFormat="1" applyFont="1" applyBorder="1" applyAlignment="1">
      <alignment horizontal="center" vertical="top" wrapText="1"/>
    </xf>
    <xf numFmtId="1" fontId="87" fillId="0" borderId="13" xfId="0" applyNumberFormat="1" applyFont="1" applyBorder="1" applyAlignment="1">
      <alignment horizontal="center" vertical="top" wrapText="1"/>
    </xf>
    <xf numFmtId="180" fontId="87" fillId="0" borderId="14" xfId="0" applyNumberFormat="1" applyFont="1" applyBorder="1" applyAlignment="1">
      <alignment horizontal="left" vertical="top" wrapText="1" indent="2"/>
    </xf>
    <xf numFmtId="1" fontId="87" fillId="0" borderId="8" xfId="0" applyNumberFormat="1" applyFont="1" applyBorder="1" applyAlignment="1">
      <alignment horizontal="right" vertical="top" wrapText="1" indent="1"/>
    </xf>
    <xf numFmtId="180" fontId="87" fillId="0" borderId="13" xfId="0" applyNumberFormat="1" applyFont="1" applyBorder="1" applyAlignment="1">
      <alignment horizontal="center" vertical="top" wrapText="1"/>
    </xf>
    <xf numFmtId="0" fontId="0" fillId="0" borderId="9" xfId="0" applyBorder="1" applyAlignment="1">
      <alignment horizontal="right" vertical="top" wrapText="1" indent="1"/>
    </xf>
    <xf numFmtId="0" fontId="3" fillId="0" borderId="0" xfId="0" applyFont="1" applyFill="1" applyBorder="1" applyAlignment="1">
      <alignment horizontal="left" vertical="top"/>
    </xf>
    <xf numFmtId="14" fontId="0" fillId="0" borderId="0" xfId="0" applyNumberFormat="1" applyFill="1" applyBorder="1" applyAlignment="1">
      <alignment horizontal="left" vertical="top"/>
    </xf>
    <xf numFmtId="0" fontId="0" fillId="0" borderId="8" xfId="0" applyBorder="1" applyAlignment="1">
      <alignment horizontal="center" vertical="top" wrapText="1"/>
    </xf>
    <xf numFmtId="0" fontId="0" fillId="0" borderId="9" xfId="0" applyBorder="1" applyAlignment="1">
      <alignment horizontal="right" vertical="top" wrapText="1" indent="1"/>
    </xf>
    <xf numFmtId="0" fontId="0" fillId="0" borderId="8" xfId="0" applyBorder="1" applyAlignment="1">
      <alignment horizontal="left" vertical="top" wrapText="1" indent="1"/>
    </xf>
    <xf numFmtId="0" fontId="0" fillId="0" borderId="9" xfId="0" applyBorder="1" applyAlignment="1">
      <alignment horizontal="right" vertical="top" wrapText="1"/>
    </xf>
    <xf numFmtId="0" fontId="1" fillId="0" borderId="17" xfId="0" applyNumberFormat="1" applyFont="1" applyFill="1" applyBorder="1" applyAlignment="1" applyProtection="1">
      <alignment horizontal="right" vertical="top"/>
    </xf>
    <xf numFmtId="0" fontId="20" fillId="0" borderId="0" xfId="0" applyFont="1" applyAlignment="1">
      <alignment horizontal="left" vertical="center"/>
    </xf>
    <xf numFmtId="0" fontId="167" fillId="0" borderId="1" xfId="0" applyFont="1" applyBorder="1" applyAlignment="1">
      <alignment horizontal="left" vertical="top" wrapText="1"/>
    </xf>
    <xf numFmtId="0" fontId="0" fillId="0" borderId="5" xfId="0" applyBorder="1" applyAlignment="1">
      <alignment horizontal="right" vertical="top" wrapText="1" indent="1"/>
    </xf>
    <xf numFmtId="0" fontId="0" fillId="0" borderId="5" xfId="0" applyBorder="1" applyAlignment="1">
      <alignment horizontal="right" vertical="top" wrapText="1" indent="2"/>
    </xf>
    <xf numFmtId="0" fontId="0" fillId="0" borderId="5" xfId="0" applyBorder="1" applyAlignment="1">
      <alignment horizontal="right" vertical="top" wrapText="1" indent="3"/>
    </xf>
    <xf numFmtId="0" fontId="171" fillId="0" borderId="9" xfId="0" applyFont="1" applyBorder="1" applyAlignment="1">
      <alignment horizontal="right" vertical="top" wrapText="1" indent="2"/>
    </xf>
    <xf numFmtId="0" fontId="0" fillId="0" borderId="10" xfId="0" applyBorder="1" applyAlignment="1">
      <alignment horizontal="right" vertical="top" wrapText="1"/>
    </xf>
    <xf numFmtId="0" fontId="81" fillId="0" borderId="2" xfId="0" applyFont="1" applyBorder="1" applyAlignment="1">
      <alignment horizontal="left" vertical="top" wrapText="1"/>
    </xf>
    <xf numFmtId="177" fontId="147" fillId="0" borderId="15" xfId="0" applyNumberFormat="1" applyFont="1" applyBorder="1" applyAlignment="1">
      <alignment horizontal="right" vertical="top" indent="1" shrinkToFit="1"/>
    </xf>
    <xf numFmtId="177" fontId="147" fillId="0" borderId="7" xfId="0" applyNumberFormat="1" applyFont="1" applyBorder="1" applyAlignment="1">
      <alignment horizontal="right" vertical="top" indent="1" shrinkToFit="1"/>
    </xf>
    <xf numFmtId="178" fontId="147" fillId="0" borderId="15" xfId="0" applyNumberFormat="1" applyFont="1" applyBorder="1" applyAlignment="1">
      <alignment horizontal="right" vertical="top" indent="2" shrinkToFit="1"/>
    </xf>
    <xf numFmtId="178" fontId="147" fillId="0" borderId="15" xfId="0" applyNumberFormat="1" applyFont="1" applyBorder="1" applyAlignment="1">
      <alignment horizontal="right" vertical="top" indent="3" shrinkToFit="1"/>
    </xf>
    <xf numFmtId="1" fontId="147" fillId="0" borderId="7" xfId="0" applyNumberFormat="1" applyFont="1" applyBorder="1" applyAlignment="1">
      <alignment horizontal="right" vertical="top" indent="2" shrinkToFit="1"/>
    </xf>
    <xf numFmtId="178" fontId="147" fillId="0" borderId="16" xfId="0" applyNumberFormat="1" applyFont="1" applyBorder="1" applyAlignment="1">
      <alignment horizontal="right" vertical="top" shrinkToFit="1"/>
    </xf>
    <xf numFmtId="0" fontId="81" fillId="0" borderId="6" xfId="0" applyFont="1" applyBorder="1" applyAlignment="1">
      <alignment horizontal="left" vertical="top" wrapText="1"/>
    </xf>
    <xf numFmtId="177" fontId="147" fillId="0" borderId="12" xfId="0" applyNumberFormat="1" applyFont="1" applyBorder="1" applyAlignment="1">
      <alignment horizontal="right" vertical="top" indent="1" shrinkToFit="1"/>
    </xf>
    <xf numFmtId="177" fontId="147" fillId="0" borderId="0" xfId="0" applyNumberFormat="1" applyFont="1" applyAlignment="1">
      <alignment horizontal="right" vertical="top" indent="1" shrinkToFit="1"/>
    </xf>
    <xf numFmtId="178" fontId="147" fillId="0" borderId="12" xfId="0" applyNumberFormat="1" applyFont="1" applyBorder="1" applyAlignment="1">
      <alignment horizontal="right" vertical="top" indent="2" shrinkToFit="1"/>
    </xf>
    <xf numFmtId="178" fontId="147" fillId="0" borderId="12" xfId="0" applyNumberFormat="1" applyFont="1" applyBorder="1" applyAlignment="1">
      <alignment horizontal="right" vertical="top" indent="3" shrinkToFit="1"/>
    </xf>
    <xf numFmtId="1" fontId="147" fillId="0" borderId="0" xfId="0" applyNumberFormat="1" applyFont="1" applyAlignment="1">
      <alignment horizontal="right" vertical="top" indent="2" shrinkToFit="1"/>
    </xf>
    <xf numFmtId="178" fontId="147" fillId="0" borderId="11" xfId="0" applyNumberFormat="1" applyFont="1" applyBorder="1" applyAlignment="1">
      <alignment horizontal="right" vertical="top" shrinkToFit="1"/>
    </xf>
    <xf numFmtId="176" fontId="147" fillId="0" borderId="12" xfId="0" applyNumberFormat="1" applyFont="1" applyBorder="1" applyAlignment="1">
      <alignment horizontal="right" vertical="top" indent="2" shrinkToFit="1"/>
    </xf>
    <xf numFmtId="2" fontId="147" fillId="0" borderId="12" xfId="0" applyNumberFormat="1" applyFont="1" applyBorder="1" applyAlignment="1">
      <alignment horizontal="right" vertical="top" indent="2" shrinkToFit="1"/>
    </xf>
    <xf numFmtId="0" fontId="81" fillId="0" borderId="0" xfId="0" applyFont="1" applyAlignment="1">
      <alignment horizontal="left" vertical="top" wrapText="1"/>
    </xf>
    <xf numFmtId="177" fontId="147" fillId="0" borderId="0" xfId="0" applyNumberFormat="1" applyFont="1" applyAlignment="1">
      <alignment horizontal="right" vertical="top" shrinkToFit="1"/>
    </xf>
    <xf numFmtId="176" fontId="147" fillId="0" borderId="0" xfId="0" applyNumberFormat="1" applyFont="1" applyAlignment="1">
      <alignment horizontal="right" vertical="top" indent="2" shrinkToFit="1"/>
    </xf>
    <xf numFmtId="1" fontId="147" fillId="0" borderId="0" xfId="0" applyNumberFormat="1" applyFont="1" applyAlignment="1">
      <alignment horizontal="right" vertical="top" shrinkToFit="1"/>
    </xf>
    <xf numFmtId="178" fontId="147" fillId="0" borderId="0" xfId="0" applyNumberFormat="1" applyFont="1" applyAlignment="1">
      <alignment horizontal="right" vertical="top" indent="3" shrinkToFit="1"/>
    </xf>
    <xf numFmtId="178" fontId="147" fillId="0" borderId="0" xfId="0" applyNumberFormat="1" applyFont="1" applyAlignment="1">
      <alignment horizontal="right" vertical="top" shrinkToFit="1"/>
    </xf>
    <xf numFmtId="0" fontId="163" fillId="0" borderId="0" xfId="0" applyFont="1" applyAlignment="1">
      <alignment horizontal="left" vertical="top"/>
    </xf>
    <xf numFmtId="0" fontId="167" fillId="0" borderId="3" xfId="0" applyFont="1" applyBorder="1" applyAlignment="1">
      <alignment horizontal="left" vertical="top" wrapText="1"/>
    </xf>
    <xf numFmtId="0" fontId="0" fillId="0" borderId="14" xfId="0" applyBorder="1" applyAlignment="1">
      <alignment horizontal="right" vertical="top" wrapText="1" indent="1"/>
    </xf>
    <xf numFmtId="0" fontId="0" fillId="0" borderId="8" xfId="0" applyBorder="1" applyAlignment="1">
      <alignment horizontal="right" vertical="top" wrapText="1" indent="1"/>
    </xf>
    <xf numFmtId="0" fontId="0" fillId="0" borderId="14" xfId="0" applyBorder="1" applyAlignment="1">
      <alignment horizontal="right" vertical="top" wrapText="1" indent="2"/>
    </xf>
    <xf numFmtId="0" fontId="0" fillId="0" borderId="14" xfId="0" applyBorder="1" applyAlignment="1">
      <alignment horizontal="right" vertical="top" wrapText="1" indent="3"/>
    </xf>
    <xf numFmtId="0" fontId="171" fillId="0" borderId="8" xfId="0" applyFont="1" applyBorder="1" applyAlignment="1">
      <alignment horizontal="right" vertical="top" wrapText="1" indent="2"/>
    </xf>
    <xf numFmtId="0" fontId="0" fillId="0" borderId="13" xfId="0" applyBorder="1" applyAlignment="1">
      <alignment horizontal="right" vertical="top" wrapText="1"/>
    </xf>
    <xf numFmtId="0" fontId="81" fillId="0" borderId="3" xfId="0" applyFont="1" applyBorder="1" applyAlignment="1">
      <alignment horizontal="left" vertical="top" wrapText="1"/>
    </xf>
    <xf numFmtId="177" fontId="147" fillId="0" borderId="14" xfId="0" applyNumberFormat="1" applyFont="1" applyBorder="1" applyAlignment="1">
      <alignment horizontal="right" vertical="top" indent="1" shrinkToFit="1"/>
    </xf>
    <xf numFmtId="177" fontId="147" fillId="0" borderId="8" xfId="0" applyNumberFormat="1" applyFont="1" applyBorder="1" applyAlignment="1">
      <alignment horizontal="right" vertical="top" indent="1" shrinkToFit="1"/>
    </xf>
    <xf numFmtId="178" fontId="147" fillId="0" borderId="14" xfId="0" applyNumberFormat="1" applyFont="1" applyBorder="1" applyAlignment="1">
      <alignment horizontal="right" vertical="top" indent="2" shrinkToFit="1"/>
    </xf>
    <xf numFmtId="178" fontId="147" fillId="0" borderId="14" xfId="0" applyNumberFormat="1" applyFont="1" applyBorder="1" applyAlignment="1">
      <alignment horizontal="right" vertical="top" indent="3" shrinkToFit="1"/>
    </xf>
    <xf numFmtId="1" fontId="147" fillId="0" borderId="8" xfId="0" applyNumberFormat="1" applyFont="1" applyBorder="1" applyAlignment="1">
      <alignment horizontal="right" vertical="top" indent="2" shrinkToFit="1"/>
    </xf>
    <xf numFmtId="178" fontId="147" fillId="0" borderId="13" xfId="0" applyNumberFormat="1" applyFont="1" applyBorder="1" applyAlignment="1">
      <alignment horizontal="right" vertical="top" shrinkToFit="1"/>
    </xf>
    <xf numFmtId="176" fontId="147" fillId="0" borderId="15" xfId="0" applyNumberFormat="1" applyFont="1" applyBorder="1" applyAlignment="1">
      <alignment horizontal="right" vertical="top" indent="2" shrinkToFit="1"/>
    </xf>
    <xf numFmtId="176" fontId="147" fillId="0" borderId="15" xfId="0" applyNumberFormat="1" applyFont="1" applyBorder="1" applyAlignment="1">
      <alignment horizontal="right" vertical="top" indent="3" shrinkToFit="1"/>
    </xf>
    <xf numFmtId="176" fontId="147" fillId="0" borderId="16" xfId="0" applyNumberFormat="1" applyFont="1" applyBorder="1" applyAlignment="1">
      <alignment horizontal="right" vertical="top" shrinkToFit="1"/>
    </xf>
    <xf numFmtId="176" fontId="147" fillId="0" borderId="12" xfId="0" applyNumberFormat="1" applyFont="1" applyBorder="1" applyAlignment="1">
      <alignment horizontal="right" vertical="top" indent="3" shrinkToFit="1"/>
    </xf>
    <xf numFmtId="176" fontId="147" fillId="0" borderId="11" xfId="0" applyNumberFormat="1" applyFont="1" applyBorder="1" applyAlignment="1">
      <alignment horizontal="right" vertical="top" shrinkToFit="1"/>
    </xf>
    <xf numFmtId="176" fontId="147" fillId="0" borderId="14" xfId="0" applyNumberFormat="1" applyFont="1" applyBorder="1" applyAlignment="1">
      <alignment horizontal="right" vertical="top" indent="2" shrinkToFit="1"/>
    </xf>
    <xf numFmtId="176" fontId="147" fillId="0" borderId="14" xfId="0" applyNumberFormat="1" applyFont="1" applyBorder="1" applyAlignment="1">
      <alignment horizontal="right" vertical="top" indent="3" shrinkToFit="1"/>
    </xf>
    <xf numFmtId="176" fontId="147" fillId="0" borderId="13" xfId="0" applyNumberFormat="1" applyFont="1" applyBorder="1" applyAlignment="1">
      <alignment horizontal="right" vertical="top" shrinkToFit="1"/>
    </xf>
    <xf numFmtId="187" fontId="147" fillId="0" borderId="15" xfId="0" applyNumberFormat="1" applyFont="1" applyBorder="1" applyAlignment="1">
      <alignment horizontal="right" vertical="top" indent="1" shrinkToFit="1"/>
    </xf>
    <xf numFmtId="187" fontId="147" fillId="0" borderId="7" xfId="0" applyNumberFormat="1" applyFont="1" applyBorder="1" applyAlignment="1">
      <alignment horizontal="right" vertical="top" indent="1" shrinkToFit="1"/>
    </xf>
    <xf numFmtId="187" fontId="147" fillId="0" borderId="12" xfId="0" applyNumberFormat="1" applyFont="1" applyBorder="1" applyAlignment="1">
      <alignment horizontal="right" vertical="top" indent="1" shrinkToFit="1"/>
    </xf>
    <xf numFmtId="187" fontId="147" fillId="0" borderId="0" xfId="0" applyNumberFormat="1" applyFont="1" applyAlignment="1">
      <alignment horizontal="right" vertical="top" indent="1" shrinkToFit="1"/>
    </xf>
    <xf numFmtId="187" fontId="147" fillId="0" borderId="14" xfId="0" applyNumberFormat="1" applyFont="1" applyBorder="1" applyAlignment="1">
      <alignment horizontal="right" vertical="top" indent="1" shrinkToFit="1"/>
    </xf>
    <xf numFmtId="187" fontId="147" fillId="0" borderId="8" xfId="0" applyNumberFormat="1" applyFont="1" applyBorder="1" applyAlignment="1">
      <alignment horizontal="right" vertical="top" indent="1" shrinkToFit="1"/>
    </xf>
    <xf numFmtId="0" fontId="0" fillId="0" borderId="9" xfId="0" applyBorder="1" applyAlignment="1">
      <alignment horizontal="right" vertical="top" wrapText="1" indent="2"/>
    </xf>
    <xf numFmtId="176" fontId="147" fillId="0" borderId="7" xfId="0" applyNumberFormat="1" applyFont="1" applyBorder="1" applyAlignment="1">
      <alignment horizontal="right" vertical="top" indent="2" shrinkToFit="1"/>
    </xf>
    <xf numFmtId="1" fontId="147" fillId="0" borderId="16" xfId="0" applyNumberFormat="1" applyFont="1" applyBorder="1" applyAlignment="1">
      <alignment horizontal="right" vertical="top" shrinkToFit="1"/>
    </xf>
    <xf numFmtId="1" fontId="147" fillId="0" borderId="11" xfId="0" applyNumberFormat="1" applyFont="1" applyBorder="1" applyAlignment="1">
      <alignment horizontal="right" vertical="top" shrinkToFit="1"/>
    </xf>
    <xf numFmtId="2" fontId="147" fillId="0" borderId="11" xfId="0" applyNumberFormat="1" applyFont="1" applyBorder="1" applyAlignment="1">
      <alignment horizontal="right" vertical="top" shrinkToFit="1"/>
    </xf>
    <xf numFmtId="0" fontId="0" fillId="0" borderId="12" xfId="0" applyBorder="1" applyAlignment="1">
      <alignment horizontal="left" wrapText="1"/>
    </xf>
    <xf numFmtId="0" fontId="0" fillId="0" borderId="0" xfId="0" applyAlignment="1">
      <alignment horizontal="left" wrapText="1"/>
    </xf>
    <xf numFmtId="0" fontId="0" fillId="0" borderId="11" xfId="0" applyBorder="1" applyAlignment="1">
      <alignment horizontal="left" wrapText="1"/>
    </xf>
    <xf numFmtId="176" fontId="147" fillId="0" borderId="8" xfId="0" applyNumberFormat="1" applyFont="1" applyBorder="1" applyAlignment="1">
      <alignment horizontal="right" vertical="top" indent="2" shrinkToFit="1"/>
    </xf>
    <xf numFmtId="1" fontId="147" fillId="0" borderId="13" xfId="0" applyNumberFormat="1" applyFont="1" applyBorder="1" applyAlignment="1">
      <alignment horizontal="right" vertical="top" shrinkToFit="1"/>
    </xf>
    <xf numFmtId="176" fontId="147" fillId="0" borderId="14" xfId="0" applyNumberFormat="1" applyFont="1" applyBorder="1" applyAlignment="1">
      <alignment vertical="top" shrinkToFit="1"/>
    </xf>
    <xf numFmtId="176" fontId="147" fillId="0" borderId="8" xfId="0" applyNumberFormat="1" applyFont="1" applyBorder="1" applyAlignment="1">
      <alignment vertical="top" shrinkToFit="1"/>
    </xf>
    <xf numFmtId="176" fontId="147" fillId="0" borderId="12" xfId="0" applyNumberFormat="1" applyFont="1" applyBorder="1" applyAlignment="1">
      <alignment vertical="top" shrinkToFit="1"/>
    </xf>
    <xf numFmtId="176" fontId="147" fillId="0" borderId="0" xfId="0" applyNumberFormat="1" applyFont="1" applyAlignment="1">
      <alignment vertical="top" shrinkToFit="1"/>
    </xf>
    <xf numFmtId="176" fontId="147" fillId="0" borderId="15" xfId="0" applyNumberFormat="1" applyFont="1" applyBorder="1" applyAlignment="1">
      <alignment vertical="top" shrinkToFit="1"/>
    </xf>
    <xf numFmtId="176" fontId="147" fillId="0" borderId="7" xfId="0" applyNumberFormat="1" applyFont="1" applyBorder="1" applyAlignment="1">
      <alignment vertical="top" shrinkToFit="1"/>
    </xf>
    <xf numFmtId="177" fontId="147" fillId="0" borderId="0" xfId="0" applyNumberFormat="1" applyFont="1" applyAlignment="1">
      <alignment vertical="top" shrinkToFit="1"/>
    </xf>
    <xf numFmtId="177" fontId="147" fillId="0" borderId="7" xfId="0" applyNumberFormat="1" applyFont="1" applyBorder="1" applyAlignment="1">
      <alignment vertical="top" shrinkToFit="1"/>
    </xf>
    <xf numFmtId="177" fontId="147" fillId="0" borderId="8" xfId="0" applyNumberFormat="1" applyFont="1" applyBorder="1" applyAlignment="1">
      <alignment vertical="top" shrinkToFit="1"/>
    </xf>
    <xf numFmtId="0" fontId="0" fillId="0" borderId="8" xfId="0" applyBorder="1" applyAlignment="1">
      <alignment vertical="top" wrapText="1"/>
    </xf>
    <xf numFmtId="187" fontId="147" fillId="0" borderId="0" xfId="0" applyNumberFormat="1" applyFont="1" applyAlignment="1">
      <alignment vertical="top" shrinkToFit="1"/>
    </xf>
    <xf numFmtId="187" fontId="147" fillId="0" borderId="8" xfId="0" applyNumberFormat="1" applyFont="1" applyBorder="1" applyAlignment="1">
      <alignment vertical="top" shrinkToFit="1"/>
    </xf>
    <xf numFmtId="187" fontId="147" fillId="0" borderId="7" xfId="0" applyNumberFormat="1" applyFont="1" applyBorder="1" applyAlignment="1">
      <alignment vertical="top" shrinkToFit="1"/>
    </xf>
    <xf numFmtId="178" fontId="147" fillId="0" borderId="12" xfId="0" applyNumberFormat="1" applyFont="1" applyBorder="1" applyAlignment="1">
      <alignment vertical="top" shrinkToFit="1"/>
    </xf>
    <xf numFmtId="178" fontId="147" fillId="0" borderId="0" xfId="0" applyNumberFormat="1" applyFont="1" applyAlignment="1">
      <alignment vertical="top" shrinkToFit="1"/>
    </xf>
    <xf numFmtId="1" fontId="147" fillId="0" borderId="0" xfId="0" applyNumberFormat="1" applyFont="1" applyAlignment="1">
      <alignment vertical="top" shrinkToFit="1"/>
    </xf>
    <xf numFmtId="178" fontId="147" fillId="0" borderId="14" xfId="0" applyNumberFormat="1" applyFont="1" applyBorder="1" applyAlignment="1">
      <alignment vertical="top" shrinkToFit="1"/>
    </xf>
    <xf numFmtId="178" fontId="147" fillId="0" borderId="8" xfId="0" applyNumberFormat="1" applyFont="1" applyBorder="1" applyAlignment="1">
      <alignment vertical="top" shrinkToFit="1"/>
    </xf>
    <xf numFmtId="1" fontId="147" fillId="0" borderId="8" xfId="0" applyNumberFormat="1" applyFont="1" applyBorder="1" applyAlignment="1">
      <alignment vertical="top" shrinkToFit="1"/>
    </xf>
    <xf numFmtId="2" fontId="147" fillId="0" borderId="0" xfId="0" applyNumberFormat="1" applyFont="1" applyAlignment="1">
      <alignment vertical="top" shrinkToFit="1"/>
    </xf>
    <xf numFmtId="0" fontId="0" fillId="0" borderId="12" xfId="0" applyBorder="1" applyAlignment="1">
      <alignment wrapText="1"/>
    </xf>
    <xf numFmtId="0" fontId="0" fillId="0" borderId="0" xfId="0" applyAlignment="1">
      <alignment wrapText="1"/>
    </xf>
    <xf numFmtId="178" fontId="147" fillId="0" borderId="15" xfId="0" applyNumberFormat="1" applyFont="1" applyBorder="1" applyAlignment="1">
      <alignment vertical="top" shrinkToFit="1"/>
    </xf>
    <xf numFmtId="178" fontId="147" fillId="0" borderId="7" xfId="0" applyNumberFormat="1" applyFont="1" applyBorder="1" applyAlignment="1">
      <alignment vertical="top" shrinkToFit="1"/>
    </xf>
    <xf numFmtId="1" fontId="147" fillId="0" borderId="7" xfId="0" applyNumberFormat="1" applyFont="1" applyBorder="1" applyAlignment="1">
      <alignment vertical="top" shrinkToFit="1"/>
    </xf>
    <xf numFmtId="0" fontId="81" fillId="0" borderId="1" xfId="0" applyFont="1" applyBorder="1" applyAlignment="1">
      <alignment horizontal="center" vertical="top" wrapText="1"/>
    </xf>
    <xf numFmtId="0" fontId="81" fillId="0" borderId="1" xfId="0" applyFont="1" applyBorder="1" applyAlignment="1">
      <alignment horizontal="left" vertical="top" wrapText="1" indent="1"/>
    </xf>
    <xf numFmtId="0" fontId="81" fillId="0" borderId="2" xfId="0" applyFont="1" applyBorder="1" applyAlignment="1">
      <alignment horizontal="left" vertical="top" wrapText="1" indent="1"/>
    </xf>
    <xf numFmtId="178" fontId="147" fillId="0" borderId="15" xfId="0" applyNumberFormat="1" applyFont="1" applyBorder="1" applyAlignment="1">
      <alignment horizontal="center" vertical="top" shrinkToFit="1"/>
    </xf>
    <xf numFmtId="178" fontId="147" fillId="0" borderId="16" xfId="0" applyNumberFormat="1" applyFont="1" applyBorder="1" applyAlignment="1">
      <alignment horizontal="center" vertical="top" shrinkToFit="1"/>
    </xf>
    <xf numFmtId="2" fontId="147" fillId="0" borderId="15" xfId="0" applyNumberFormat="1" applyFont="1" applyBorder="1" applyAlignment="1">
      <alignment horizontal="left" vertical="top" indent="2" shrinkToFit="1"/>
    </xf>
    <xf numFmtId="2" fontId="147" fillId="0" borderId="7" xfId="0" applyNumberFormat="1" applyFont="1" applyBorder="1" applyAlignment="1">
      <alignment horizontal="center" vertical="top" shrinkToFit="1"/>
    </xf>
    <xf numFmtId="2" fontId="147" fillId="0" borderId="16" xfId="0" applyNumberFormat="1" applyFont="1" applyBorder="1" applyAlignment="1">
      <alignment horizontal="center" vertical="top" shrinkToFit="1"/>
    </xf>
    <xf numFmtId="178" fontId="147" fillId="0" borderId="15" xfId="0" applyNumberFormat="1" applyFont="1" applyBorder="1" applyAlignment="1">
      <alignment horizontal="left" vertical="top" indent="2" shrinkToFit="1"/>
    </xf>
    <xf numFmtId="178" fontId="147" fillId="0" borderId="16" xfId="0" applyNumberFormat="1" applyFont="1" applyBorder="1" applyAlignment="1">
      <alignment horizontal="left" vertical="top" indent="2" shrinkToFit="1"/>
    </xf>
    <xf numFmtId="0" fontId="81" fillId="0" borderId="6" xfId="0" applyFont="1" applyBorder="1" applyAlignment="1">
      <alignment horizontal="center" vertical="top" wrapText="1"/>
    </xf>
    <xf numFmtId="0" fontId="81" fillId="0" borderId="6" xfId="0" applyFont="1" applyBorder="1" applyAlignment="1">
      <alignment horizontal="left" vertical="top" wrapText="1" indent="1"/>
    </xf>
    <xf numFmtId="178" fontId="147" fillId="0" borderId="12" xfId="0" applyNumberFormat="1" applyFont="1" applyBorder="1" applyAlignment="1">
      <alignment horizontal="center" vertical="top" shrinkToFit="1"/>
    </xf>
    <xf numFmtId="178" fontId="147" fillId="0" borderId="11" xfId="0" applyNumberFormat="1" applyFont="1" applyBorder="1" applyAlignment="1">
      <alignment horizontal="center" vertical="top" shrinkToFit="1"/>
    </xf>
    <xf numFmtId="2" fontId="147" fillId="0" borderId="12" xfId="0" applyNumberFormat="1" applyFont="1" applyBorder="1" applyAlignment="1">
      <alignment horizontal="left" vertical="top" indent="2" shrinkToFit="1"/>
    </xf>
    <xf numFmtId="2" fontId="147" fillId="0" borderId="0" xfId="0" applyNumberFormat="1" applyFont="1" applyAlignment="1">
      <alignment horizontal="center" vertical="top" shrinkToFit="1"/>
    </xf>
    <xf numFmtId="1" fontId="147" fillId="0" borderId="11" xfId="0" applyNumberFormat="1" applyFont="1" applyBorder="1" applyAlignment="1">
      <alignment horizontal="center" vertical="top" shrinkToFit="1"/>
    </xf>
    <xf numFmtId="178" fontId="147" fillId="0" borderId="12" xfId="0" applyNumberFormat="1" applyFont="1" applyBorder="1" applyAlignment="1">
      <alignment horizontal="left" vertical="top" indent="2" shrinkToFit="1"/>
    </xf>
    <xf numFmtId="178" fontId="147" fillId="0" borderId="11" xfId="0" applyNumberFormat="1" applyFont="1" applyBorder="1" applyAlignment="1">
      <alignment horizontal="left" vertical="top" indent="2" shrinkToFit="1"/>
    </xf>
    <xf numFmtId="2" fontId="147" fillId="0" borderId="11" xfId="0" applyNumberFormat="1" applyFont="1" applyBorder="1" applyAlignment="1">
      <alignment horizontal="center" vertical="top" shrinkToFit="1"/>
    </xf>
    <xf numFmtId="0" fontId="81" fillId="0" borderId="3" xfId="0" applyFont="1" applyBorder="1" applyAlignment="1">
      <alignment horizontal="center" vertical="top" wrapText="1"/>
    </xf>
    <xf numFmtId="0" fontId="81" fillId="0" borderId="3" xfId="0" applyFont="1" applyBorder="1" applyAlignment="1">
      <alignment horizontal="left" vertical="top" wrapText="1" indent="1"/>
    </xf>
    <xf numFmtId="178" fontId="147" fillId="0" borderId="14" xfId="0" applyNumberFormat="1" applyFont="1" applyBorder="1" applyAlignment="1">
      <alignment horizontal="center" vertical="top" shrinkToFit="1"/>
    </xf>
    <xf numFmtId="178" fontId="147" fillId="0" borderId="13" xfId="0" applyNumberFormat="1" applyFont="1" applyBorder="1" applyAlignment="1">
      <alignment horizontal="center" vertical="top" shrinkToFit="1"/>
    </xf>
    <xf numFmtId="180" fontId="147" fillId="0" borderId="14" xfId="0" applyNumberFormat="1" applyFont="1" applyBorder="1" applyAlignment="1">
      <alignment horizontal="left" vertical="top" indent="2" shrinkToFit="1"/>
    </xf>
    <xf numFmtId="2" fontId="147" fillId="0" borderId="8" xfId="0" applyNumberFormat="1" applyFont="1" applyBorder="1" applyAlignment="1">
      <alignment horizontal="center" vertical="top" shrinkToFit="1"/>
    </xf>
    <xf numFmtId="1" fontId="147" fillId="0" borderId="13" xfId="0" applyNumberFormat="1" applyFont="1" applyBorder="1" applyAlignment="1">
      <alignment horizontal="center" vertical="top" shrinkToFit="1"/>
    </xf>
    <xf numFmtId="178" fontId="147" fillId="0" borderId="14" xfId="0" applyNumberFormat="1" applyFont="1" applyBorder="1" applyAlignment="1">
      <alignment horizontal="left" vertical="top" indent="2" shrinkToFit="1"/>
    </xf>
    <xf numFmtId="178" fontId="147" fillId="0" borderId="13" xfId="0" applyNumberFormat="1" applyFont="1" applyBorder="1" applyAlignment="1">
      <alignment horizontal="left" vertical="top" indent="2" shrinkToFit="1"/>
    </xf>
    <xf numFmtId="180" fontId="147" fillId="0" borderId="15" xfId="0" applyNumberFormat="1" applyFont="1" applyBorder="1" applyAlignment="1">
      <alignment horizontal="right" vertical="top" indent="2" shrinkToFit="1"/>
    </xf>
    <xf numFmtId="180" fontId="147" fillId="0" borderId="14" xfId="0" applyNumberFormat="1" applyFont="1" applyBorder="1" applyAlignment="1">
      <alignment horizontal="right" vertical="top" indent="2" shrinkToFit="1"/>
    </xf>
    <xf numFmtId="0" fontId="81" fillId="0" borderId="0" xfId="0" applyFont="1" applyBorder="1" applyAlignment="1">
      <alignment horizontal="center" vertical="top" wrapText="1"/>
    </xf>
    <xf numFmtId="0" fontId="81" fillId="0" borderId="0" xfId="0" applyFont="1" applyBorder="1" applyAlignment="1">
      <alignment horizontal="left" vertical="top" wrapText="1" indent="1"/>
    </xf>
    <xf numFmtId="178" fontId="147" fillId="0" borderId="0" xfId="0" applyNumberFormat="1" applyFont="1" applyBorder="1" applyAlignment="1">
      <alignment horizontal="center" vertical="top" shrinkToFit="1"/>
    </xf>
    <xf numFmtId="180" fontId="147" fillId="0" borderId="0" xfId="0" applyNumberFormat="1" applyFont="1" applyBorder="1" applyAlignment="1">
      <alignment horizontal="left" vertical="top" indent="2" shrinkToFit="1"/>
    </xf>
    <xf numFmtId="2" fontId="147" fillId="0" borderId="0" xfId="0" applyNumberFormat="1" applyFont="1" applyBorder="1" applyAlignment="1">
      <alignment horizontal="center" vertical="top" shrinkToFit="1"/>
    </xf>
    <xf numFmtId="1" fontId="147" fillId="0" borderId="0" xfId="0" applyNumberFormat="1" applyFont="1" applyBorder="1" applyAlignment="1">
      <alignment horizontal="center" vertical="top" shrinkToFit="1"/>
    </xf>
    <xf numFmtId="178" fontId="147" fillId="0" borderId="0" xfId="0" applyNumberFormat="1" applyFont="1" applyBorder="1" applyAlignment="1">
      <alignment horizontal="left" vertical="top" indent="2" shrinkToFit="1"/>
    </xf>
    <xf numFmtId="178" fontId="30" fillId="0" borderId="4" xfId="0" applyNumberFormat="1" applyFont="1" applyFill="1" applyBorder="1" applyAlignment="1" applyProtection="1">
      <alignment horizontal="left" vertical="top"/>
    </xf>
    <xf numFmtId="178" fontId="30" fillId="0" borderId="17" xfId="0" applyNumberFormat="1" applyFont="1" applyFill="1" applyBorder="1" applyAlignment="1" applyProtection="1">
      <alignment horizontal="left" vertical="top"/>
    </xf>
    <xf numFmtId="20" fontId="3" fillId="0" borderId="0" xfId="0" applyNumberFormat="1" applyFont="1" applyAlignment="1">
      <alignment horizontal="left" vertical="top"/>
    </xf>
    <xf numFmtId="182" fontId="3" fillId="0" borderId="0" xfId="0" applyNumberFormat="1" applyFont="1" applyAlignment="1">
      <alignment horizontal="left" vertical="top"/>
    </xf>
    <xf numFmtId="0" fontId="1" fillId="0" borderId="0" xfId="0" applyFont="1" applyAlignment="1">
      <alignment horizontal="center" vertical="top"/>
    </xf>
    <xf numFmtId="0" fontId="176" fillId="0" borderId="0" xfId="0" applyFont="1" applyAlignment="1">
      <alignment horizontal="left" vertical="top"/>
    </xf>
    <xf numFmtId="182" fontId="6" fillId="0" borderId="0" xfId="0" applyNumberFormat="1" applyFont="1" applyAlignment="1">
      <alignment horizontal="left" vertical="top"/>
    </xf>
    <xf numFmtId="0" fontId="6" fillId="0" borderId="0" xfId="0" applyFont="1" applyAlignment="1">
      <alignment horizontal="left" vertical="top"/>
    </xf>
    <xf numFmtId="0" fontId="176" fillId="0" borderId="0" xfId="0" applyFont="1" applyAlignment="1">
      <alignment horizontal="left" vertical="top" wrapText="1"/>
    </xf>
    <xf numFmtId="182" fontId="6" fillId="0" borderId="0" xfId="0" applyNumberFormat="1" applyFont="1" applyAlignment="1">
      <alignment horizontal="left" vertical="top" wrapText="1"/>
    </xf>
    <xf numFmtId="0" fontId="6" fillId="0" borderId="0" xfId="0" applyFont="1" applyAlignment="1">
      <alignment horizontal="left" vertical="top" wrapText="1"/>
    </xf>
    <xf numFmtId="0" fontId="6" fillId="0" borderId="17" xfId="0" applyFont="1" applyBorder="1" applyAlignment="1">
      <alignment horizontal="left" vertical="top"/>
    </xf>
    <xf numFmtId="0" fontId="6" fillId="0" borderId="18" xfId="0" applyFont="1" applyBorder="1" applyAlignment="1">
      <alignment horizontal="left" vertical="top"/>
    </xf>
    <xf numFmtId="0" fontId="1" fillId="0" borderId="0" xfId="0" applyFont="1" applyAlignment="1">
      <alignment vertical="top"/>
    </xf>
    <xf numFmtId="0" fontId="3" fillId="0" borderId="9" xfId="0" applyFont="1" applyBorder="1" applyAlignment="1">
      <alignment vertical="top" wrapText="1"/>
    </xf>
    <xf numFmtId="0" fontId="2" fillId="0" borderId="9" xfId="0" applyFont="1" applyBorder="1" applyAlignment="1">
      <alignment vertical="top" wrapText="1"/>
    </xf>
    <xf numFmtId="0" fontId="3" fillId="0" borderId="40" xfId="0" applyFont="1" applyBorder="1" applyAlignment="1">
      <alignment vertical="top"/>
    </xf>
    <xf numFmtId="0" fontId="1" fillId="0" borderId="40" xfId="0" applyFont="1" applyBorder="1" applyAlignment="1">
      <alignment vertical="top" wrapText="1"/>
    </xf>
    <xf numFmtId="0" fontId="3" fillId="0" borderId="40" xfId="0" applyFont="1" applyBorder="1" applyAlignment="1">
      <alignment vertical="top" wrapText="1"/>
    </xf>
    <xf numFmtId="178" fontId="3" fillId="0" borderId="0" xfId="0" applyNumberFormat="1" applyFont="1" applyAlignment="1">
      <alignment vertical="top" wrapText="1"/>
    </xf>
    <xf numFmtId="0" fontId="3" fillId="0" borderId="17" xfId="0" applyFont="1" applyBorder="1" applyAlignment="1">
      <alignment vertical="top" wrapText="1"/>
    </xf>
    <xf numFmtId="0" fontId="3" fillId="0" borderId="17" xfId="0" applyFont="1" applyBorder="1" applyAlignment="1">
      <alignment horizontal="right" vertical="top" wrapText="1"/>
    </xf>
    <xf numFmtId="0" fontId="3" fillId="0" borderId="17" xfId="0" applyFont="1" applyBorder="1" applyAlignment="1">
      <alignment horizontal="right" vertical="top"/>
    </xf>
    <xf numFmtId="0" fontId="3" fillId="0" borderId="0" xfId="0" applyFont="1" applyAlignment="1">
      <alignment vertical="top"/>
    </xf>
    <xf numFmtId="0" fontId="3" fillId="0" borderId="0" xfId="0" applyFont="1" applyAlignment="1">
      <alignment horizontal="right" vertical="top" wrapText="1"/>
    </xf>
    <xf numFmtId="0" fontId="3" fillId="0" borderId="0" xfId="0" applyFont="1" applyAlignment="1">
      <alignment horizontal="right" vertical="top"/>
    </xf>
    <xf numFmtId="0" fontId="1" fillId="0" borderId="8" xfId="0" applyFont="1" applyBorder="1" applyAlignment="1">
      <alignment vertical="top"/>
    </xf>
    <xf numFmtId="178" fontId="3" fillId="0" borderId="8" xfId="0" applyNumberFormat="1" applyFont="1" applyBorder="1" applyAlignment="1">
      <alignment vertical="top" wrapText="1"/>
    </xf>
    <xf numFmtId="0" fontId="3" fillId="0" borderId="18" xfId="0" applyFont="1" applyBorder="1" applyAlignment="1">
      <alignment vertical="top"/>
    </xf>
    <xf numFmtId="0" fontId="3" fillId="0" borderId="18" xfId="0" applyFont="1" applyBorder="1" applyAlignment="1">
      <alignment horizontal="right" vertical="top" wrapText="1"/>
    </xf>
    <xf numFmtId="0" fontId="3" fillId="0" borderId="18" xfId="0" applyFont="1" applyBorder="1" applyAlignment="1">
      <alignment horizontal="right" vertical="top"/>
    </xf>
    <xf numFmtId="0" fontId="1" fillId="0" borderId="40" xfId="0" applyFont="1" applyBorder="1" applyAlignment="1">
      <alignment horizontal="right" vertical="top" wrapText="1"/>
    </xf>
    <xf numFmtId="0" fontId="3" fillId="0" borderId="40" xfId="0" applyFont="1" applyBorder="1" applyAlignment="1">
      <alignment horizontal="right" vertical="top"/>
    </xf>
    <xf numFmtId="0" fontId="3" fillId="0" borderId="40" xfId="0" applyFont="1" applyBorder="1" applyAlignment="1">
      <alignment horizontal="right" vertical="top" wrapText="1"/>
    </xf>
    <xf numFmtId="177" fontId="3" fillId="0" borderId="0" xfId="0" applyNumberFormat="1" applyFont="1" applyAlignment="1">
      <alignment vertical="top" wrapText="1"/>
    </xf>
    <xf numFmtId="177" fontId="3" fillId="0" borderId="8" xfId="0" applyNumberFormat="1" applyFont="1" applyBorder="1" applyAlignment="1">
      <alignment vertical="top" wrapText="1"/>
    </xf>
    <xf numFmtId="0" fontId="2" fillId="0" borderId="0" xfId="0" applyFont="1" applyAlignment="1">
      <alignment vertical="top" wrapText="1"/>
    </xf>
    <xf numFmtId="180" fontId="3" fillId="0" borderId="0" xfId="0" applyNumberFormat="1" applyFont="1" applyAlignment="1">
      <alignment vertical="top" wrapText="1"/>
    </xf>
    <xf numFmtId="180" fontId="3" fillId="0" borderId="8" xfId="0" applyNumberFormat="1" applyFont="1" applyBorder="1" applyAlignment="1">
      <alignment vertical="top" wrapText="1"/>
    </xf>
    <xf numFmtId="0" fontId="30" fillId="0" borderId="17" xfId="0" applyNumberFormat="1" applyFont="1" applyFill="1" applyBorder="1" applyAlignment="1" applyProtection="1">
      <alignment horizontal="right" vertical="top"/>
    </xf>
    <xf numFmtId="178" fontId="30" fillId="0" borderId="17" xfId="0" applyNumberFormat="1" applyFont="1" applyFill="1" applyBorder="1" applyAlignment="1" applyProtection="1">
      <alignment horizontal="right" vertical="top"/>
    </xf>
    <xf numFmtId="0" fontId="177" fillId="0" borderId="0" xfId="0" applyFont="1" applyAlignment="1">
      <alignment horizontal="left" vertical="center"/>
    </xf>
    <xf numFmtId="0" fontId="178" fillId="0" borderId="0" xfId="0" applyFont="1" applyAlignment="1">
      <alignment horizontal="left" vertical="center"/>
    </xf>
    <xf numFmtId="0" fontId="3" fillId="0" borderId="42" xfId="0" applyFont="1" applyBorder="1" applyAlignment="1">
      <alignment horizontal="left" vertical="top"/>
    </xf>
    <xf numFmtId="0" fontId="3" fillId="0" borderId="43" xfId="0" applyFont="1" applyBorder="1" applyAlignment="1">
      <alignment horizontal="left" vertical="top"/>
    </xf>
    <xf numFmtId="0" fontId="3" fillId="0" borderId="44" xfId="0" applyFont="1" applyBorder="1" applyAlignment="1">
      <alignment horizontal="left" vertical="top"/>
    </xf>
    <xf numFmtId="0" fontId="177" fillId="0" borderId="17" xfId="0" applyFont="1" applyBorder="1" applyAlignment="1">
      <alignment horizontal="left" vertical="center"/>
    </xf>
    <xf numFmtId="0" fontId="178" fillId="0" borderId="17" xfId="0" applyFont="1" applyBorder="1" applyAlignment="1">
      <alignment horizontal="left" vertical="center"/>
    </xf>
    <xf numFmtId="0" fontId="177" fillId="0" borderId="18" xfId="0" applyFont="1" applyBorder="1" applyAlignment="1">
      <alignment horizontal="left" vertical="center"/>
    </xf>
    <xf numFmtId="0" fontId="178" fillId="0" borderId="18" xfId="0" applyFont="1" applyBorder="1" applyAlignment="1">
      <alignment horizontal="left" vertical="center"/>
    </xf>
    <xf numFmtId="0" fontId="0" fillId="0" borderId="43" xfId="0" applyBorder="1" applyAlignment="1">
      <alignment horizontal="left" vertical="top"/>
    </xf>
    <xf numFmtId="0" fontId="0" fillId="0" borderId="44" xfId="0" applyBorder="1" applyAlignment="1">
      <alignment horizontal="left" vertical="top"/>
    </xf>
    <xf numFmtId="0" fontId="177" fillId="0" borderId="0" xfId="0" applyFont="1" applyBorder="1" applyAlignment="1">
      <alignment horizontal="left" vertical="center"/>
    </xf>
    <xf numFmtId="0" fontId="178" fillId="0" borderId="0" xfId="0" applyFont="1" applyBorder="1" applyAlignment="1">
      <alignment horizontal="left" vertical="center"/>
    </xf>
    <xf numFmtId="0" fontId="62" fillId="0" borderId="7" xfId="0" applyFont="1" applyBorder="1" applyAlignment="1">
      <alignment horizontal="left" vertical="top" wrapText="1" indent="2"/>
    </xf>
    <xf numFmtId="0" fontId="62" fillId="0" borderId="7" xfId="0" applyFont="1" applyBorder="1" applyAlignment="1">
      <alignment horizontal="center" vertical="top" wrapText="1"/>
    </xf>
    <xf numFmtId="0" fontId="81" fillId="0" borderId="0" xfId="0" applyFont="1" applyAlignment="1">
      <alignment horizontal="center" vertical="top" wrapText="1"/>
    </xf>
    <xf numFmtId="0" fontId="0" fillId="0" borderId="0" xfId="0" applyAlignment="1">
      <alignment horizontal="left" vertical="center" wrapText="1"/>
    </xf>
    <xf numFmtId="0" fontId="0" fillId="0" borderId="8" xfId="0" applyBorder="1" applyAlignment="1">
      <alignment horizontal="left" wrapText="1"/>
    </xf>
    <xf numFmtId="0" fontId="0" fillId="0" borderId="8" xfId="0" applyBorder="1" applyAlignment="1">
      <alignment horizontal="right" vertical="top" wrapText="1" indent="3"/>
    </xf>
    <xf numFmtId="0" fontId="0" fillId="0" borderId="8" xfId="0" applyBorder="1" applyAlignment="1">
      <alignment horizontal="left" vertical="top" wrapText="1"/>
    </xf>
    <xf numFmtId="0" fontId="0" fillId="0" borderId="8" xfId="0" applyBorder="1" applyAlignment="1">
      <alignment horizontal="right" vertical="top" wrapText="1" indent="2"/>
    </xf>
    <xf numFmtId="0" fontId="81" fillId="0" borderId="7" xfId="0" applyFont="1" applyBorder="1" applyAlignment="1">
      <alignment horizontal="center" vertical="top" wrapText="1"/>
    </xf>
    <xf numFmtId="187" fontId="147" fillId="0" borderId="7" xfId="0" applyNumberFormat="1" applyFont="1" applyBorder="1" applyAlignment="1">
      <alignment horizontal="left" vertical="top" shrinkToFit="1"/>
    </xf>
    <xf numFmtId="178" fontId="147" fillId="0" borderId="7" xfId="0" applyNumberFormat="1" applyFont="1" applyBorder="1" applyAlignment="1">
      <alignment horizontal="left" vertical="top" shrinkToFit="1"/>
    </xf>
    <xf numFmtId="176" fontId="147" fillId="0" borderId="7" xfId="0" applyNumberFormat="1" applyFont="1" applyBorder="1" applyAlignment="1">
      <alignment horizontal="center" vertical="top" shrinkToFit="1"/>
    </xf>
    <xf numFmtId="187" fontId="147" fillId="0" borderId="7" xfId="0" applyNumberFormat="1" applyFont="1" applyBorder="1" applyAlignment="1">
      <alignment horizontal="center" vertical="top" shrinkToFit="1"/>
    </xf>
    <xf numFmtId="178" fontId="147" fillId="0" borderId="7" xfId="0" applyNumberFormat="1" applyFont="1" applyBorder="1" applyAlignment="1">
      <alignment horizontal="left" vertical="top" indent="1" shrinkToFit="1"/>
    </xf>
    <xf numFmtId="176" fontId="147" fillId="0" borderId="7" xfId="0" applyNumberFormat="1" applyFont="1" applyBorder="1" applyAlignment="1">
      <alignment horizontal="left" vertical="top" shrinkToFit="1"/>
    </xf>
    <xf numFmtId="176" fontId="147" fillId="0" borderId="7" xfId="0" applyNumberFormat="1" applyFont="1" applyBorder="1" applyAlignment="1">
      <alignment horizontal="left" vertical="top" indent="1" shrinkToFit="1"/>
    </xf>
    <xf numFmtId="178" fontId="147" fillId="0" borderId="7" xfId="0" applyNumberFormat="1" applyFont="1" applyBorder="1" applyAlignment="1">
      <alignment horizontal="right" vertical="top" indent="2" shrinkToFit="1"/>
    </xf>
    <xf numFmtId="187" fontId="147" fillId="0" borderId="0" xfId="0" applyNumberFormat="1" applyFont="1" applyAlignment="1">
      <alignment horizontal="left" vertical="top" shrinkToFit="1"/>
    </xf>
    <xf numFmtId="178" fontId="147" fillId="0" borderId="0" xfId="0" applyNumberFormat="1" applyFont="1" applyAlignment="1">
      <alignment horizontal="left" vertical="top" shrinkToFit="1"/>
    </xf>
    <xf numFmtId="176" fontId="147" fillId="0" borderId="0" xfId="0" applyNumberFormat="1" applyFont="1" applyAlignment="1">
      <alignment horizontal="center" vertical="top" shrinkToFit="1"/>
    </xf>
    <xf numFmtId="187" fontId="147" fillId="0" borderId="0" xfId="0" applyNumberFormat="1" applyFont="1" applyAlignment="1">
      <alignment horizontal="center" vertical="top" shrinkToFit="1"/>
    </xf>
    <xf numFmtId="178" fontId="147" fillId="0" borderId="0" xfId="0" applyNumberFormat="1" applyFont="1" applyAlignment="1">
      <alignment horizontal="left" vertical="top" indent="1" shrinkToFit="1"/>
    </xf>
    <xf numFmtId="176" fontId="147" fillId="0" borderId="0" xfId="0" applyNumberFormat="1" applyFont="1" applyAlignment="1">
      <alignment horizontal="left" vertical="top" shrinkToFit="1"/>
    </xf>
    <xf numFmtId="176" fontId="147" fillId="0" borderId="0" xfId="0" applyNumberFormat="1" applyFont="1" applyAlignment="1">
      <alignment horizontal="left" vertical="top" indent="1" shrinkToFit="1"/>
    </xf>
    <xf numFmtId="178" fontId="147" fillId="0" borderId="0" xfId="0" applyNumberFormat="1" applyFont="1" applyAlignment="1">
      <alignment horizontal="right" vertical="top" indent="2" shrinkToFit="1"/>
    </xf>
    <xf numFmtId="0" fontId="81" fillId="0" borderId="8" xfId="0" applyFont="1" applyBorder="1" applyAlignment="1">
      <alignment horizontal="center" vertical="top" wrapText="1"/>
    </xf>
    <xf numFmtId="187" fontId="147" fillId="0" borderId="8" xfId="0" applyNumberFormat="1" applyFont="1" applyBorder="1" applyAlignment="1">
      <alignment horizontal="left" vertical="top" shrinkToFit="1"/>
    </xf>
    <xf numFmtId="178" fontId="147" fillId="0" borderId="8" xfId="0" applyNumberFormat="1" applyFont="1" applyBorder="1" applyAlignment="1">
      <alignment horizontal="left" vertical="top" shrinkToFit="1"/>
    </xf>
    <xf numFmtId="176" fontId="147" fillId="0" borderId="8" xfId="0" applyNumberFormat="1" applyFont="1" applyBorder="1" applyAlignment="1">
      <alignment horizontal="center" vertical="top" shrinkToFit="1"/>
    </xf>
    <xf numFmtId="187" fontId="147" fillId="0" borderId="8" xfId="0" applyNumberFormat="1" applyFont="1" applyBorder="1" applyAlignment="1">
      <alignment horizontal="center" vertical="top" shrinkToFit="1"/>
    </xf>
    <xf numFmtId="178" fontId="147" fillId="0" borderId="8" xfId="0" applyNumberFormat="1" applyFont="1" applyBorder="1" applyAlignment="1">
      <alignment horizontal="left" vertical="top" indent="1" shrinkToFit="1"/>
    </xf>
    <xf numFmtId="176" fontId="147" fillId="0" borderId="8" xfId="0" applyNumberFormat="1" applyFont="1" applyBorder="1" applyAlignment="1">
      <alignment horizontal="left" vertical="top" shrinkToFit="1"/>
    </xf>
    <xf numFmtId="176" fontId="147" fillId="0" borderId="8" xfId="0" applyNumberFormat="1" applyFont="1" applyBorder="1" applyAlignment="1">
      <alignment horizontal="left" vertical="top" indent="1" shrinkToFit="1"/>
    </xf>
    <xf numFmtId="178" fontId="147" fillId="0" borderId="8" xfId="0" applyNumberFormat="1" applyFont="1" applyBorder="1" applyAlignment="1">
      <alignment horizontal="right" vertical="top" indent="2" shrinkToFit="1"/>
    </xf>
    <xf numFmtId="0" fontId="0" fillId="0" borderId="8" xfId="0" applyBorder="1" applyAlignment="1">
      <alignment horizontal="right" vertical="top" wrapText="1"/>
    </xf>
    <xf numFmtId="0" fontId="81" fillId="0" borderId="7" xfId="0" applyFont="1" applyBorder="1" applyAlignment="1">
      <alignment horizontal="right" vertical="top" wrapText="1" indent="1"/>
    </xf>
    <xf numFmtId="176" fontId="147" fillId="0" borderId="7" xfId="0" applyNumberFormat="1" applyFont="1" applyBorder="1" applyAlignment="1">
      <alignment horizontal="right" vertical="top" shrinkToFit="1"/>
    </xf>
    <xf numFmtId="176" fontId="147" fillId="0" borderId="7" xfId="0" applyNumberFormat="1" applyFont="1" applyBorder="1" applyAlignment="1">
      <alignment horizontal="right" vertical="top" indent="1" shrinkToFit="1"/>
    </xf>
    <xf numFmtId="177" fontId="147" fillId="0" borderId="7" xfId="0" applyNumberFormat="1" applyFont="1" applyBorder="1" applyAlignment="1">
      <alignment horizontal="left" vertical="top" indent="1" shrinkToFit="1"/>
    </xf>
    <xf numFmtId="0" fontId="81" fillId="0" borderId="0" xfId="0" applyFont="1" applyAlignment="1">
      <alignment horizontal="left" vertical="top" wrapText="1" indent="3"/>
    </xf>
    <xf numFmtId="176" fontId="147" fillId="0" borderId="0" xfId="0" applyNumberFormat="1" applyFont="1" applyAlignment="1">
      <alignment horizontal="right" vertical="top" shrinkToFit="1"/>
    </xf>
    <xf numFmtId="178" fontId="147" fillId="0" borderId="0" xfId="0" applyNumberFormat="1" applyFont="1" applyAlignment="1">
      <alignment horizontal="right" vertical="top" indent="1" shrinkToFit="1"/>
    </xf>
    <xf numFmtId="176" fontId="147" fillId="0" borderId="0" xfId="0" applyNumberFormat="1" applyFont="1" applyAlignment="1">
      <alignment horizontal="right" vertical="top" indent="1" shrinkToFit="1"/>
    </xf>
    <xf numFmtId="0" fontId="81" fillId="0" borderId="0" xfId="0" applyFont="1" applyAlignment="1">
      <alignment horizontal="right" vertical="top" wrapText="1" indent="1"/>
    </xf>
    <xf numFmtId="0" fontId="81" fillId="0" borderId="8" xfId="0" applyFont="1" applyBorder="1" applyAlignment="1">
      <alignment horizontal="right" vertical="top" wrapText="1"/>
    </xf>
    <xf numFmtId="0" fontId="0" fillId="0" borderId="8" xfId="0" applyBorder="1" applyAlignment="1">
      <alignment horizontal="left" vertical="center" wrapText="1"/>
    </xf>
    <xf numFmtId="178" fontId="147" fillId="0" borderId="8" xfId="0" applyNumberFormat="1" applyFont="1" applyBorder="1" applyAlignment="1">
      <alignment horizontal="right" vertical="top" indent="1" shrinkToFit="1"/>
    </xf>
    <xf numFmtId="178" fontId="147" fillId="0" borderId="8" xfId="0" applyNumberFormat="1" applyFont="1" applyBorder="1" applyAlignment="1">
      <alignment horizontal="right" vertical="top" shrinkToFit="1"/>
    </xf>
    <xf numFmtId="0" fontId="81" fillId="0" borderId="7" xfId="0" applyFont="1" applyBorder="1" applyAlignment="1">
      <alignment horizontal="left" vertical="top" wrapText="1" indent="2"/>
    </xf>
    <xf numFmtId="178" fontId="147" fillId="0" borderId="0" xfId="0" applyNumberFormat="1" applyFont="1" applyAlignment="1">
      <alignment horizontal="center" vertical="top" shrinkToFit="1"/>
    </xf>
    <xf numFmtId="0" fontId="81" fillId="0" borderId="8" xfId="0" applyFont="1" applyBorder="1" applyAlignment="1">
      <alignment horizontal="left" vertical="top" wrapText="1" indent="2"/>
    </xf>
    <xf numFmtId="178" fontId="147" fillId="0" borderId="8" xfId="0" applyNumberFormat="1" applyFont="1" applyBorder="1" applyAlignment="1">
      <alignment horizontal="center" vertical="top" shrinkToFit="1"/>
    </xf>
    <xf numFmtId="0" fontId="81" fillId="0" borderId="0" xfId="0" applyFont="1" applyBorder="1" applyAlignment="1">
      <alignment horizontal="right" vertical="top" wrapText="1"/>
    </xf>
    <xf numFmtId="0" fontId="0" fillId="0" borderId="0" xfId="0" applyBorder="1" applyAlignment="1">
      <alignment horizontal="left" vertical="center" wrapText="1"/>
    </xf>
    <xf numFmtId="178" fontId="147" fillId="0" borderId="0" xfId="0" applyNumberFormat="1" applyFont="1" applyBorder="1" applyAlignment="1">
      <alignment horizontal="right" vertical="top" indent="1" shrinkToFit="1"/>
    </xf>
    <xf numFmtId="178" fontId="147" fillId="0" borderId="0" xfId="0" applyNumberFormat="1" applyFont="1" applyBorder="1" applyAlignment="1">
      <alignment horizontal="right" vertical="top" shrinkToFit="1"/>
    </xf>
    <xf numFmtId="0" fontId="0" fillId="0" borderId="8" xfId="0" applyBorder="1" applyAlignment="1">
      <alignment vertical="center" wrapText="1"/>
    </xf>
    <xf numFmtId="0" fontId="0" fillId="0" borderId="0" xfId="0" applyAlignment="1">
      <alignment vertical="center" wrapText="1"/>
    </xf>
    <xf numFmtId="0" fontId="0" fillId="0" borderId="8" xfId="0" applyBorder="1" applyAlignment="1">
      <alignment wrapText="1"/>
    </xf>
    <xf numFmtId="0" fontId="81" fillId="0" borderId="0" xfId="0" applyFont="1" applyAlignment="1">
      <alignment vertical="top" wrapText="1"/>
    </xf>
    <xf numFmtId="0" fontId="81" fillId="0" borderId="9" xfId="0" applyFont="1" applyBorder="1" applyAlignment="1">
      <alignment vertical="top" wrapText="1"/>
    </xf>
    <xf numFmtId="0" fontId="0" fillId="0" borderId="9" xfId="0" applyBorder="1" applyAlignment="1">
      <alignment horizontal="right" vertical="top" wrapText="1" indent="3"/>
    </xf>
    <xf numFmtId="0" fontId="1" fillId="0" borderId="8" xfId="0" applyFont="1" applyBorder="1" applyAlignment="1">
      <alignment horizontal="left" vertical="top"/>
    </xf>
    <xf numFmtId="0" fontId="62" fillId="0" borderId="8" xfId="0" applyFont="1" applyBorder="1" applyAlignment="1">
      <alignment horizontal="left" vertical="top" wrapText="1" indent="2"/>
    </xf>
    <xf numFmtId="0" fontId="95" fillId="0" borderId="1" xfId="0" applyFont="1" applyBorder="1" applyAlignment="1">
      <alignment horizontal="left" vertical="center" wrapText="1" indent="1"/>
    </xf>
    <xf numFmtId="0" fontId="95" fillId="0" borderId="5" xfId="0" applyFont="1" applyBorder="1" applyAlignment="1">
      <alignment horizontal="center" vertical="center" wrapText="1"/>
    </xf>
    <xf numFmtId="0" fontId="1" fillId="0" borderId="9" xfId="0" applyFont="1" applyBorder="1" applyAlignment="1">
      <alignment horizontal="left" vertical="center" wrapText="1"/>
    </xf>
    <xf numFmtId="0" fontId="0" fillId="0" borderId="9" xfId="0" applyBorder="1" applyAlignment="1">
      <alignment horizontal="left" vertical="center" wrapText="1" indent="2"/>
    </xf>
    <xf numFmtId="0" fontId="0" fillId="0" borderId="10" xfId="0" applyBorder="1" applyAlignment="1">
      <alignment horizontal="left" vertical="center" wrapText="1" indent="2"/>
    </xf>
    <xf numFmtId="0" fontId="81" fillId="0" borderId="15" xfId="0" applyFont="1" applyBorder="1" applyAlignment="1">
      <alignment horizontal="center" vertical="top" wrapText="1"/>
    </xf>
    <xf numFmtId="178" fontId="147" fillId="0" borderId="7" xfId="0" applyNumberFormat="1" applyFont="1" applyBorder="1" applyAlignment="1">
      <alignment horizontal="right" vertical="top" indent="1" shrinkToFit="1"/>
    </xf>
    <xf numFmtId="178" fontId="147" fillId="0" borderId="7" xfId="0" applyNumberFormat="1" applyFont="1" applyBorder="1" applyAlignment="1">
      <alignment horizontal="left" vertical="top" indent="4" shrinkToFit="1"/>
    </xf>
    <xf numFmtId="0" fontId="81" fillId="0" borderId="12" xfId="0" applyFont="1" applyBorder="1" applyAlignment="1">
      <alignment horizontal="center" vertical="top" wrapText="1"/>
    </xf>
    <xf numFmtId="178" fontId="147" fillId="0" borderId="0" xfId="0" applyNumberFormat="1" applyFont="1" applyAlignment="1">
      <alignment horizontal="left" vertical="top" indent="4" shrinkToFit="1"/>
    </xf>
    <xf numFmtId="0" fontId="81" fillId="0" borderId="14" xfId="0" applyFont="1" applyBorder="1" applyAlignment="1">
      <alignment horizontal="center" vertical="top" wrapText="1"/>
    </xf>
    <xf numFmtId="178" fontId="17" fillId="0" borderId="14" xfId="0" applyNumberFormat="1" applyFont="1" applyBorder="1" applyAlignment="1">
      <alignment horizontal="center" vertical="top" shrinkToFit="1"/>
    </xf>
    <xf numFmtId="178" fontId="147" fillId="0" borderId="8" xfId="0" applyNumberFormat="1" applyFont="1" applyBorder="1" applyAlignment="1">
      <alignment horizontal="left" vertical="top" indent="4" shrinkToFit="1"/>
    </xf>
    <xf numFmtId="0" fontId="6" fillId="0" borderId="4" xfId="0" applyNumberFormat="1" applyFont="1" applyFill="1" applyBorder="1" applyAlignment="1" applyProtection="1">
      <alignment horizontal="left" vertical="top" wrapText="1"/>
      <protection locked="0"/>
    </xf>
    <xf numFmtId="0" fontId="3" fillId="0" borderId="0" xfId="0" applyNumberFormat="1" applyFont="1" applyAlignment="1">
      <alignment horizontal="left" vertical="top"/>
    </xf>
    <xf numFmtId="0" fontId="25" fillId="0" borderId="0" xfId="0" applyNumberFormat="1" applyFont="1" applyAlignment="1">
      <alignment horizontal="center" vertical="top"/>
    </xf>
    <xf numFmtId="0" fontId="3" fillId="0" borderId="0" xfId="0" applyNumberFormat="1" applyFont="1" applyAlignment="1">
      <alignment horizontal="center" vertical="center"/>
    </xf>
    <xf numFmtId="0" fontId="3" fillId="0" borderId="0" xfId="0" applyNumberFormat="1" applyFont="1" applyAlignment="1">
      <alignment horizontal="center" vertical="top"/>
    </xf>
    <xf numFmtId="0" fontId="25" fillId="0" borderId="0" xfId="0" applyNumberFormat="1" applyFont="1" applyAlignment="1">
      <alignment horizontal="left" vertical="top"/>
    </xf>
    <xf numFmtId="0" fontId="6" fillId="0" borderId="17" xfId="0" applyNumberFormat="1" applyFont="1" applyFill="1" applyBorder="1" applyAlignment="1" applyProtection="1">
      <alignment horizontal="right" vertical="top"/>
      <protection locked="0"/>
    </xf>
    <xf numFmtId="0" fontId="6" fillId="0" borderId="18" xfId="0" applyNumberFormat="1" applyFont="1" applyFill="1" applyBorder="1" applyAlignment="1" applyProtection="1">
      <alignment horizontal="right" vertical="top"/>
      <protection locked="0"/>
    </xf>
    <xf numFmtId="0" fontId="30" fillId="0" borderId="4" xfId="0" applyNumberFormat="1" applyFont="1" applyFill="1" applyBorder="1" applyAlignment="1" applyProtection="1">
      <alignment horizontal="center" vertical="top" wrapText="1"/>
    </xf>
    <xf numFmtId="0" fontId="30" fillId="0" borderId="18" xfId="0" applyNumberFormat="1" applyFont="1" applyFill="1" applyBorder="1" applyAlignment="1" applyProtection="1">
      <alignment horizontal="right" vertical="top"/>
    </xf>
    <xf numFmtId="11" fontId="6" fillId="0" borderId="0" xfId="0" applyNumberFormat="1" applyFont="1" applyFill="1" applyBorder="1" applyAlignment="1" applyProtection="1">
      <alignment horizontal="right" vertical="top"/>
      <protection locked="0"/>
    </xf>
    <xf numFmtId="0" fontId="6" fillId="0" borderId="0" xfId="0" applyFont="1" applyFill="1" applyBorder="1" applyAlignment="1" applyProtection="1">
      <alignment horizontal="right" vertical="top"/>
      <protection locked="0"/>
    </xf>
    <xf numFmtId="0" fontId="3" fillId="0" borderId="9" xfId="0" applyFont="1" applyBorder="1" applyAlignment="1">
      <alignment horizontal="center" vertical="top" wrapText="1"/>
    </xf>
    <xf numFmtId="0" fontId="6" fillId="0" borderId="0" xfId="0" applyFont="1" applyAlignment="1">
      <alignment horizontal="right" vertical="top"/>
    </xf>
    <xf numFmtId="11" fontId="1" fillId="0" borderId="0" xfId="0" applyNumberFormat="1" applyFont="1" applyFill="1" applyBorder="1" applyAlignment="1" applyProtection="1">
      <alignment horizontal="left" vertical="top"/>
    </xf>
    <xf numFmtId="0" fontId="25" fillId="0" borderId="0" xfId="1" applyFont="1" applyAlignment="1">
      <alignment horizontal="left" vertical="top"/>
    </xf>
    <xf numFmtId="0" fontId="2" fillId="0" borderId="1" xfId="1" applyFont="1" applyBorder="1" applyAlignment="1">
      <alignment horizontal="center" vertical="top" wrapText="1"/>
    </xf>
    <xf numFmtId="0" fontId="3" fillId="0" borderId="1" xfId="1" applyBorder="1" applyAlignment="1">
      <alignment horizontal="left" vertical="top" wrapText="1" indent="2"/>
    </xf>
    <xf numFmtId="0" fontId="3" fillId="0" borderId="1" xfId="1" applyBorder="1" applyAlignment="1">
      <alignment horizontal="center" vertical="top" wrapText="1"/>
    </xf>
    <xf numFmtId="0" fontId="3" fillId="0" borderId="1" xfId="1" applyBorder="1" applyAlignment="1">
      <alignment horizontal="right" vertical="top" wrapText="1" indent="2"/>
    </xf>
    <xf numFmtId="2" fontId="3" fillId="0" borderId="1" xfId="1" applyNumberFormat="1" applyBorder="1" applyAlignment="1">
      <alignment horizontal="center" vertical="top" wrapText="1"/>
    </xf>
    <xf numFmtId="178" fontId="3" fillId="0" borderId="1" xfId="1" applyNumberFormat="1" applyBorder="1" applyAlignment="1">
      <alignment horizontal="left" vertical="top" wrapText="1" indent="2"/>
    </xf>
    <xf numFmtId="178" fontId="3" fillId="0" borderId="1" xfId="1" applyNumberFormat="1" applyBorder="1" applyAlignment="1">
      <alignment horizontal="center" vertical="top" wrapText="1"/>
    </xf>
    <xf numFmtId="2" fontId="3" fillId="0" borderId="1" xfId="1" applyNumberFormat="1" applyBorder="1" applyAlignment="1">
      <alignment horizontal="right" vertical="top" wrapText="1" indent="2"/>
    </xf>
    <xf numFmtId="1" fontId="3" fillId="0" borderId="1" xfId="1" applyNumberFormat="1" applyBorder="1" applyAlignment="1">
      <alignment horizontal="center" vertical="top" wrapText="1"/>
    </xf>
    <xf numFmtId="0" fontId="1" fillId="0" borderId="1" xfId="1" applyFont="1" applyBorder="1" applyAlignment="1">
      <alignment horizontal="center" vertical="top" wrapText="1"/>
    </xf>
    <xf numFmtId="2" fontId="3" fillId="0" borderId="1" xfId="1" applyNumberFormat="1" applyBorder="1" applyAlignment="1">
      <alignment horizontal="left" vertical="top" wrapText="1" indent="2"/>
    </xf>
    <xf numFmtId="0" fontId="176" fillId="0" borderId="0" xfId="0" applyFont="1" applyAlignment="1">
      <alignment horizontal="right" vertical="top"/>
    </xf>
    <xf numFmtId="179" fontId="176" fillId="0" borderId="0" xfId="0" applyNumberFormat="1" applyFont="1" applyAlignment="1">
      <alignment horizontal="right" vertical="top"/>
    </xf>
    <xf numFmtId="180" fontId="3" fillId="0" borderId="1" xfId="1" applyNumberFormat="1" applyBorder="1" applyAlignment="1">
      <alignment horizontal="center" vertical="top" wrapText="1"/>
    </xf>
    <xf numFmtId="0" fontId="1" fillId="0" borderId="1" xfId="1" applyFont="1" applyBorder="1" applyAlignment="1">
      <alignment horizontal="left" vertical="center" wrapText="1"/>
    </xf>
    <xf numFmtId="2" fontId="3" fillId="0" borderId="1" xfId="1" applyNumberFormat="1" applyBorder="1" applyAlignment="1">
      <alignment horizontal="center" vertical="center" wrapText="1"/>
    </xf>
    <xf numFmtId="178" fontId="3" fillId="0" borderId="1" xfId="1" applyNumberFormat="1" applyBorder="1" applyAlignment="1">
      <alignment horizontal="left" vertical="center" wrapText="1" indent="2"/>
    </xf>
    <xf numFmtId="178" fontId="3" fillId="0" borderId="1" xfId="1" applyNumberFormat="1" applyBorder="1" applyAlignment="1">
      <alignment horizontal="center" vertical="center" wrapText="1"/>
    </xf>
    <xf numFmtId="2" fontId="3" fillId="0" borderId="1" xfId="1" applyNumberFormat="1" applyBorder="1" applyAlignment="1">
      <alignment horizontal="right" vertical="center" wrapText="1" indent="2"/>
    </xf>
    <xf numFmtId="1" fontId="3" fillId="0" borderId="1" xfId="1" applyNumberFormat="1" applyBorder="1" applyAlignment="1">
      <alignment horizontal="center" vertical="center" wrapText="1"/>
    </xf>
    <xf numFmtId="180" fontId="3" fillId="0" borderId="1" xfId="1" applyNumberFormat="1" applyBorder="1" applyAlignment="1">
      <alignment horizontal="center" vertical="center" wrapText="1"/>
    </xf>
    <xf numFmtId="2" fontId="3" fillId="0" borderId="1" xfId="1" applyNumberFormat="1" applyBorder="1" applyAlignment="1">
      <alignment horizontal="left" vertical="center" wrapText="1" indent="2"/>
    </xf>
    <xf numFmtId="0" fontId="25" fillId="0" borderId="1" xfId="1" applyFont="1" applyBorder="1" applyAlignment="1">
      <alignment horizontal="left" vertical="top" wrapText="1"/>
    </xf>
    <xf numFmtId="0" fontId="25" fillId="0" borderId="1" xfId="1" applyFont="1" applyBorder="1" applyAlignment="1">
      <alignment horizontal="center" vertical="top" wrapText="1"/>
    </xf>
    <xf numFmtId="0" fontId="3" fillId="0" borderId="1" xfId="1" applyBorder="1" applyAlignment="1">
      <alignment horizontal="right" vertical="top" wrapText="1" indent="1"/>
    </xf>
    <xf numFmtId="0" fontId="3" fillId="0" borderId="1" xfId="1" applyBorder="1" applyAlignment="1">
      <alignment horizontal="left" vertical="top" wrapText="1" indent="1"/>
    </xf>
    <xf numFmtId="0" fontId="3" fillId="0" borderId="1" xfId="1" applyBorder="1" applyAlignment="1">
      <alignment horizontal="left" vertical="top" wrapText="1"/>
    </xf>
    <xf numFmtId="0" fontId="186" fillId="0" borderId="0" xfId="0" applyFont="1" applyAlignment="1">
      <alignment horizontal="left" vertical="top" wrapText="1"/>
    </xf>
    <xf numFmtId="0" fontId="187" fillId="0" borderId="0" xfId="0" applyFont="1" applyAlignment="1">
      <alignment horizontal="left" vertical="top" wrapText="1"/>
    </xf>
    <xf numFmtId="0" fontId="188" fillId="0" borderId="0" xfId="0" applyFont="1" applyAlignment="1">
      <alignment horizontal="left" vertical="top" wrapText="1"/>
    </xf>
    <xf numFmtId="2" fontId="3" fillId="0" borderId="1" xfId="1" applyNumberFormat="1" applyBorder="1" applyAlignment="1">
      <alignment horizontal="right" vertical="top" wrapText="1" indent="1"/>
    </xf>
    <xf numFmtId="2" fontId="3" fillId="0" borderId="1" xfId="1" applyNumberFormat="1" applyBorder="1" applyAlignment="1">
      <alignment horizontal="left" vertical="top" wrapText="1" indent="1"/>
    </xf>
    <xf numFmtId="180" fontId="3" fillId="0" borderId="1" xfId="1" applyNumberFormat="1" applyBorder="1" applyAlignment="1">
      <alignment horizontal="left" vertical="top" wrapText="1" indent="1"/>
    </xf>
    <xf numFmtId="0" fontId="186" fillId="0" borderId="0" xfId="0" applyFont="1" applyAlignment="1">
      <alignment horizontal="left" vertical="top"/>
    </xf>
    <xf numFmtId="0" fontId="187" fillId="0" borderId="0" xfId="0" applyFont="1" applyAlignment="1">
      <alignment horizontal="right" vertical="top"/>
    </xf>
    <xf numFmtId="179" fontId="187" fillId="0" borderId="0" xfId="0" applyNumberFormat="1" applyFont="1" applyAlignment="1">
      <alignment horizontal="right" vertical="top"/>
    </xf>
    <xf numFmtId="0" fontId="188" fillId="0" borderId="0" xfId="0" applyFont="1" applyAlignment="1">
      <alignment horizontal="right" vertical="top"/>
    </xf>
    <xf numFmtId="180" fontId="30" fillId="0" borderId="4" xfId="0" applyNumberFormat="1" applyFont="1" applyFill="1" applyBorder="1" applyAlignment="1" applyProtection="1">
      <alignment horizontal="right" vertical="top"/>
    </xf>
    <xf numFmtId="0" fontId="3" fillId="0" borderId="9" xfId="0" applyFont="1" applyBorder="1" applyAlignment="1">
      <alignment horizontal="left" vertical="top" wrapText="1"/>
    </xf>
    <xf numFmtId="0" fontId="3" fillId="0" borderId="4" xfId="0" applyFont="1" applyBorder="1" applyAlignment="1">
      <alignment horizontal="left" vertical="top"/>
    </xf>
    <xf numFmtId="0" fontId="0" fillId="0" borderId="40" xfId="0" applyBorder="1" applyAlignment="1">
      <alignment vertical="top" wrapText="1"/>
    </xf>
    <xf numFmtId="0" fontId="0" fillId="0" borderId="40" xfId="0" applyBorder="1" applyAlignment="1">
      <alignment horizontal="center" vertical="top" wrapText="1"/>
    </xf>
    <xf numFmtId="177" fontId="212" fillId="0" borderId="17" xfId="0" applyNumberFormat="1" applyFont="1" applyBorder="1" applyAlignment="1">
      <alignment vertical="top" wrapText="1"/>
    </xf>
    <xf numFmtId="177" fontId="211" fillId="0" borderId="17" xfId="0" applyNumberFormat="1" applyFont="1" applyBorder="1" applyAlignment="1">
      <alignment vertical="top" wrapText="1"/>
    </xf>
    <xf numFmtId="2" fontId="211" fillId="0" borderId="17" xfId="0" applyNumberFormat="1" applyFont="1" applyBorder="1" applyAlignment="1">
      <alignment vertical="top" wrapText="1"/>
    </xf>
    <xf numFmtId="177" fontId="211" fillId="0" borderId="0" xfId="0" applyNumberFormat="1" applyFont="1" applyAlignment="1">
      <alignment vertical="top" wrapText="1"/>
    </xf>
    <xf numFmtId="2" fontId="211" fillId="0" borderId="0" xfId="0" applyNumberFormat="1" applyFont="1" applyAlignment="1">
      <alignment vertical="top" wrapText="1"/>
    </xf>
    <xf numFmtId="177" fontId="212" fillId="0" borderId="0" xfId="0" applyNumberFormat="1" applyFont="1" applyAlignment="1">
      <alignment vertical="top" wrapText="1"/>
    </xf>
    <xf numFmtId="2" fontId="212" fillId="0" borderId="0" xfId="0" applyNumberFormat="1" applyFont="1" applyAlignment="1">
      <alignment vertical="top" wrapText="1"/>
    </xf>
    <xf numFmtId="177" fontId="212" fillId="0" borderId="18" xfId="0" applyNumberFormat="1" applyFont="1" applyBorder="1" applyAlignment="1">
      <alignment vertical="top" wrapText="1"/>
    </xf>
    <xf numFmtId="177" fontId="211" fillId="0" borderId="18" xfId="0" applyNumberFormat="1" applyFont="1" applyBorder="1" applyAlignment="1">
      <alignment vertical="top" wrapText="1"/>
    </xf>
    <xf numFmtId="2" fontId="211" fillId="0" borderId="18" xfId="0" applyNumberFormat="1" applyFont="1" applyBorder="1" applyAlignment="1">
      <alignment vertical="top" wrapText="1"/>
    </xf>
    <xf numFmtId="0" fontId="25" fillId="0" borderId="0" xfId="0" applyFont="1" applyAlignment="1">
      <alignment vertical="top" wrapText="1"/>
    </xf>
    <xf numFmtId="189" fontId="215" fillId="0" borderId="0" xfId="0" applyNumberFormat="1" applyFont="1" applyAlignment="1">
      <alignment vertical="top" wrapText="1"/>
    </xf>
    <xf numFmtId="180" fontId="216" fillId="0" borderId="0" xfId="0" applyNumberFormat="1" applyFont="1" applyAlignment="1">
      <alignment vertical="top" wrapText="1"/>
    </xf>
    <xf numFmtId="180" fontId="215" fillId="0" borderId="0" xfId="0" applyNumberFormat="1" applyFont="1" applyAlignment="1">
      <alignment vertical="top" wrapText="1"/>
    </xf>
    <xf numFmtId="189" fontId="218" fillId="0" borderId="0" xfId="0" applyNumberFormat="1" applyFont="1" applyAlignment="1">
      <alignment vertical="top" wrapText="1"/>
    </xf>
    <xf numFmtId="0" fontId="214" fillId="0" borderId="0" xfId="0" applyFont="1" applyAlignment="1">
      <alignment vertical="top" wrapText="1"/>
    </xf>
    <xf numFmtId="189" fontId="218" fillId="0" borderId="8" xfId="0" applyNumberFormat="1" applyFont="1" applyBorder="1" applyAlignment="1">
      <alignment vertical="top" wrapText="1"/>
    </xf>
    <xf numFmtId="180" fontId="215" fillId="0" borderId="8" xfId="0" applyNumberFormat="1" applyFont="1" applyBorder="1" applyAlignment="1">
      <alignment vertical="top" wrapText="1"/>
    </xf>
    <xf numFmtId="180" fontId="218" fillId="0" borderId="8" xfId="0" applyNumberFormat="1" applyFont="1" applyBorder="1" applyAlignment="1">
      <alignment vertical="top" wrapText="1"/>
    </xf>
    <xf numFmtId="180" fontId="218" fillId="0" borderId="0" xfId="0" applyNumberFormat="1" applyFont="1" applyAlignment="1">
      <alignment vertical="top" wrapText="1"/>
    </xf>
    <xf numFmtId="1" fontId="215" fillId="0" borderId="0" xfId="0" applyNumberFormat="1" applyFont="1" applyAlignment="1">
      <alignment horizontal="left" vertical="top" wrapText="1"/>
    </xf>
    <xf numFmtId="1" fontId="218" fillId="0" borderId="0" xfId="0" applyNumberFormat="1" applyFont="1" applyAlignment="1">
      <alignment horizontal="left" vertical="top" wrapText="1"/>
    </xf>
    <xf numFmtId="1" fontId="216" fillId="0" borderId="0" xfId="0" applyNumberFormat="1" applyFont="1" applyAlignment="1">
      <alignment horizontal="left" vertical="top" wrapText="1"/>
    </xf>
    <xf numFmtId="1" fontId="215" fillId="0" borderId="8" xfId="0" applyNumberFormat="1" applyFont="1" applyBorder="1" applyAlignment="1">
      <alignment horizontal="left" vertical="top" wrapText="1"/>
    </xf>
    <xf numFmtId="0" fontId="25" fillId="0" borderId="40" xfId="0" applyFont="1" applyBorder="1" applyAlignment="1">
      <alignment horizontal="left" vertical="top" wrapText="1"/>
    </xf>
    <xf numFmtId="1" fontId="211" fillId="0" borderId="17" xfId="0" applyNumberFormat="1" applyFont="1" applyBorder="1" applyAlignment="1">
      <alignment horizontal="left" vertical="top" wrapText="1"/>
    </xf>
    <xf numFmtId="2" fontId="211" fillId="0" borderId="17" xfId="0" applyNumberFormat="1" applyFont="1" applyBorder="1" applyAlignment="1">
      <alignment horizontal="left" vertical="top" wrapText="1"/>
    </xf>
    <xf numFmtId="1" fontId="211" fillId="0" borderId="0" xfId="0" applyNumberFormat="1" applyFont="1" applyAlignment="1">
      <alignment horizontal="left" vertical="top" wrapText="1"/>
    </xf>
    <xf numFmtId="2" fontId="211" fillId="0" borderId="0" xfId="0" applyNumberFormat="1" applyFont="1" applyAlignment="1">
      <alignment horizontal="left" vertical="top" wrapText="1"/>
    </xf>
    <xf numFmtId="2" fontId="212" fillId="0" borderId="0" xfId="0" applyNumberFormat="1" applyFont="1" applyAlignment="1">
      <alignment horizontal="left" vertical="top" wrapText="1"/>
    </xf>
    <xf numFmtId="2" fontId="213" fillId="0" borderId="0" xfId="0" applyNumberFormat="1" applyFont="1" applyAlignment="1">
      <alignment horizontal="left" vertical="top" wrapText="1"/>
    </xf>
    <xf numFmtId="1" fontId="213" fillId="0" borderId="18" xfId="0" applyNumberFormat="1" applyFont="1" applyBorder="1" applyAlignment="1">
      <alignment horizontal="left" vertical="top" wrapText="1"/>
    </xf>
    <xf numFmtId="2" fontId="213" fillId="0" borderId="18" xfId="0" applyNumberFormat="1" applyFont="1" applyBorder="1" applyAlignment="1">
      <alignment horizontal="left" vertical="top" wrapText="1"/>
    </xf>
    <xf numFmtId="0" fontId="25" fillId="0" borderId="1" xfId="0" applyFont="1" applyBorder="1" applyAlignment="1">
      <alignment horizontal="right" vertical="top" wrapText="1"/>
    </xf>
    <xf numFmtId="0" fontId="3" fillId="0" borderId="5" xfId="0" applyFont="1" applyBorder="1" applyAlignment="1">
      <alignment horizontal="left" vertical="top" wrapText="1"/>
    </xf>
    <xf numFmtId="0" fontId="3" fillId="0" borderId="10" xfId="0" applyFont="1" applyBorder="1" applyAlignment="1">
      <alignment horizontal="left" vertical="top" wrapText="1"/>
    </xf>
    <xf numFmtId="0" fontId="24" fillId="0" borderId="9" xfId="0" applyFont="1" applyBorder="1" applyAlignment="1">
      <alignment horizontal="right" vertical="top" wrapText="1" indent="1"/>
    </xf>
    <xf numFmtId="0" fontId="3" fillId="0" borderId="10" xfId="0" applyFont="1" applyBorder="1" applyAlignment="1">
      <alignment horizontal="right" vertical="top" wrapText="1" indent="1"/>
    </xf>
    <xf numFmtId="1" fontId="3" fillId="0" borderId="2" xfId="0" applyNumberFormat="1" applyFont="1" applyBorder="1" applyAlignment="1">
      <alignment horizontal="right" vertical="top" wrapText="1"/>
    </xf>
    <xf numFmtId="2" fontId="3" fillId="0" borderId="15" xfId="0" applyNumberFormat="1" applyFont="1" applyBorder="1" applyAlignment="1">
      <alignment horizontal="left" vertical="top" wrapText="1"/>
    </xf>
    <xf numFmtId="2" fontId="3" fillId="0" borderId="7" xfId="0" applyNumberFormat="1" applyFont="1" applyBorder="1" applyAlignment="1">
      <alignment horizontal="right" vertical="top" wrapText="1"/>
    </xf>
    <xf numFmtId="2" fontId="3" fillId="0" borderId="7" xfId="0" applyNumberFormat="1" applyFont="1" applyBorder="1" applyAlignment="1">
      <alignment horizontal="center" vertical="top" wrapText="1"/>
    </xf>
    <xf numFmtId="2" fontId="3" fillId="0" borderId="16" xfId="0" applyNumberFormat="1" applyFont="1" applyBorder="1" applyAlignment="1">
      <alignment horizontal="left" vertical="top" wrapText="1"/>
    </xf>
    <xf numFmtId="180" fontId="3" fillId="0" borderId="15" xfId="0" applyNumberFormat="1" applyFont="1" applyBorder="1" applyAlignment="1">
      <alignment horizontal="right" vertical="top" wrapText="1"/>
    </xf>
    <xf numFmtId="180" fontId="3" fillId="0" borderId="7" xfId="0" applyNumberFormat="1" applyFont="1" applyBorder="1" applyAlignment="1">
      <alignment horizontal="right" vertical="top" wrapText="1"/>
    </xf>
    <xf numFmtId="1" fontId="3" fillId="0" borderId="16" xfId="0" applyNumberFormat="1" applyFont="1" applyBorder="1" applyAlignment="1">
      <alignment horizontal="right" vertical="top" wrapText="1"/>
    </xf>
    <xf numFmtId="180" fontId="3" fillId="0" borderId="16" xfId="0" applyNumberFormat="1" applyFont="1" applyBorder="1" applyAlignment="1">
      <alignment horizontal="right" vertical="top" wrapText="1"/>
    </xf>
    <xf numFmtId="1" fontId="3" fillId="0" borderId="6" xfId="0" applyNumberFormat="1" applyFont="1" applyBorder="1" applyAlignment="1">
      <alignment horizontal="right" vertical="top" wrapText="1"/>
    </xf>
    <xf numFmtId="2" fontId="3" fillId="0" borderId="12" xfId="0" applyNumberFormat="1" applyFont="1" applyBorder="1" applyAlignment="1">
      <alignment horizontal="left" vertical="top" wrapText="1"/>
    </xf>
    <xf numFmtId="2" fontId="3" fillId="0" borderId="0" xfId="0" applyNumberFormat="1" applyFont="1" applyAlignment="1">
      <alignment horizontal="right" vertical="top" wrapText="1"/>
    </xf>
    <xf numFmtId="2" fontId="3" fillId="0" borderId="0" xfId="0" applyNumberFormat="1" applyFont="1" applyAlignment="1">
      <alignment horizontal="center" vertical="top" wrapText="1"/>
    </xf>
    <xf numFmtId="2" fontId="3" fillId="0" borderId="11" xfId="0" applyNumberFormat="1" applyFont="1" applyBorder="1" applyAlignment="1">
      <alignment horizontal="left" vertical="top" wrapText="1"/>
    </xf>
    <xf numFmtId="180" fontId="3" fillId="0" borderId="12" xfId="0" applyNumberFormat="1" applyFont="1" applyBorder="1" applyAlignment="1">
      <alignment horizontal="right" vertical="top" wrapText="1"/>
    </xf>
    <xf numFmtId="180" fontId="3" fillId="0" borderId="0" xfId="0" applyNumberFormat="1" applyFont="1" applyAlignment="1">
      <alignment horizontal="right" vertical="top" wrapText="1"/>
    </xf>
    <xf numFmtId="1" fontId="3" fillId="0" borderId="11" xfId="0" applyNumberFormat="1" applyFont="1" applyBorder="1" applyAlignment="1">
      <alignment horizontal="right" vertical="top" wrapText="1"/>
    </xf>
    <xf numFmtId="180" fontId="3" fillId="0" borderId="11" xfId="0" applyNumberFormat="1" applyFont="1" applyBorder="1" applyAlignment="1">
      <alignment horizontal="right" vertical="top" wrapText="1"/>
    </xf>
    <xf numFmtId="1" fontId="3" fillId="0" borderId="3" xfId="0" applyNumberFormat="1" applyFont="1" applyBorder="1" applyAlignment="1">
      <alignment horizontal="right" vertical="top" wrapText="1"/>
    </xf>
    <xf numFmtId="2" fontId="3" fillId="0" borderId="14" xfId="0" applyNumberFormat="1" applyFont="1" applyBorder="1" applyAlignment="1">
      <alignment horizontal="left" vertical="top" wrapText="1"/>
    </xf>
    <xf numFmtId="2" fontId="3" fillId="0" borderId="8" xfId="0" applyNumberFormat="1" applyFont="1" applyBorder="1" applyAlignment="1">
      <alignment horizontal="right" vertical="top" wrapText="1"/>
    </xf>
    <xf numFmtId="2" fontId="3" fillId="0" borderId="8" xfId="0" applyNumberFormat="1" applyFont="1" applyBorder="1" applyAlignment="1">
      <alignment horizontal="center" vertical="top" wrapText="1"/>
    </xf>
    <xf numFmtId="2" fontId="3" fillId="0" borderId="13" xfId="0" applyNumberFormat="1" applyFont="1" applyBorder="1" applyAlignment="1">
      <alignment horizontal="left" vertical="top" wrapText="1"/>
    </xf>
    <xf numFmtId="2" fontId="3" fillId="0" borderId="14" xfId="0" applyNumberFormat="1" applyFont="1" applyBorder="1" applyAlignment="1">
      <alignment horizontal="right" vertical="top" wrapText="1"/>
    </xf>
    <xf numFmtId="1" fontId="3" fillId="0" borderId="13" xfId="0" applyNumberFormat="1" applyFont="1" applyBorder="1" applyAlignment="1">
      <alignment horizontal="right" vertical="top" wrapText="1"/>
    </xf>
    <xf numFmtId="180" fontId="3" fillId="0" borderId="14" xfId="0" applyNumberFormat="1" applyFont="1" applyBorder="1" applyAlignment="1">
      <alignment horizontal="right" vertical="top" wrapText="1"/>
    </xf>
    <xf numFmtId="180" fontId="3" fillId="0" borderId="13" xfId="0" applyNumberFormat="1" applyFont="1" applyBorder="1" applyAlignment="1">
      <alignment horizontal="right" vertical="top" wrapText="1"/>
    </xf>
    <xf numFmtId="184" fontId="0" fillId="0" borderId="4" xfId="0" applyNumberFormat="1" applyFill="1" applyBorder="1" applyAlignment="1" applyProtection="1">
      <alignment horizontal="right" vertical="top"/>
      <protection locked="0"/>
    </xf>
    <xf numFmtId="0" fontId="13" fillId="0" borderId="2" xfId="0" applyFont="1" applyBorder="1" applyAlignment="1">
      <alignment horizontal="center" vertical="top" wrapText="1"/>
    </xf>
    <xf numFmtId="0" fontId="13" fillId="0" borderId="3" xfId="0" applyFont="1" applyBorder="1" applyAlignment="1">
      <alignment horizontal="center" vertical="top" wrapText="1"/>
    </xf>
    <xf numFmtId="0" fontId="3" fillId="0" borderId="4" xfId="1" applyBorder="1" applyAlignment="1">
      <alignment horizontal="left" vertical="top"/>
    </xf>
    <xf numFmtId="0" fontId="177" fillId="0" borderId="4" xfId="0" applyFont="1" applyBorder="1" applyAlignment="1">
      <alignment horizontal="left" vertical="center"/>
    </xf>
    <xf numFmtId="0" fontId="178" fillId="0" borderId="4" xfId="0" applyFont="1" applyBorder="1" applyAlignment="1">
      <alignment horizontal="left" vertical="center"/>
    </xf>
    <xf numFmtId="0" fontId="179" fillId="0" borderId="4" xfId="0" applyFont="1" applyBorder="1" applyAlignment="1">
      <alignment horizontal="left" vertical="center"/>
    </xf>
    <xf numFmtId="0" fontId="177" fillId="0" borderId="4" xfId="0" applyFont="1" applyBorder="1" applyAlignment="1">
      <alignment horizontal="justify" vertical="center"/>
    </xf>
    <xf numFmtId="0" fontId="178" fillId="0" borderId="4" xfId="0" applyFont="1" applyBorder="1" applyAlignment="1">
      <alignment horizontal="justify" vertical="center"/>
    </xf>
    <xf numFmtId="184" fontId="1" fillId="0" borderId="4" xfId="1" applyNumberFormat="1" applyFont="1" applyBorder="1" applyAlignment="1">
      <alignment horizontal="right" vertical="top"/>
    </xf>
    <xf numFmtId="0" fontId="115" fillId="0" borderId="1" xfId="0" applyFont="1" applyBorder="1" applyAlignment="1">
      <alignment horizontal="center" vertical="center" wrapText="1"/>
    </xf>
    <xf numFmtId="0" fontId="161" fillId="0" borderId="9" xfId="0" applyFont="1" applyBorder="1" applyAlignment="1">
      <alignment horizontal="center" vertical="center" wrapText="1"/>
    </xf>
    <xf numFmtId="0" fontId="83" fillId="0" borderId="2" xfId="0" applyFont="1" applyBorder="1" applyAlignment="1">
      <alignment horizontal="center" vertical="center" wrapText="1"/>
    </xf>
    <xf numFmtId="0" fontId="0" fillId="0" borderId="6" xfId="0" applyBorder="1" applyAlignment="1">
      <alignment horizontal="center" vertical="center" wrapText="1"/>
    </xf>
    <xf numFmtId="0" fontId="83" fillId="0" borderId="6" xfId="0" applyFont="1" applyBorder="1" applyAlignment="1">
      <alignment horizontal="center" vertical="center" wrapText="1"/>
    </xf>
    <xf numFmtId="0" fontId="83" fillId="0" borderId="3" xfId="0" applyFont="1" applyBorder="1" applyAlignment="1">
      <alignment horizontal="center" vertical="center" wrapText="1"/>
    </xf>
    <xf numFmtId="0" fontId="28" fillId="0" borderId="0" xfId="0" applyNumberFormat="1" applyFont="1" applyFill="1" applyBorder="1" applyAlignment="1" applyProtection="1">
      <alignment horizontal="left" vertical="center"/>
      <protection locked="0"/>
    </xf>
    <xf numFmtId="0" fontId="0" fillId="0" borderId="0" xfId="0" applyNumberFormat="1" applyFill="1" applyBorder="1" applyAlignment="1" applyProtection="1">
      <alignment horizontal="left" vertical="center"/>
      <protection locked="0"/>
    </xf>
    <xf numFmtId="0" fontId="21" fillId="0" borderId="0" xfId="0" applyNumberFormat="1" applyFont="1" applyFill="1" applyBorder="1" applyAlignment="1" applyProtection="1">
      <alignment horizontal="left" vertical="center"/>
      <protection locked="0"/>
    </xf>
    <xf numFmtId="0" fontId="1" fillId="0" borderId="0" xfId="0" applyNumberFormat="1" applyFont="1" applyFill="1" applyBorder="1" applyAlignment="1" applyProtection="1">
      <alignment horizontal="left" vertical="center"/>
      <protection locked="0"/>
    </xf>
    <xf numFmtId="0" fontId="87" fillId="0" borderId="15" xfId="0" applyNumberFormat="1" applyFont="1" applyBorder="1" applyAlignment="1">
      <alignment horizontal="center" vertical="center"/>
    </xf>
    <xf numFmtId="0" fontId="87" fillId="0" borderId="7" xfId="0" applyNumberFormat="1" applyFont="1" applyBorder="1" applyAlignment="1">
      <alignment horizontal="center" vertical="center"/>
    </xf>
    <xf numFmtId="0" fontId="87" fillId="0" borderId="16" xfId="0" applyNumberFormat="1" applyFont="1" applyBorder="1" applyAlignment="1">
      <alignment horizontal="center" vertical="center"/>
    </xf>
    <xf numFmtId="0" fontId="87" fillId="0" borderId="12" xfId="0" applyNumberFormat="1" applyFont="1" applyBorder="1" applyAlignment="1">
      <alignment horizontal="center" vertical="center"/>
    </xf>
    <xf numFmtId="0" fontId="87" fillId="0" borderId="0" xfId="0" applyNumberFormat="1" applyFont="1" applyAlignment="1">
      <alignment horizontal="center" vertical="center"/>
    </xf>
    <xf numFmtId="0" fontId="87" fillId="0" borderId="11" xfId="0" applyNumberFormat="1" applyFont="1" applyBorder="1" applyAlignment="1">
      <alignment horizontal="center" vertical="center"/>
    </xf>
    <xf numFmtId="0" fontId="87" fillId="0" borderId="14" xfId="0" applyNumberFormat="1" applyFont="1" applyBorder="1" applyAlignment="1">
      <alignment horizontal="center" vertical="center"/>
    </xf>
    <xf numFmtId="0" fontId="87" fillId="0" borderId="8" xfId="0" applyNumberFormat="1" applyFont="1" applyBorder="1" applyAlignment="1">
      <alignment horizontal="center" vertical="center"/>
    </xf>
    <xf numFmtId="0" fontId="87" fillId="0" borderId="13" xfId="0" applyNumberFormat="1" applyFont="1" applyBorder="1" applyAlignment="1">
      <alignment horizontal="center" vertical="center"/>
    </xf>
    <xf numFmtId="0" fontId="1" fillId="0" borderId="0" xfId="0" applyFont="1" applyAlignment="1">
      <alignment horizontal="left" vertical="top" wrapText="1" indent="1"/>
    </xf>
    <xf numFmtId="0" fontId="0" fillId="0" borderId="1" xfId="0" applyBorder="1" applyAlignment="1">
      <alignment horizontal="center" vertical="top" wrapText="1"/>
    </xf>
    <xf numFmtId="0" fontId="83" fillId="0" borderId="1" xfId="0" applyFont="1" applyBorder="1" applyAlignment="1">
      <alignment horizontal="center" vertical="top" wrapText="1"/>
    </xf>
    <xf numFmtId="0" fontId="115" fillId="0" borderId="1" xfId="0" applyFont="1" applyBorder="1" applyAlignment="1">
      <alignment horizontal="center" vertical="top" wrapText="1"/>
    </xf>
    <xf numFmtId="0" fontId="1" fillId="0" borderId="1" xfId="0" applyFont="1" applyBorder="1" applyAlignment="1">
      <alignment horizontal="center" vertical="top" wrapText="1"/>
    </xf>
    <xf numFmtId="0" fontId="25" fillId="0" borderId="1" xfId="0" applyFont="1" applyBorder="1" applyAlignment="1">
      <alignment horizontal="center" vertical="top" wrapText="1"/>
    </xf>
    <xf numFmtId="0" fontId="1" fillId="0" borderId="9" xfId="0" applyFont="1" applyBorder="1" applyAlignment="1">
      <alignment horizontal="center" vertical="top" wrapText="1"/>
    </xf>
    <xf numFmtId="0" fontId="2" fillId="0" borderId="9" xfId="0" applyFont="1" applyBorder="1" applyAlignment="1">
      <alignment horizontal="center" vertical="top" wrapText="1"/>
    </xf>
    <xf numFmtId="0" fontId="3" fillId="0" borderId="9" xfId="0" applyFont="1" applyBorder="1" applyAlignment="1">
      <alignment horizontal="center" vertical="top" wrapText="1"/>
    </xf>
    <xf numFmtId="0" fontId="15" fillId="0" borderId="5" xfId="0" applyFont="1" applyBorder="1" applyAlignment="1">
      <alignment horizontal="left" vertical="top" wrapText="1"/>
    </xf>
    <xf numFmtId="0" fontId="15" fillId="0" borderId="10" xfId="0" applyFont="1" applyBorder="1" applyAlignment="1">
      <alignment horizontal="left" vertical="top" wrapText="1"/>
    </xf>
    <xf numFmtId="0" fontId="15" fillId="0" borderId="5" xfId="0" applyFont="1" applyBorder="1" applyAlignment="1">
      <alignment horizontal="right" vertical="top" wrapText="1"/>
    </xf>
    <xf numFmtId="0" fontId="15" fillId="0" borderId="10" xfId="0" applyFont="1" applyBorder="1" applyAlignment="1">
      <alignment horizontal="right" vertical="top" wrapText="1"/>
    </xf>
    <xf numFmtId="0" fontId="13" fillId="0" borderId="5" xfId="0" applyFont="1" applyBorder="1" applyAlignment="1">
      <alignment horizontal="left" vertical="top" wrapText="1"/>
    </xf>
    <xf numFmtId="0" fontId="13" fillId="0" borderId="10" xfId="0" applyFont="1" applyBorder="1" applyAlignment="1">
      <alignment horizontal="left" vertical="top" wrapText="1"/>
    </xf>
    <xf numFmtId="0" fontId="14" fillId="0" borderId="5" xfId="0" applyFont="1" applyBorder="1" applyAlignment="1">
      <alignment horizontal="center" vertical="top" wrapText="1"/>
    </xf>
    <xf numFmtId="0" fontId="14" fillId="0" borderId="10" xfId="0" applyFont="1" applyBorder="1" applyAlignment="1">
      <alignment horizontal="center" vertical="top" wrapText="1"/>
    </xf>
    <xf numFmtId="0" fontId="12" fillId="0" borderId="5" xfId="0" applyFont="1" applyBorder="1" applyAlignment="1">
      <alignment horizontal="right" vertical="top" wrapText="1"/>
    </xf>
    <xf numFmtId="0" fontId="12" fillId="0" borderId="10" xfId="0" applyFont="1" applyBorder="1" applyAlignment="1">
      <alignment horizontal="right" vertical="top" wrapText="1"/>
    </xf>
    <xf numFmtId="178" fontId="147" fillId="0" borderId="0" xfId="0" applyNumberFormat="1" applyFont="1" applyAlignment="1">
      <alignment horizontal="left" vertical="top" indent="4" shrinkToFit="1"/>
    </xf>
    <xf numFmtId="178" fontId="147" fillId="0" borderId="7" xfId="0" applyNumberFormat="1" applyFont="1" applyBorder="1" applyAlignment="1">
      <alignment horizontal="left" vertical="top" indent="4" shrinkToFit="1"/>
    </xf>
    <xf numFmtId="0" fontId="2" fillId="0" borderId="0" xfId="0" applyFont="1" applyAlignment="1">
      <alignment horizontal="left" vertical="top" wrapText="1"/>
    </xf>
    <xf numFmtId="178" fontId="147" fillId="0" borderId="8" xfId="0" applyNumberFormat="1" applyFont="1" applyBorder="1" applyAlignment="1">
      <alignment horizontal="left" vertical="top" indent="4" shrinkToFit="1"/>
    </xf>
    <xf numFmtId="0" fontId="95" fillId="7" borderId="0" xfId="0" applyFont="1" applyFill="1" applyAlignment="1">
      <alignment horizontal="left" vertical="top" wrapText="1" indent="2"/>
    </xf>
    <xf numFmtId="0" fontId="95" fillId="7" borderId="0" xfId="0" applyFont="1" applyFill="1" applyAlignment="1">
      <alignment horizontal="center" vertical="top" wrapText="1"/>
    </xf>
    <xf numFmtId="0" fontId="95" fillId="0" borderId="8" xfId="0" applyFont="1" applyBorder="1" applyAlignment="1">
      <alignment horizontal="left" vertical="top" wrapText="1" indent="2"/>
    </xf>
    <xf numFmtId="0" fontId="95" fillId="0" borderId="0" xfId="0" applyFont="1" applyAlignment="1">
      <alignment horizontal="left" vertical="top" wrapText="1" indent="2"/>
    </xf>
    <xf numFmtId="0" fontId="95" fillId="0" borderId="0" xfId="0" applyFont="1" applyAlignment="1">
      <alignment horizontal="center" vertical="top" wrapText="1"/>
    </xf>
    <xf numFmtId="0" fontId="95" fillId="0" borderId="41" xfId="0" applyFont="1" applyBorder="1" applyAlignment="1">
      <alignment horizontal="left" vertical="top" wrapText="1" indent="2"/>
    </xf>
    <xf numFmtId="0" fontId="0" fillId="6" borderId="5" xfId="0" applyFill="1" applyBorder="1" applyAlignment="1">
      <alignment horizontal="left" vertical="top" wrapText="1" indent="2"/>
    </xf>
    <xf numFmtId="0" fontId="0" fillId="6" borderId="10" xfId="0" applyFill="1" applyBorder="1" applyAlignment="1">
      <alignment horizontal="left" vertical="top" wrapText="1" indent="2"/>
    </xf>
    <xf numFmtId="0" fontId="88" fillId="0" borderId="9" xfId="0" applyFont="1" applyBorder="1" applyAlignment="1">
      <alignment horizontal="left" vertical="top" wrapText="1" indent="2"/>
    </xf>
    <xf numFmtId="0" fontId="95" fillId="7" borderId="7" xfId="0" applyFont="1" applyFill="1" applyBorder="1" applyAlignment="1">
      <alignment horizontal="left" vertical="top" wrapText="1" indent="2"/>
    </xf>
    <xf numFmtId="0" fontId="15" fillId="0" borderId="4" xfId="0" applyFont="1" applyBorder="1" applyAlignment="1">
      <alignment horizontal="center" vertical="top" wrapText="1"/>
    </xf>
    <xf numFmtId="0" fontId="136" fillId="0" borderId="1" xfId="0" applyFont="1" applyBorder="1" applyAlignment="1">
      <alignment horizontal="center" vertical="top" wrapText="1"/>
    </xf>
    <xf numFmtId="0" fontId="13" fillId="0" borderId="0" xfId="0" applyFont="1" applyAlignment="1">
      <alignment vertical="top" wrapText="1"/>
    </xf>
    <xf numFmtId="0" fontId="13" fillId="0" borderId="4" xfId="0" applyFont="1" applyBorder="1" applyAlignment="1">
      <alignment horizontal="center" vertical="top" wrapText="1"/>
    </xf>
    <xf numFmtId="0" fontId="13" fillId="0" borderId="1" xfId="0" applyFont="1" applyBorder="1" applyAlignment="1">
      <alignment horizontal="left" vertical="top" wrapText="1"/>
    </xf>
    <xf numFmtId="0" fontId="14" fillId="0" borderId="1" xfId="0" applyFont="1" applyBorder="1" applyAlignment="1">
      <alignment horizontal="center" vertical="top" wrapText="1"/>
    </xf>
    <xf numFmtId="0" fontId="0" fillId="0" borderId="0" xfId="0" applyAlignment="1">
      <alignment horizontal="left" vertical="top" wrapText="1" indent="1"/>
    </xf>
    <xf numFmtId="178" fontId="38" fillId="0" borderId="33" xfId="0" applyNumberFormat="1" applyFont="1" applyBorder="1" applyAlignment="1">
      <alignment horizontal="center" vertical="top" shrinkToFit="1"/>
    </xf>
    <xf numFmtId="178" fontId="38" fillId="0" borderId="31" xfId="0" applyNumberFormat="1" applyFont="1" applyBorder="1" applyAlignment="1">
      <alignment horizontal="center" vertical="top" shrinkToFit="1"/>
    </xf>
    <xf numFmtId="178" fontId="38" fillId="0" borderId="31" xfId="0" applyNumberFormat="1" applyFont="1" applyBorder="1" applyAlignment="1">
      <alignment horizontal="right" vertical="top" shrinkToFit="1"/>
    </xf>
    <xf numFmtId="178" fontId="38" fillId="0" borderId="32" xfId="0" applyNumberFormat="1" applyFont="1" applyBorder="1" applyAlignment="1">
      <alignment horizontal="right" vertical="top" shrinkToFit="1"/>
    </xf>
    <xf numFmtId="178" fontId="38" fillId="0" borderId="27" xfId="0" applyNumberFormat="1" applyFont="1" applyBorder="1" applyAlignment="1">
      <alignment horizontal="center" vertical="top" shrinkToFit="1"/>
    </xf>
    <xf numFmtId="178" fontId="38" fillId="0" borderId="25" xfId="0" applyNumberFormat="1" applyFont="1" applyBorder="1" applyAlignment="1">
      <alignment horizontal="center" vertical="top" shrinkToFit="1"/>
    </xf>
    <xf numFmtId="178" fontId="38" fillId="0" borderId="25" xfId="0" applyNumberFormat="1" applyFont="1" applyBorder="1" applyAlignment="1">
      <alignment horizontal="right" vertical="top" shrinkToFit="1"/>
    </xf>
    <xf numFmtId="178" fontId="38" fillId="0" borderId="26" xfId="0" applyNumberFormat="1" applyFont="1" applyBorder="1" applyAlignment="1">
      <alignment horizontal="right" vertical="top" shrinkToFit="1"/>
    </xf>
    <xf numFmtId="0" fontId="0" fillId="0" borderId="20" xfId="0" applyBorder="1" applyAlignment="1">
      <alignment horizontal="center" vertical="top" wrapText="1"/>
    </xf>
    <xf numFmtId="0" fontId="0" fillId="0" borderId="19" xfId="0" applyBorder="1" applyAlignment="1">
      <alignment horizontal="center" vertical="top" wrapText="1"/>
    </xf>
    <xf numFmtId="0" fontId="32" fillId="0" borderId="20" xfId="0" applyFont="1" applyBorder="1" applyAlignment="1">
      <alignment horizontal="left" vertical="center" wrapText="1" indent="1"/>
    </xf>
    <xf numFmtId="0" fontId="32" fillId="0" borderId="21" xfId="0" applyFont="1" applyBorder="1" applyAlignment="1">
      <alignment horizontal="left" vertical="center" wrapText="1" indent="1"/>
    </xf>
    <xf numFmtId="0" fontId="32" fillId="0" borderId="19" xfId="0" applyFont="1" applyBorder="1" applyAlignment="1">
      <alignment horizontal="left" vertical="center" wrapText="1" indent="1"/>
    </xf>
    <xf numFmtId="0" fontId="0" fillId="0" borderId="20" xfId="0" applyBorder="1" applyAlignment="1">
      <alignment horizontal="left" vertical="top" wrapText="1" indent="1"/>
    </xf>
    <xf numFmtId="0" fontId="0" fillId="0" borderId="21" xfId="0" applyBorder="1" applyAlignment="1">
      <alignment horizontal="left" vertical="top" wrapText="1" indent="1"/>
    </xf>
    <xf numFmtId="0" fontId="0" fillId="0" borderId="24" xfId="0" applyBorder="1" applyAlignment="1">
      <alignment horizontal="center" vertical="top" wrapText="1"/>
    </xf>
    <xf numFmtId="0" fontId="0" fillId="0" borderId="22" xfId="0" applyBorder="1" applyAlignment="1">
      <alignment horizontal="center" vertical="top" wrapText="1"/>
    </xf>
    <xf numFmtId="0" fontId="0" fillId="0" borderId="22" xfId="0" applyBorder="1" applyAlignment="1">
      <alignment horizontal="right" vertical="top" wrapText="1" indent="1"/>
    </xf>
    <xf numFmtId="0" fontId="0" fillId="0" borderId="23" xfId="0" applyBorder="1" applyAlignment="1">
      <alignment horizontal="right" vertical="top" wrapText="1" indent="1"/>
    </xf>
    <xf numFmtId="0" fontId="0" fillId="0" borderId="22" xfId="0" applyBorder="1" applyAlignment="1">
      <alignment horizontal="left" vertical="top" wrapText="1" indent="1"/>
    </xf>
    <xf numFmtId="0" fontId="0" fillId="0" borderId="20" xfId="0" applyBorder="1" applyAlignment="1">
      <alignment horizontal="left" vertical="top" wrapText="1" indent="2"/>
    </xf>
    <xf numFmtId="0" fontId="0" fillId="0" borderId="21" xfId="0" applyBorder="1" applyAlignment="1">
      <alignment horizontal="left" vertical="top" wrapText="1" indent="2"/>
    </xf>
    <xf numFmtId="0" fontId="0" fillId="0" borderId="19" xfId="0" applyBorder="1" applyAlignment="1">
      <alignment horizontal="left" vertical="top" wrapText="1" indent="2"/>
    </xf>
    <xf numFmtId="178" fontId="38" fillId="0" borderId="25" xfId="0" applyNumberFormat="1" applyFont="1" applyBorder="1" applyAlignment="1">
      <alignment horizontal="left" vertical="top" indent="1" shrinkToFit="1"/>
    </xf>
    <xf numFmtId="178" fontId="38" fillId="0" borderId="31" xfId="0" applyNumberFormat="1" applyFont="1" applyBorder="1" applyAlignment="1">
      <alignment horizontal="left" vertical="top" indent="1" shrinkToFit="1"/>
    </xf>
    <xf numFmtId="0" fontId="41" fillId="3" borderId="0" xfId="2" applyFont="1" applyFill="1" applyAlignment="1">
      <alignment horizontal="center"/>
    </xf>
    <xf numFmtId="0" fontId="41" fillId="4" borderId="0" xfId="2" applyFont="1" applyFill="1" applyAlignment="1">
      <alignment horizontal="center"/>
    </xf>
    <xf numFmtId="0" fontId="39" fillId="4" borderId="0" xfId="2" applyFill="1" applyAlignment="1">
      <alignment horizontal="center"/>
    </xf>
    <xf numFmtId="0" fontId="39" fillId="0" borderId="0" xfId="2" applyAlignment="1">
      <alignment horizontal="center"/>
    </xf>
    <xf numFmtId="2" fontId="39" fillId="5" borderId="0" xfId="2" applyNumberFormat="1" applyFill="1" applyAlignment="1">
      <alignment horizontal="center"/>
    </xf>
    <xf numFmtId="1" fontId="40" fillId="4" borderId="0" xfId="2" applyNumberFormat="1" applyFont="1" applyFill="1" applyAlignment="1">
      <alignment horizontal="center"/>
    </xf>
    <xf numFmtId="0" fontId="41" fillId="5" borderId="0" xfId="2" applyFont="1" applyFill="1" applyAlignment="1">
      <alignment horizontal="center"/>
    </xf>
    <xf numFmtId="0" fontId="39" fillId="5" borderId="0" xfId="2" applyFill="1" applyAlignment="1">
      <alignment horizontal="center"/>
    </xf>
    <xf numFmtId="0" fontId="41" fillId="0" borderId="0" xfId="2" applyFont="1" applyAlignment="1">
      <alignment horizontal="center"/>
    </xf>
    <xf numFmtId="0" fontId="3" fillId="0" borderId="17" xfId="0" applyFont="1" applyBorder="1" applyAlignment="1">
      <alignment horizontal="center" vertical="top"/>
    </xf>
    <xf numFmtId="0" fontId="3" fillId="0" borderId="18" xfId="0" applyFont="1" applyBorder="1" applyAlignment="1">
      <alignment horizontal="center" vertical="top"/>
    </xf>
    <xf numFmtId="0" fontId="3" fillId="0" borderId="17" xfId="0" applyFont="1" applyBorder="1" applyAlignment="1">
      <alignment horizontal="center" vertical="top" wrapText="1"/>
    </xf>
    <xf numFmtId="0" fontId="0" fillId="0" borderId="18" xfId="0" applyBorder="1" applyAlignment="1">
      <alignment horizontal="center" vertical="top" wrapText="1"/>
    </xf>
    <xf numFmtId="0" fontId="3" fillId="0" borderId="18" xfId="0" applyFont="1" applyBorder="1" applyAlignment="1">
      <alignment horizontal="center" vertical="top" wrapText="1"/>
    </xf>
  </cellXfs>
  <cellStyles count="3">
    <cellStyle name="標準" xfId="0" builtinId="0"/>
    <cellStyle name="標準 2" xfId="1" xr:uid="{00000000-0005-0000-0000-000001000000}"/>
    <cellStyle name="標準 3" xfId="2" xr:uid="{18CBB4EA-56C1-4CF6-88B0-6604433E3E2A}"/>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14</xdr:col>
      <xdr:colOff>244079</xdr:colOff>
      <xdr:row>7</xdr:row>
      <xdr:rowOff>77391</xdr:rowOff>
    </xdr:from>
    <xdr:to>
      <xdr:col>17</xdr:col>
      <xdr:colOff>148828</xdr:colOff>
      <xdr:row>14</xdr:row>
      <xdr:rowOff>201175</xdr:rowOff>
    </xdr:to>
    <xdr:sp macro="" textlink="">
      <xdr:nvSpPr>
        <xdr:cNvPr id="3" name="吹き出し: 下矢印 2">
          <a:extLst>
            <a:ext uri="{FF2B5EF4-FFF2-40B4-BE49-F238E27FC236}">
              <a16:creationId xmlns:a16="http://schemas.microsoft.com/office/drawing/2014/main" id="{FEC8EC73-A353-45C7-BA14-F47995A84746}"/>
            </a:ext>
          </a:extLst>
        </xdr:cNvPr>
        <xdr:cNvSpPr/>
      </xdr:nvSpPr>
      <xdr:spPr>
        <a:xfrm>
          <a:off x="7492604" y="1401366"/>
          <a:ext cx="1409699" cy="1257259"/>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3</xdr:col>
      <xdr:colOff>11907</xdr:colOff>
      <xdr:row>0</xdr:row>
      <xdr:rowOff>142875</xdr:rowOff>
    </xdr:from>
    <xdr:to>
      <xdr:col>8</xdr:col>
      <xdr:colOff>434579</xdr:colOff>
      <xdr:row>4</xdr:row>
      <xdr:rowOff>29765</xdr:rowOff>
    </xdr:to>
    <xdr:sp macro="" textlink="">
      <xdr:nvSpPr>
        <xdr:cNvPr id="4" name="吹き出し: 左矢印 3">
          <a:extLst>
            <a:ext uri="{FF2B5EF4-FFF2-40B4-BE49-F238E27FC236}">
              <a16:creationId xmlns:a16="http://schemas.microsoft.com/office/drawing/2014/main" id="{853A72CB-1295-4686-AF01-CBD0576475B2}"/>
            </a:ext>
          </a:extLst>
        </xdr:cNvPr>
        <xdr:cNvSpPr/>
      </xdr:nvSpPr>
      <xdr:spPr>
        <a:xfrm>
          <a:off x="1659732" y="142875"/>
          <a:ext cx="3280172" cy="629840"/>
        </a:xfrm>
        <a:prstGeom prst="leftArrowCallout">
          <a:avLst>
            <a:gd name="adj1" fmla="val 25000"/>
            <a:gd name="adj2" fmla="val 25000"/>
            <a:gd name="adj3" fmla="val 25000"/>
            <a:gd name="adj4" fmla="val 9060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Coordinating Lab : Put ID</a:t>
          </a:r>
          <a:r>
            <a:rPr kumimoji="1" lang="en-US" altLang="ja-JP" sz="1100" baseline="0"/>
            <a:t> number of comparison and b</a:t>
          </a:r>
          <a:r>
            <a:rPr kumimoji="1" lang="en-US" altLang="ja-JP" sz="1100"/>
            <a:t>rief</a:t>
          </a:r>
          <a:r>
            <a:rPr kumimoji="1" lang="en-US" altLang="ja-JP" sz="1100" baseline="0"/>
            <a:t> expression (Target analyte, its amout fraction, and matrix)</a:t>
          </a:r>
          <a:endParaRPr kumimoji="1" lang="ja-JP" altLang="en-US" sz="1100"/>
        </a:p>
      </xdr:txBody>
    </xdr:sp>
    <xdr:clientData/>
  </xdr:twoCellAnchor>
  <xdr:twoCellAnchor>
    <xdr:from>
      <xdr:col>3</xdr:col>
      <xdr:colOff>5953</xdr:colOff>
      <xdr:row>4</xdr:row>
      <xdr:rowOff>134541</xdr:rowOff>
    </xdr:from>
    <xdr:to>
      <xdr:col>6</xdr:col>
      <xdr:colOff>357188</xdr:colOff>
      <xdr:row>8</xdr:row>
      <xdr:rowOff>35720</xdr:rowOff>
    </xdr:to>
    <xdr:sp macro="" textlink="">
      <xdr:nvSpPr>
        <xdr:cNvPr id="5" name="吹き出し: 左矢印 4">
          <a:extLst>
            <a:ext uri="{FF2B5EF4-FFF2-40B4-BE49-F238E27FC236}">
              <a16:creationId xmlns:a16="http://schemas.microsoft.com/office/drawing/2014/main" id="{1649B984-8090-410A-ACBB-55468E2E1831}"/>
            </a:ext>
          </a:extLst>
        </xdr:cNvPr>
        <xdr:cNvSpPr/>
      </xdr:nvSpPr>
      <xdr:spPr>
        <a:xfrm>
          <a:off x="1660922" y="872729"/>
          <a:ext cx="2101454" cy="639366"/>
        </a:xfrm>
        <a:prstGeom prst="leftArrowCallout">
          <a:avLst>
            <a:gd name="adj1" fmla="val 25000"/>
            <a:gd name="adj2" fmla="val 25000"/>
            <a:gd name="adj3" fmla="val 25000"/>
            <a:gd name="adj4" fmla="val 8516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lt1"/>
              </a:solidFill>
              <a:effectLst/>
              <a:latin typeface="+mn-lt"/>
              <a:ea typeface="+mn-ea"/>
              <a:cs typeface="+mn-cs"/>
            </a:rPr>
            <a:t>Coordinating Lab : </a:t>
          </a:r>
          <a:r>
            <a:rPr kumimoji="1" lang="en-US" altLang="ja-JP" sz="1100"/>
            <a:t>Copy HFTLS from final</a:t>
          </a:r>
          <a:r>
            <a:rPr kumimoji="1" lang="en-US" altLang="ja-JP" sz="1100" baseline="0"/>
            <a:t> report.</a:t>
          </a:r>
          <a:endParaRPr kumimoji="1" lang="ja-JP" altLang="en-US" sz="1100"/>
        </a:p>
      </xdr:txBody>
    </xdr:sp>
    <xdr:clientData/>
  </xdr:twoCellAnchor>
  <xdr:twoCellAnchor>
    <xdr:from>
      <xdr:col>0</xdr:col>
      <xdr:colOff>17859</xdr:colOff>
      <xdr:row>10</xdr:row>
      <xdr:rowOff>95250</xdr:rowOff>
    </xdr:from>
    <xdr:to>
      <xdr:col>7</xdr:col>
      <xdr:colOff>446484</xdr:colOff>
      <xdr:row>14</xdr:row>
      <xdr:rowOff>178596</xdr:rowOff>
    </xdr:to>
    <xdr:sp macro="" textlink="">
      <xdr:nvSpPr>
        <xdr:cNvPr id="6" name="吹き出し: 下矢印 5">
          <a:extLst>
            <a:ext uri="{FF2B5EF4-FFF2-40B4-BE49-F238E27FC236}">
              <a16:creationId xmlns:a16="http://schemas.microsoft.com/office/drawing/2014/main" id="{CC4AC169-59D3-4597-84E2-5612534A6742}"/>
            </a:ext>
          </a:extLst>
        </xdr:cNvPr>
        <xdr:cNvSpPr/>
      </xdr:nvSpPr>
      <xdr:spPr>
        <a:xfrm>
          <a:off x="17859" y="1893094"/>
          <a:ext cx="4417219" cy="726283"/>
        </a:xfrm>
        <a:prstGeom prst="down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lt1"/>
              </a:solidFill>
              <a:effectLst/>
              <a:latin typeface="+mn-lt"/>
              <a:ea typeface="+mn-ea"/>
              <a:cs typeface="+mn-cs"/>
            </a:rPr>
            <a:t>Coordinating Lab :  Fill data into</a:t>
          </a:r>
          <a:r>
            <a:rPr kumimoji="1" lang="en-US" altLang="ja-JP" sz="1100" baseline="0">
              <a:solidFill>
                <a:schemeClr val="lt1"/>
              </a:solidFill>
              <a:effectLst/>
              <a:latin typeface="+mn-lt"/>
              <a:ea typeface="+mn-ea"/>
              <a:cs typeface="+mn-cs"/>
            </a:rPr>
            <a:t> columns from A to H.  Only "</a:t>
          </a:r>
          <a:r>
            <a:rPr kumimoji="1" lang="en-US" altLang="ja-JP" sz="1100" b="1">
              <a:solidFill>
                <a:srgbClr val="FFFF00"/>
              </a:solidFill>
              <a:effectLst/>
              <a:latin typeface="+mn-lt"/>
              <a:ea typeface="+mn-ea"/>
              <a:cs typeface="+mn-cs"/>
            </a:rPr>
            <a:t>micro</a:t>
          </a:r>
          <a:r>
            <a:rPr kumimoji="1" lang="en-US" altLang="ja-JP" sz="1100">
              <a:solidFill>
                <a:schemeClr val="lt1"/>
              </a:solidFill>
              <a:effectLst/>
              <a:latin typeface="+mn-lt"/>
              <a:ea typeface="+mn-ea"/>
              <a:cs typeface="+mn-cs"/>
            </a:rPr>
            <a:t>-mol/mol"</a:t>
          </a:r>
          <a:r>
            <a:rPr kumimoji="1" lang="en-US" altLang="ja-JP" sz="1100" baseline="0">
              <a:solidFill>
                <a:schemeClr val="lt1"/>
              </a:solidFill>
              <a:effectLst/>
              <a:latin typeface="+mn-lt"/>
              <a:ea typeface="+mn-ea"/>
              <a:cs typeface="+mn-cs"/>
            </a:rPr>
            <a:t> is allowed.</a:t>
          </a:r>
        </a:p>
      </xdr:txBody>
    </xdr:sp>
    <xdr:clientData/>
  </xdr:twoCellAnchor>
  <xdr:twoCellAnchor>
    <xdr:from>
      <xdr:col>1</xdr:col>
      <xdr:colOff>47625</xdr:colOff>
      <xdr:row>38</xdr:row>
      <xdr:rowOff>41670</xdr:rowOff>
    </xdr:from>
    <xdr:to>
      <xdr:col>5</xdr:col>
      <xdr:colOff>196453</xdr:colOff>
      <xdr:row>43</xdr:row>
      <xdr:rowOff>125014</xdr:rowOff>
    </xdr:to>
    <xdr:sp macro="" textlink="">
      <xdr:nvSpPr>
        <xdr:cNvPr id="7" name="吹き出し: 左矢印 6">
          <a:extLst>
            <a:ext uri="{FF2B5EF4-FFF2-40B4-BE49-F238E27FC236}">
              <a16:creationId xmlns:a16="http://schemas.microsoft.com/office/drawing/2014/main" id="{5652BEC5-3009-4D7C-9124-D9E3D5B662FC}"/>
            </a:ext>
          </a:extLst>
        </xdr:cNvPr>
        <xdr:cNvSpPr/>
      </xdr:nvSpPr>
      <xdr:spPr>
        <a:xfrm>
          <a:off x="583406" y="7369967"/>
          <a:ext cx="2434828" cy="976313"/>
        </a:xfrm>
        <a:prstGeom prst="leftArrowCallout">
          <a:avLst>
            <a:gd name="adj1" fmla="val 25000"/>
            <a:gd name="adj2" fmla="val 25000"/>
            <a:gd name="adj3" fmla="val 25000"/>
            <a:gd name="adj4" fmla="val 8516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lt1"/>
              </a:solidFill>
              <a:effectLst/>
              <a:latin typeface="+mn-lt"/>
              <a:ea typeface="+mn-ea"/>
              <a:cs typeface="+mn-cs"/>
            </a:rPr>
            <a:t>Coordinating Lab :  When a comparison</a:t>
          </a:r>
          <a:r>
            <a:rPr kumimoji="1" lang="en-US" altLang="ja-JP" sz="1100" baseline="0">
              <a:solidFill>
                <a:schemeClr val="lt1"/>
              </a:solidFill>
              <a:effectLst/>
              <a:latin typeface="+mn-lt"/>
              <a:ea typeface="+mn-ea"/>
              <a:cs typeface="+mn-cs"/>
            </a:rPr>
            <a:t> has multi-target components, copy lines from L15-L37 and paste them. (refer to CCQM-K10.2018).</a:t>
          </a: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244079</xdr:colOff>
      <xdr:row>7</xdr:row>
      <xdr:rowOff>77391</xdr:rowOff>
    </xdr:from>
    <xdr:to>
      <xdr:col>17</xdr:col>
      <xdr:colOff>148828</xdr:colOff>
      <xdr:row>14</xdr:row>
      <xdr:rowOff>201175</xdr:rowOff>
    </xdr:to>
    <xdr:sp macro="" textlink="">
      <xdr:nvSpPr>
        <xdr:cNvPr id="2" name="吹き出し: 下矢印 1">
          <a:extLst>
            <a:ext uri="{FF2B5EF4-FFF2-40B4-BE49-F238E27FC236}">
              <a16:creationId xmlns:a16="http://schemas.microsoft.com/office/drawing/2014/main" id="{F0C70C2A-12F4-44C2-9AA6-3CCAB54CA248}"/>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7" name="吹き出し: 下矢印 6">
          <a:extLst>
            <a:ext uri="{FF2B5EF4-FFF2-40B4-BE49-F238E27FC236}">
              <a16:creationId xmlns:a16="http://schemas.microsoft.com/office/drawing/2014/main" id="{0FFBADE7-8F07-4A47-8DAB-3A86FB077EA4}"/>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8" name="吹き出し: 下矢印 7">
          <a:extLst>
            <a:ext uri="{FF2B5EF4-FFF2-40B4-BE49-F238E27FC236}">
              <a16:creationId xmlns:a16="http://schemas.microsoft.com/office/drawing/2014/main" id="{54350084-9D24-4F75-83A6-7E75403900E5}"/>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9" name="吹き出し: 下矢印 8">
          <a:extLst>
            <a:ext uri="{FF2B5EF4-FFF2-40B4-BE49-F238E27FC236}">
              <a16:creationId xmlns:a16="http://schemas.microsoft.com/office/drawing/2014/main" id="{7ACB6293-81E3-4ABB-8F2B-47859797B4BA}"/>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244079</xdr:colOff>
      <xdr:row>7</xdr:row>
      <xdr:rowOff>77391</xdr:rowOff>
    </xdr:from>
    <xdr:to>
      <xdr:col>17</xdr:col>
      <xdr:colOff>148828</xdr:colOff>
      <xdr:row>14</xdr:row>
      <xdr:rowOff>201175</xdr:rowOff>
    </xdr:to>
    <xdr:sp macro="" textlink="">
      <xdr:nvSpPr>
        <xdr:cNvPr id="2" name="吹き出し: 下矢印 1">
          <a:extLst>
            <a:ext uri="{FF2B5EF4-FFF2-40B4-BE49-F238E27FC236}">
              <a16:creationId xmlns:a16="http://schemas.microsoft.com/office/drawing/2014/main" id="{2633A102-1B31-48BF-BA49-BC9B85A8ED9E}"/>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7" name="吹き出し: 下矢印 6">
          <a:extLst>
            <a:ext uri="{FF2B5EF4-FFF2-40B4-BE49-F238E27FC236}">
              <a16:creationId xmlns:a16="http://schemas.microsoft.com/office/drawing/2014/main" id="{5BD557FB-7BAF-4C4C-BE76-1B279BDBF436}"/>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8" name="吹き出し: 下矢印 7">
          <a:extLst>
            <a:ext uri="{FF2B5EF4-FFF2-40B4-BE49-F238E27FC236}">
              <a16:creationId xmlns:a16="http://schemas.microsoft.com/office/drawing/2014/main" id="{610BD041-EA0D-4A13-BC31-2851B7D00E6D}"/>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9" name="吹き出し: 下矢印 8">
          <a:extLst>
            <a:ext uri="{FF2B5EF4-FFF2-40B4-BE49-F238E27FC236}">
              <a16:creationId xmlns:a16="http://schemas.microsoft.com/office/drawing/2014/main" id="{1A9A01E4-144E-437B-9E1F-D84D1361B893}"/>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10" name="吹き出し: 下矢印 9">
          <a:extLst>
            <a:ext uri="{FF2B5EF4-FFF2-40B4-BE49-F238E27FC236}">
              <a16:creationId xmlns:a16="http://schemas.microsoft.com/office/drawing/2014/main" id="{B63F8118-F2BC-4375-AC2F-0BDF0D2B2196}"/>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244079</xdr:colOff>
      <xdr:row>7</xdr:row>
      <xdr:rowOff>77391</xdr:rowOff>
    </xdr:from>
    <xdr:to>
      <xdr:col>17</xdr:col>
      <xdr:colOff>148828</xdr:colOff>
      <xdr:row>14</xdr:row>
      <xdr:rowOff>201175</xdr:rowOff>
    </xdr:to>
    <xdr:sp macro="" textlink="">
      <xdr:nvSpPr>
        <xdr:cNvPr id="2" name="吹き出し: 下矢印 1">
          <a:extLst>
            <a:ext uri="{FF2B5EF4-FFF2-40B4-BE49-F238E27FC236}">
              <a16:creationId xmlns:a16="http://schemas.microsoft.com/office/drawing/2014/main" id="{616B3395-19EB-49F0-A53E-AC1A9F1E51A7}"/>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7" name="吹き出し: 下矢印 6">
          <a:extLst>
            <a:ext uri="{FF2B5EF4-FFF2-40B4-BE49-F238E27FC236}">
              <a16:creationId xmlns:a16="http://schemas.microsoft.com/office/drawing/2014/main" id="{3EC5B59B-9151-44C0-A426-7DB199882A93}"/>
            </a:ext>
          </a:extLst>
        </xdr:cNvPr>
        <xdr:cNvSpPr/>
      </xdr:nvSpPr>
      <xdr:spPr>
        <a:xfrm>
          <a:off x="8302229" y="14299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8" name="吹き出し: 下矢印 7">
          <a:extLst>
            <a:ext uri="{FF2B5EF4-FFF2-40B4-BE49-F238E27FC236}">
              <a16:creationId xmlns:a16="http://schemas.microsoft.com/office/drawing/2014/main" id="{C22E9AD9-8FBF-4AC7-8475-50AA560FA185}"/>
            </a:ext>
          </a:extLst>
        </xdr:cNvPr>
        <xdr:cNvSpPr/>
      </xdr:nvSpPr>
      <xdr:spPr>
        <a:xfrm>
          <a:off x="8302229" y="14299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9" name="吹き出し: 下矢印 8">
          <a:extLst>
            <a:ext uri="{FF2B5EF4-FFF2-40B4-BE49-F238E27FC236}">
              <a16:creationId xmlns:a16="http://schemas.microsoft.com/office/drawing/2014/main" id="{C2399043-646A-4668-90D5-9BD4B6C22543}"/>
            </a:ext>
          </a:extLst>
        </xdr:cNvPr>
        <xdr:cNvSpPr/>
      </xdr:nvSpPr>
      <xdr:spPr>
        <a:xfrm>
          <a:off x="8302229" y="14299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10" name="吹き出し: 下矢印 9">
          <a:extLst>
            <a:ext uri="{FF2B5EF4-FFF2-40B4-BE49-F238E27FC236}">
              <a16:creationId xmlns:a16="http://schemas.microsoft.com/office/drawing/2014/main" id="{80249298-80FC-44F5-AC63-8430E2FD861F}"/>
            </a:ext>
          </a:extLst>
        </xdr:cNvPr>
        <xdr:cNvSpPr/>
      </xdr:nvSpPr>
      <xdr:spPr>
        <a:xfrm>
          <a:off x="8302229" y="14299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11" name="吹き出し: 下矢印 10">
          <a:extLst>
            <a:ext uri="{FF2B5EF4-FFF2-40B4-BE49-F238E27FC236}">
              <a16:creationId xmlns:a16="http://schemas.microsoft.com/office/drawing/2014/main" id="{E1CC1878-1E17-45ED-849A-97881705450F}"/>
            </a:ext>
          </a:extLst>
        </xdr:cNvPr>
        <xdr:cNvSpPr/>
      </xdr:nvSpPr>
      <xdr:spPr>
        <a:xfrm>
          <a:off x="8302229" y="14299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244079</xdr:colOff>
      <xdr:row>7</xdr:row>
      <xdr:rowOff>77391</xdr:rowOff>
    </xdr:from>
    <xdr:to>
      <xdr:col>17</xdr:col>
      <xdr:colOff>148828</xdr:colOff>
      <xdr:row>14</xdr:row>
      <xdr:rowOff>201175</xdr:rowOff>
    </xdr:to>
    <xdr:sp macro="" textlink="">
      <xdr:nvSpPr>
        <xdr:cNvPr id="2" name="吹き出し: 下矢印 1">
          <a:extLst>
            <a:ext uri="{FF2B5EF4-FFF2-40B4-BE49-F238E27FC236}">
              <a16:creationId xmlns:a16="http://schemas.microsoft.com/office/drawing/2014/main" id="{7C90B6CF-0F90-4190-A36D-C0840DED5DF0}"/>
            </a:ext>
          </a:extLst>
        </xdr:cNvPr>
        <xdr:cNvSpPr/>
      </xdr:nvSpPr>
      <xdr:spPr>
        <a:xfrm>
          <a:off x="7492604" y="1401366"/>
          <a:ext cx="1409699" cy="1257259"/>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7" name="吹き出し: 下矢印 6">
          <a:extLst>
            <a:ext uri="{FF2B5EF4-FFF2-40B4-BE49-F238E27FC236}">
              <a16:creationId xmlns:a16="http://schemas.microsoft.com/office/drawing/2014/main" id="{A69009D4-50C8-4A34-A83E-A4B556881700}"/>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8" name="吹き出し: 下矢印 7">
          <a:extLst>
            <a:ext uri="{FF2B5EF4-FFF2-40B4-BE49-F238E27FC236}">
              <a16:creationId xmlns:a16="http://schemas.microsoft.com/office/drawing/2014/main" id="{668A36C7-9970-40AA-9F9F-65296759ECA6}"/>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9" name="吹き出し: 下矢印 8">
          <a:extLst>
            <a:ext uri="{FF2B5EF4-FFF2-40B4-BE49-F238E27FC236}">
              <a16:creationId xmlns:a16="http://schemas.microsoft.com/office/drawing/2014/main" id="{8B8847B6-37E9-4579-A6BE-AC19B6F3A671}"/>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10" name="吹き出し: 下矢印 9">
          <a:extLst>
            <a:ext uri="{FF2B5EF4-FFF2-40B4-BE49-F238E27FC236}">
              <a16:creationId xmlns:a16="http://schemas.microsoft.com/office/drawing/2014/main" id="{3F04C9BC-EBC1-4DAB-9D2A-010BD9CFC794}"/>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11" name="吹き出し: 下矢印 10">
          <a:extLst>
            <a:ext uri="{FF2B5EF4-FFF2-40B4-BE49-F238E27FC236}">
              <a16:creationId xmlns:a16="http://schemas.microsoft.com/office/drawing/2014/main" id="{4D85F87A-2841-44F1-8B0C-0000B221D75D}"/>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12" name="吹き出し: 下矢印 11">
          <a:extLst>
            <a:ext uri="{FF2B5EF4-FFF2-40B4-BE49-F238E27FC236}">
              <a16:creationId xmlns:a16="http://schemas.microsoft.com/office/drawing/2014/main" id="{802A2445-6B22-44A0-A5C9-FC496C2BBF9E}"/>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244079</xdr:colOff>
      <xdr:row>11</xdr:row>
      <xdr:rowOff>0</xdr:rowOff>
    </xdr:from>
    <xdr:to>
      <xdr:col>17</xdr:col>
      <xdr:colOff>148828</xdr:colOff>
      <xdr:row>20</xdr:row>
      <xdr:rowOff>201175</xdr:rowOff>
    </xdr:to>
    <xdr:sp macro="" textlink="">
      <xdr:nvSpPr>
        <xdr:cNvPr id="2" name="吹き出し: 下矢印 1">
          <a:extLst>
            <a:ext uri="{FF2B5EF4-FFF2-40B4-BE49-F238E27FC236}">
              <a16:creationId xmlns:a16="http://schemas.microsoft.com/office/drawing/2014/main" id="{C04489C5-9475-4313-98A5-0C3EFF01602E}"/>
            </a:ext>
          </a:extLst>
        </xdr:cNvPr>
        <xdr:cNvSpPr/>
      </xdr:nvSpPr>
      <xdr:spPr>
        <a:xfrm>
          <a:off x="7492604" y="1401366"/>
          <a:ext cx="1409699" cy="1257259"/>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editAs="oneCell">
    <xdr:from>
      <xdr:col>0</xdr:col>
      <xdr:colOff>2666</xdr:colOff>
      <xdr:row>118</xdr:row>
      <xdr:rowOff>2666</xdr:rowOff>
    </xdr:from>
    <xdr:to>
      <xdr:col>3</xdr:col>
      <xdr:colOff>282701</xdr:colOff>
      <xdr:row>118</xdr:row>
      <xdr:rowOff>2666</xdr:rowOff>
    </xdr:to>
    <xdr:sp macro="" textlink="">
      <xdr:nvSpPr>
        <xdr:cNvPr id="11" name="Shape 2">
          <a:extLst>
            <a:ext uri="{FF2B5EF4-FFF2-40B4-BE49-F238E27FC236}">
              <a16:creationId xmlns:a16="http://schemas.microsoft.com/office/drawing/2014/main" id="{C3E593A1-21BA-4FF7-A8C7-C0ED717B238D}"/>
            </a:ext>
          </a:extLst>
        </xdr:cNvPr>
        <xdr:cNvSpPr/>
      </xdr:nvSpPr>
      <xdr:spPr>
        <a:xfrm>
          <a:off x="2666" y="23005541"/>
          <a:ext cx="1927860" cy="0"/>
        </a:xfrm>
        <a:custGeom>
          <a:avLst/>
          <a:gdLst/>
          <a:ahLst/>
          <a:cxnLst/>
          <a:rect l="0" t="0" r="0" b="0"/>
          <a:pathLst>
            <a:path w="1828800">
              <a:moveTo>
                <a:pt x="0" y="0"/>
              </a:moveTo>
              <a:lnTo>
                <a:pt x="1828800" y="0"/>
              </a:lnTo>
            </a:path>
          </a:pathLst>
        </a:custGeom>
        <a:ln w="5333">
          <a:solidFill>
            <a:srgbClr val="000000"/>
          </a:solidFill>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244079</xdr:colOff>
      <xdr:row>7</xdr:row>
      <xdr:rowOff>77391</xdr:rowOff>
    </xdr:from>
    <xdr:to>
      <xdr:col>17</xdr:col>
      <xdr:colOff>148828</xdr:colOff>
      <xdr:row>14</xdr:row>
      <xdr:rowOff>201175</xdr:rowOff>
    </xdr:to>
    <xdr:sp macro="" textlink="">
      <xdr:nvSpPr>
        <xdr:cNvPr id="2" name="吹き出し: 下矢印 1">
          <a:extLst>
            <a:ext uri="{FF2B5EF4-FFF2-40B4-BE49-F238E27FC236}">
              <a16:creationId xmlns:a16="http://schemas.microsoft.com/office/drawing/2014/main" id="{7DAC6CF1-1088-4E24-9886-F9B4CC7B95D3}"/>
            </a:ext>
          </a:extLst>
        </xdr:cNvPr>
        <xdr:cNvSpPr/>
      </xdr:nvSpPr>
      <xdr:spPr>
        <a:xfrm>
          <a:off x="7492604" y="1401366"/>
          <a:ext cx="1409699" cy="1257259"/>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244079</xdr:colOff>
      <xdr:row>7</xdr:row>
      <xdr:rowOff>77391</xdr:rowOff>
    </xdr:from>
    <xdr:to>
      <xdr:col>17</xdr:col>
      <xdr:colOff>148828</xdr:colOff>
      <xdr:row>14</xdr:row>
      <xdr:rowOff>201175</xdr:rowOff>
    </xdr:to>
    <xdr:sp macro="" textlink="">
      <xdr:nvSpPr>
        <xdr:cNvPr id="2" name="吹き出し: 下矢印 1">
          <a:extLst>
            <a:ext uri="{FF2B5EF4-FFF2-40B4-BE49-F238E27FC236}">
              <a16:creationId xmlns:a16="http://schemas.microsoft.com/office/drawing/2014/main" id="{9ED2ADA1-FD07-4E18-BB6F-93678EAD7E82}"/>
            </a:ext>
          </a:extLst>
        </xdr:cNvPr>
        <xdr:cNvSpPr/>
      </xdr:nvSpPr>
      <xdr:spPr>
        <a:xfrm>
          <a:off x="7492604" y="1401366"/>
          <a:ext cx="1409699" cy="1257259"/>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7" name="吹き出し: 下矢印 6">
          <a:extLst>
            <a:ext uri="{FF2B5EF4-FFF2-40B4-BE49-F238E27FC236}">
              <a16:creationId xmlns:a16="http://schemas.microsoft.com/office/drawing/2014/main" id="{810822C4-00BC-4D84-A7B3-4D26035B4902}"/>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8" name="吹き出し: 下矢印 7">
          <a:extLst>
            <a:ext uri="{FF2B5EF4-FFF2-40B4-BE49-F238E27FC236}">
              <a16:creationId xmlns:a16="http://schemas.microsoft.com/office/drawing/2014/main" id="{019D20E8-B2D6-4D49-A347-049DDD035939}"/>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9" name="吹き出し: 下矢印 8">
          <a:extLst>
            <a:ext uri="{FF2B5EF4-FFF2-40B4-BE49-F238E27FC236}">
              <a16:creationId xmlns:a16="http://schemas.microsoft.com/office/drawing/2014/main" id="{E41E0ADE-1863-4648-B25F-2C1A9AF187A8}"/>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10" name="吹き出し: 下矢印 9">
          <a:extLst>
            <a:ext uri="{FF2B5EF4-FFF2-40B4-BE49-F238E27FC236}">
              <a16:creationId xmlns:a16="http://schemas.microsoft.com/office/drawing/2014/main" id="{ECCE02C3-D45E-4133-BA31-A98C4ACF1EB8}"/>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11" name="吹き出し: 下矢印 10">
          <a:extLst>
            <a:ext uri="{FF2B5EF4-FFF2-40B4-BE49-F238E27FC236}">
              <a16:creationId xmlns:a16="http://schemas.microsoft.com/office/drawing/2014/main" id="{142E0296-BF28-4D74-997E-C5AF938FB5AD}"/>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12" name="吹き出し: 下矢印 11">
          <a:extLst>
            <a:ext uri="{FF2B5EF4-FFF2-40B4-BE49-F238E27FC236}">
              <a16:creationId xmlns:a16="http://schemas.microsoft.com/office/drawing/2014/main" id="{9ECF83A6-FAB2-4287-B889-CFF710814E22}"/>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13" name="吹き出し: 下矢印 12">
          <a:extLst>
            <a:ext uri="{FF2B5EF4-FFF2-40B4-BE49-F238E27FC236}">
              <a16:creationId xmlns:a16="http://schemas.microsoft.com/office/drawing/2014/main" id="{E03EFDE6-4C09-4124-B699-57F0D9E91937}"/>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244079</xdr:colOff>
      <xdr:row>29</xdr:row>
      <xdr:rowOff>99218</xdr:rowOff>
    </xdr:from>
    <xdr:to>
      <xdr:col>17</xdr:col>
      <xdr:colOff>148828</xdr:colOff>
      <xdr:row>38</xdr:row>
      <xdr:rowOff>188474</xdr:rowOff>
    </xdr:to>
    <xdr:sp macro="" textlink="">
      <xdr:nvSpPr>
        <xdr:cNvPr id="2" name="吹き出し: 下矢印 1">
          <a:extLst>
            <a:ext uri="{FF2B5EF4-FFF2-40B4-BE49-F238E27FC236}">
              <a16:creationId xmlns:a16="http://schemas.microsoft.com/office/drawing/2014/main" id="{CFC96614-67BF-4A8A-BFE8-57EFDBBA5729}"/>
            </a:ext>
          </a:extLst>
        </xdr:cNvPr>
        <xdr:cNvSpPr/>
      </xdr:nvSpPr>
      <xdr:spPr>
        <a:xfrm>
          <a:off x="8451454" y="5095874"/>
          <a:ext cx="1579562" cy="1573569"/>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editAs="oneCell">
    <xdr:from>
      <xdr:col>0</xdr:col>
      <xdr:colOff>2666</xdr:colOff>
      <xdr:row>206</xdr:row>
      <xdr:rowOff>2666</xdr:rowOff>
    </xdr:from>
    <xdr:to>
      <xdr:col>3</xdr:col>
      <xdr:colOff>147134</xdr:colOff>
      <xdr:row>206</xdr:row>
      <xdr:rowOff>2666</xdr:rowOff>
    </xdr:to>
    <xdr:sp macro="" textlink="">
      <xdr:nvSpPr>
        <xdr:cNvPr id="12" name="Shape 2">
          <a:extLst>
            <a:ext uri="{FF2B5EF4-FFF2-40B4-BE49-F238E27FC236}">
              <a16:creationId xmlns:a16="http://schemas.microsoft.com/office/drawing/2014/main" id="{58AC2980-D8A8-491A-A20E-27E7654A08FB}"/>
            </a:ext>
          </a:extLst>
        </xdr:cNvPr>
        <xdr:cNvSpPr/>
      </xdr:nvSpPr>
      <xdr:spPr>
        <a:xfrm>
          <a:off x="2666" y="40283891"/>
          <a:ext cx="1923262" cy="0"/>
        </a:xfrm>
        <a:custGeom>
          <a:avLst/>
          <a:gdLst/>
          <a:ahLst/>
          <a:cxnLst/>
          <a:rect l="0" t="0" r="0" b="0"/>
          <a:pathLst>
            <a:path w="1828800">
              <a:moveTo>
                <a:pt x="0" y="0"/>
              </a:moveTo>
              <a:lnTo>
                <a:pt x="1828800" y="0"/>
              </a:lnTo>
            </a:path>
          </a:pathLst>
        </a:custGeom>
        <a:ln w="5333">
          <a:solidFill>
            <a:srgbClr val="000000"/>
          </a:solidFill>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295673</xdr:colOff>
      <xdr:row>9</xdr:row>
      <xdr:rowOff>27780</xdr:rowOff>
    </xdr:from>
    <xdr:to>
      <xdr:col>17</xdr:col>
      <xdr:colOff>200422</xdr:colOff>
      <xdr:row>15</xdr:row>
      <xdr:rowOff>41630</xdr:rowOff>
    </xdr:to>
    <xdr:sp macro="" textlink="">
      <xdr:nvSpPr>
        <xdr:cNvPr id="2" name="吹き出し: 下矢印 1">
          <a:extLst>
            <a:ext uri="{FF2B5EF4-FFF2-40B4-BE49-F238E27FC236}">
              <a16:creationId xmlns:a16="http://schemas.microsoft.com/office/drawing/2014/main" id="{D2915544-AE7A-4A67-B088-E449C73D84E1}"/>
            </a:ext>
          </a:extLst>
        </xdr:cNvPr>
        <xdr:cNvSpPr/>
      </xdr:nvSpPr>
      <xdr:spPr>
        <a:xfrm>
          <a:off x="8352236" y="1829593"/>
          <a:ext cx="1579561" cy="1109225"/>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244079</xdr:colOff>
      <xdr:row>7</xdr:row>
      <xdr:rowOff>77391</xdr:rowOff>
    </xdr:from>
    <xdr:to>
      <xdr:col>17</xdr:col>
      <xdr:colOff>148828</xdr:colOff>
      <xdr:row>14</xdr:row>
      <xdr:rowOff>201175</xdr:rowOff>
    </xdr:to>
    <xdr:sp macro="" textlink="">
      <xdr:nvSpPr>
        <xdr:cNvPr id="2" name="吹き出し: 下矢印 1">
          <a:extLst>
            <a:ext uri="{FF2B5EF4-FFF2-40B4-BE49-F238E27FC236}">
              <a16:creationId xmlns:a16="http://schemas.microsoft.com/office/drawing/2014/main" id="{3D70062A-AF89-4480-B30D-6323EA5AC414}"/>
            </a:ext>
          </a:extLst>
        </xdr:cNvPr>
        <xdr:cNvSpPr/>
      </xdr:nvSpPr>
      <xdr:spPr>
        <a:xfrm>
          <a:off x="7492604" y="1401366"/>
          <a:ext cx="1409699" cy="1257259"/>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244079</xdr:colOff>
      <xdr:row>7</xdr:row>
      <xdr:rowOff>77391</xdr:rowOff>
    </xdr:from>
    <xdr:to>
      <xdr:col>17</xdr:col>
      <xdr:colOff>148828</xdr:colOff>
      <xdr:row>14</xdr:row>
      <xdr:rowOff>201175</xdr:rowOff>
    </xdr:to>
    <xdr:sp macro="" textlink="">
      <xdr:nvSpPr>
        <xdr:cNvPr id="2" name="吹き出し: 下矢印 1">
          <a:extLst>
            <a:ext uri="{FF2B5EF4-FFF2-40B4-BE49-F238E27FC236}">
              <a16:creationId xmlns:a16="http://schemas.microsoft.com/office/drawing/2014/main" id="{E249652A-CFD9-4342-B4AF-3961112AAF41}"/>
            </a:ext>
          </a:extLst>
        </xdr:cNvPr>
        <xdr:cNvSpPr/>
      </xdr:nvSpPr>
      <xdr:spPr>
        <a:xfrm>
          <a:off x="7492604" y="1401366"/>
          <a:ext cx="1409699" cy="1257259"/>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2666</xdr:colOff>
      <xdr:row>159</xdr:row>
      <xdr:rowOff>2666</xdr:rowOff>
    </xdr:from>
    <xdr:to>
      <xdr:col>3</xdr:col>
      <xdr:colOff>284899</xdr:colOff>
      <xdr:row>159</xdr:row>
      <xdr:rowOff>2666</xdr:rowOff>
    </xdr:to>
    <xdr:sp macro="" textlink="">
      <xdr:nvSpPr>
        <xdr:cNvPr id="2" name="Shape 2">
          <a:extLst>
            <a:ext uri="{FF2B5EF4-FFF2-40B4-BE49-F238E27FC236}">
              <a16:creationId xmlns:a16="http://schemas.microsoft.com/office/drawing/2014/main" id="{D07AE2E5-889D-43FC-9CB7-A80DFEF1C7BD}"/>
            </a:ext>
          </a:extLst>
        </xdr:cNvPr>
        <xdr:cNvSpPr/>
      </xdr:nvSpPr>
      <xdr:spPr>
        <a:xfrm>
          <a:off x="2666" y="60695966"/>
          <a:ext cx="1930058" cy="0"/>
        </a:xfrm>
        <a:custGeom>
          <a:avLst/>
          <a:gdLst/>
          <a:ahLst/>
          <a:cxnLst/>
          <a:rect l="0" t="0" r="0" b="0"/>
          <a:pathLst>
            <a:path w="1828800">
              <a:moveTo>
                <a:pt x="0" y="0"/>
              </a:moveTo>
              <a:lnTo>
                <a:pt x="1828800" y="0"/>
              </a:lnTo>
            </a:path>
          </a:pathLst>
        </a:custGeom>
        <a:ln w="5333">
          <a:solidFill>
            <a:srgbClr val="000000"/>
          </a:solidFill>
        </a:ln>
      </xdr:spPr>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3" name="吹き出し: 下矢印 2">
          <a:extLst>
            <a:ext uri="{FF2B5EF4-FFF2-40B4-BE49-F238E27FC236}">
              <a16:creationId xmlns:a16="http://schemas.microsoft.com/office/drawing/2014/main" id="{E0A5F313-9AEF-4E4A-AA40-753E90ED0ECA}"/>
            </a:ext>
          </a:extLst>
        </xdr:cNvPr>
        <xdr:cNvSpPr/>
      </xdr:nvSpPr>
      <xdr:spPr>
        <a:xfrm>
          <a:off x="7492604" y="1401366"/>
          <a:ext cx="1409699" cy="1257259"/>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14</xdr:col>
      <xdr:colOff>315516</xdr:colOff>
      <xdr:row>7</xdr:row>
      <xdr:rowOff>61516</xdr:rowOff>
    </xdr:from>
    <xdr:to>
      <xdr:col>17</xdr:col>
      <xdr:colOff>220265</xdr:colOff>
      <xdr:row>14</xdr:row>
      <xdr:rowOff>172600</xdr:rowOff>
    </xdr:to>
    <xdr:sp macro="" textlink="">
      <xdr:nvSpPr>
        <xdr:cNvPr id="2" name="吹き出し: 下矢印 1">
          <a:extLst>
            <a:ext uri="{FF2B5EF4-FFF2-40B4-BE49-F238E27FC236}">
              <a16:creationId xmlns:a16="http://schemas.microsoft.com/office/drawing/2014/main" id="{7DA23205-6F43-4450-8ADE-4087A7CE7235}"/>
            </a:ext>
          </a:extLst>
        </xdr:cNvPr>
        <xdr:cNvSpPr/>
      </xdr:nvSpPr>
      <xdr:spPr>
        <a:xfrm>
          <a:off x="8435579" y="1510110"/>
          <a:ext cx="1579561" cy="1277896"/>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7</xdr:col>
      <xdr:colOff>178593</xdr:colOff>
      <xdr:row>32</xdr:row>
      <xdr:rowOff>422670</xdr:rowOff>
    </xdr:from>
    <xdr:to>
      <xdr:col>12</xdr:col>
      <xdr:colOff>244077</xdr:colOff>
      <xdr:row>38</xdr:row>
      <xdr:rowOff>220265</xdr:rowOff>
    </xdr:to>
    <xdr:sp macro="" textlink="">
      <xdr:nvSpPr>
        <xdr:cNvPr id="6" name="吹き出し: 左矢印 5">
          <a:extLst>
            <a:ext uri="{FF2B5EF4-FFF2-40B4-BE49-F238E27FC236}">
              <a16:creationId xmlns:a16="http://schemas.microsoft.com/office/drawing/2014/main" id="{E76061D5-6727-4EDF-B0E7-54BBE81074DC}"/>
            </a:ext>
          </a:extLst>
        </xdr:cNvPr>
        <xdr:cNvSpPr/>
      </xdr:nvSpPr>
      <xdr:spPr>
        <a:xfrm>
          <a:off x="4167187" y="6929436"/>
          <a:ext cx="2434828" cy="1589485"/>
        </a:xfrm>
        <a:prstGeom prst="leftArrowCallout">
          <a:avLst>
            <a:gd name="adj1" fmla="val 25000"/>
            <a:gd name="adj2" fmla="val 25000"/>
            <a:gd name="adj3" fmla="val 25000"/>
            <a:gd name="adj4" fmla="val 8516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lt1"/>
              </a:solidFill>
              <a:effectLst/>
              <a:latin typeface="+mn-lt"/>
              <a:ea typeface="+mn-ea"/>
              <a:cs typeface="+mn-cs"/>
            </a:rPr>
            <a:t>Coordinating Lab :  When a comparison</a:t>
          </a:r>
          <a:r>
            <a:rPr kumimoji="1" lang="en-US" altLang="ja-JP" sz="1100" baseline="0">
              <a:solidFill>
                <a:schemeClr val="lt1"/>
              </a:solidFill>
              <a:effectLst/>
              <a:latin typeface="+mn-lt"/>
              <a:ea typeface="+mn-ea"/>
              <a:cs typeface="+mn-cs"/>
            </a:rPr>
            <a:t> has multi-target components, copy lines from L15-L37 and paste them. (refer to CCQM-K10.2018).</a:t>
          </a:r>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14</xdr:col>
      <xdr:colOff>244079</xdr:colOff>
      <xdr:row>12</xdr:row>
      <xdr:rowOff>99218</xdr:rowOff>
    </xdr:from>
    <xdr:to>
      <xdr:col>17</xdr:col>
      <xdr:colOff>148828</xdr:colOff>
      <xdr:row>19</xdr:row>
      <xdr:rowOff>188475</xdr:rowOff>
    </xdr:to>
    <xdr:sp macro="" textlink="">
      <xdr:nvSpPr>
        <xdr:cNvPr id="2" name="吹き出し: 下矢印 1">
          <a:extLst>
            <a:ext uri="{FF2B5EF4-FFF2-40B4-BE49-F238E27FC236}">
              <a16:creationId xmlns:a16="http://schemas.microsoft.com/office/drawing/2014/main" id="{2CB5AA96-769D-4F8A-970C-BD6A4BBA3E06}"/>
            </a:ext>
          </a:extLst>
        </xdr:cNvPr>
        <xdr:cNvSpPr/>
      </xdr:nvSpPr>
      <xdr:spPr>
        <a:xfrm>
          <a:off x="8300642" y="2282031"/>
          <a:ext cx="1579561" cy="1256069"/>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14</xdr:col>
      <xdr:colOff>244079</xdr:colOff>
      <xdr:row>7</xdr:row>
      <xdr:rowOff>77391</xdr:rowOff>
    </xdr:from>
    <xdr:to>
      <xdr:col>17</xdr:col>
      <xdr:colOff>148828</xdr:colOff>
      <xdr:row>14</xdr:row>
      <xdr:rowOff>201175</xdr:rowOff>
    </xdr:to>
    <xdr:sp macro="" textlink="">
      <xdr:nvSpPr>
        <xdr:cNvPr id="2" name="吹き出し: 下矢印 1">
          <a:extLst>
            <a:ext uri="{FF2B5EF4-FFF2-40B4-BE49-F238E27FC236}">
              <a16:creationId xmlns:a16="http://schemas.microsoft.com/office/drawing/2014/main" id="{95E7F82B-52E6-42DD-8176-6E979A20096C}"/>
            </a:ext>
          </a:extLst>
        </xdr:cNvPr>
        <xdr:cNvSpPr/>
      </xdr:nvSpPr>
      <xdr:spPr>
        <a:xfrm>
          <a:off x="7492604" y="1401366"/>
          <a:ext cx="1409699" cy="1257259"/>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0</xdr:col>
      <xdr:colOff>488156</xdr:colOff>
      <xdr:row>37</xdr:row>
      <xdr:rowOff>65482</xdr:rowOff>
    </xdr:from>
    <xdr:to>
      <xdr:col>5</xdr:col>
      <xdr:colOff>101203</xdr:colOff>
      <xdr:row>43</xdr:row>
      <xdr:rowOff>29764</xdr:rowOff>
    </xdr:to>
    <xdr:sp macro="" textlink="">
      <xdr:nvSpPr>
        <xdr:cNvPr id="6" name="吹き出し: 左矢印 5">
          <a:extLst>
            <a:ext uri="{FF2B5EF4-FFF2-40B4-BE49-F238E27FC236}">
              <a16:creationId xmlns:a16="http://schemas.microsoft.com/office/drawing/2014/main" id="{80614193-B646-4AAC-AE3D-BF58898340BE}"/>
            </a:ext>
          </a:extLst>
        </xdr:cNvPr>
        <xdr:cNvSpPr/>
      </xdr:nvSpPr>
      <xdr:spPr>
        <a:xfrm>
          <a:off x="488156" y="7709295"/>
          <a:ext cx="2434828" cy="1035844"/>
        </a:xfrm>
        <a:prstGeom prst="leftArrowCallout">
          <a:avLst>
            <a:gd name="adj1" fmla="val 25000"/>
            <a:gd name="adj2" fmla="val 25000"/>
            <a:gd name="adj3" fmla="val 25000"/>
            <a:gd name="adj4" fmla="val 8516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lt1"/>
              </a:solidFill>
              <a:effectLst/>
              <a:latin typeface="+mn-lt"/>
              <a:ea typeface="+mn-ea"/>
              <a:cs typeface="+mn-cs"/>
            </a:rPr>
            <a:t>Coordinating Lab :  When a comparison</a:t>
          </a:r>
          <a:r>
            <a:rPr kumimoji="1" lang="en-US" altLang="ja-JP" sz="1100" baseline="0">
              <a:solidFill>
                <a:schemeClr val="lt1"/>
              </a:solidFill>
              <a:effectLst/>
              <a:latin typeface="+mn-lt"/>
              <a:ea typeface="+mn-ea"/>
              <a:cs typeface="+mn-cs"/>
            </a:rPr>
            <a:t> has multi-target components, copy lines from L15-L37 and paste them. (refer to CCQM-K10.2018).</a:t>
          </a:r>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14</xdr:col>
      <xdr:colOff>244079</xdr:colOff>
      <xdr:row>7</xdr:row>
      <xdr:rowOff>77391</xdr:rowOff>
    </xdr:from>
    <xdr:to>
      <xdr:col>17</xdr:col>
      <xdr:colOff>148828</xdr:colOff>
      <xdr:row>14</xdr:row>
      <xdr:rowOff>201175</xdr:rowOff>
    </xdr:to>
    <xdr:sp macro="" textlink="">
      <xdr:nvSpPr>
        <xdr:cNvPr id="2" name="吹き出し: 下矢印 1">
          <a:extLst>
            <a:ext uri="{FF2B5EF4-FFF2-40B4-BE49-F238E27FC236}">
              <a16:creationId xmlns:a16="http://schemas.microsoft.com/office/drawing/2014/main" id="{A53CC1A4-15A6-4277-A0B0-8578642EEE8E}"/>
            </a:ext>
          </a:extLst>
        </xdr:cNvPr>
        <xdr:cNvSpPr/>
      </xdr:nvSpPr>
      <xdr:spPr>
        <a:xfrm>
          <a:off x="7492604" y="1401366"/>
          <a:ext cx="1409699" cy="1257259"/>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14</xdr:col>
      <xdr:colOff>244079</xdr:colOff>
      <xdr:row>7</xdr:row>
      <xdr:rowOff>77391</xdr:rowOff>
    </xdr:from>
    <xdr:to>
      <xdr:col>17</xdr:col>
      <xdr:colOff>148828</xdr:colOff>
      <xdr:row>14</xdr:row>
      <xdr:rowOff>201175</xdr:rowOff>
    </xdr:to>
    <xdr:sp macro="" textlink="">
      <xdr:nvSpPr>
        <xdr:cNvPr id="2" name="吹き出し: 下矢印 1">
          <a:extLst>
            <a:ext uri="{FF2B5EF4-FFF2-40B4-BE49-F238E27FC236}">
              <a16:creationId xmlns:a16="http://schemas.microsoft.com/office/drawing/2014/main" id="{1EF1F7AC-33D3-450B-A754-ECB3B058F19B}"/>
            </a:ext>
          </a:extLst>
        </xdr:cNvPr>
        <xdr:cNvSpPr/>
      </xdr:nvSpPr>
      <xdr:spPr>
        <a:xfrm>
          <a:off x="7492604" y="1401366"/>
          <a:ext cx="1409699" cy="1257259"/>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14</xdr:col>
      <xdr:colOff>315516</xdr:colOff>
      <xdr:row>7</xdr:row>
      <xdr:rowOff>61516</xdr:rowOff>
    </xdr:from>
    <xdr:to>
      <xdr:col>17</xdr:col>
      <xdr:colOff>220265</xdr:colOff>
      <xdr:row>14</xdr:row>
      <xdr:rowOff>172600</xdr:rowOff>
    </xdr:to>
    <xdr:sp macro="" textlink="">
      <xdr:nvSpPr>
        <xdr:cNvPr id="2" name="吹き出し: 下矢印 1">
          <a:extLst>
            <a:ext uri="{FF2B5EF4-FFF2-40B4-BE49-F238E27FC236}">
              <a16:creationId xmlns:a16="http://schemas.microsoft.com/office/drawing/2014/main" id="{864B44A1-BD97-4871-ADBD-7FC2D68ECE8F}"/>
            </a:ext>
          </a:extLst>
        </xdr:cNvPr>
        <xdr:cNvSpPr/>
      </xdr:nvSpPr>
      <xdr:spPr>
        <a:xfrm>
          <a:off x="8437166" y="1502966"/>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14</xdr:col>
      <xdr:colOff>244079</xdr:colOff>
      <xdr:row>18</xdr:row>
      <xdr:rowOff>166688</xdr:rowOff>
    </xdr:from>
    <xdr:to>
      <xdr:col>17</xdr:col>
      <xdr:colOff>148828</xdr:colOff>
      <xdr:row>27</xdr:row>
      <xdr:rowOff>201175</xdr:rowOff>
    </xdr:to>
    <xdr:sp macro="" textlink="">
      <xdr:nvSpPr>
        <xdr:cNvPr id="2" name="吹き出し: 下矢印 1">
          <a:extLst>
            <a:ext uri="{FF2B5EF4-FFF2-40B4-BE49-F238E27FC236}">
              <a16:creationId xmlns:a16="http://schemas.microsoft.com/office/drawing/2014/main" id="{3CFB02AF-68DA-4C09-BA9C-5633A6298490}"/>
            </a:ext>
          </a:extLst>
        </xdr:cNvPr>
        <xdr:cNvSpPr/>
      </xdr:nvSpPr>
      <xdr:spPr>
        <a:xfrm>
          <a:off x="7518798" y="3363516"/>
          <a:ext cx="1410889" cy="1915675"/>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14</xdr:col>
      <xdr:colOff>244079</xdr:colOff>
      <xdr:row>7</xdr:row>
      <xdr:rowOff>77391</xdr:rowOff>
    </xdr:from>
    <xdr:to>
      <xdr:col>17</xdr:col>
      <xdr:colOff>148828</xdr:colOff>
      <xdr:row>14</xdr:row>
      <xdr:rowOff>201175</xdr:rowOff>
    </xdr:to>
    <xdr:sp macro="" textlink="">
      <xdr:nvSpPr>
        <xdr:cNvPr id="2" name="吹き出し: 下矢印 1">
          <a:extLst>
            <a:ext uri="{FF2B5EF4-FFF2-40B4-BE49-F238E27FC236}">
              <a16:creationId xmlns:a16="http://schemas.microsoft.com/office/drawing/2014/main" id="{7291629D-E4F5-4209-85F3-9FBAD0ED0857}"/>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14</xdr:col>
      <xdr:colOff>244079</xdr:colOff>
      <xdr:row>7</xdr:row>
      <xdr:rowOff>77391</xdr:rowOff>
    </xdr:from>
    <xdr:to>
      <xdr:col>17</xdr:col>
      <xdr:colOff>148828</xdr:colOff>
      <xdr:row>14</xdr:row>
      <xdr:rowOff>201175</xdr:rowOff>
    </xdr:to>
    <xdr:sp macro="" textlink="">
      <xdr:nvSpPr>
        <xdr:cNvPr id="2" name="吹き出し: 下矢印 1">
          <a:extLst>
            <a:ext uri="{FF2B5EF4-FFF2-40B4-BE49-F238E27FC236}">
              <a16:creationId xmlns:a16="http://schemas.microsoft.com/office/drawing/2014/main" id="{F069BD9D-E39E-4E4D-9CD7-6F7899AA3373}"/>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244079</xdr:colOff>
      <xdr:row>7</xdr:row>
      <xdr:rowOff>77391</xdr:rowOff>
    </xdr:from>
    <xdr:to>
      <xdr:col>17</xdr:col>
      <xdr:colOff>148828</xdr:colOff>
      <xdr:row>14</xdr:row>
      <xdr:rowOff>201175</xdr:rowOff>
    </xdr:to>
    <xdr:sp macro="" textlink="">
      <xdr:nvSpPr>
        <xdr:cNvPr id="2" name="吹き出し: 下矢印 1">
          <a:extLst>
            <a:ext uri="{FF2B5EF4-FFF2-40B4-BE49-F238E27FC236}">
              <a16:creationId xmlns:a16="http://schemas.microsoft.com/office/drawing/2014/main" id="{9FCCD07D-AE7B-454A-901A-45AB6564C838}"/>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7" name="吹き出し: 下矢印 6">
          <a:extLst>
            <a:ext uri="{FF2B5EF4-FFF2-40B4-BE49-F238E27FC236}">
              <a16:creationId xmlns:a16="http://schemas.microsoft.com/office/drawing/2014/main" id="{DCFDD2D3-58C2-4812-A4E0-EDDDD32F033D}"/>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14</xdr:col>
      <xdr:colOff>244079</xdr:colOff>
      <xdr:row>7</xdr:row>
      <xdr:rowOff>77391</xdr:rowOff>
    </xdr:from>
    <xdr:to>
      <xdr:col>17</xdr:col>
      <xdr:colOff>148828</xdr:colOff>
      <xdr:row>14</xdr:row>
      <xdr:rowOff>201175</xdr:rowOff>
    </xdr:to>
    <xdr:sp macro="" textlink="">
      <xdr:nvSpPr>
        <xdr:cNvPr id="2" name="吹き出し: 下矢印 1">
          <a:extLst>
            <a:ext uri="{FF2B5EF4-FFF2-40B4-BE49-F238E27FC236}">
              <a16:creationId xmlns:a16="http://schemas.microsoft.com/office/drawing/2014/main" id="{7B3BE824-7C34-42F5-945B-7286008C1364}"/>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14</xdr:col>
      <xdr:colOff>244079</xdr:colOff>
      <xdr:row>7</xdr:row>
      <xdr:rowOff>77391</xdr:rowOff>
    </xdr:from>
    <xdr:to>
      <xdr:col>17</xdr:col>
      <xdr:colOff>148828</xdr:colOff>
      <xdr:row>14</xdr:row>
      <xdr:rowOff>201175</xdr:rowOff>
    </xdr:to>
    <xdr:sp macro="" textlink="">
      <xdr:nvSpPr>
        <xdr:cNvPr id="2" name="吹き出し: 下矢印 1">
          <a:extLst>
            <a:ext uri="{FF2B5EF4-FFF2-40B4-BE49-F238E27FC236}">
              <a16:creationId xmlns:a16="http://schemas.microsoft.com/office/drawing/2014/main" id="{AADB8A3A-77A3-43F5-8AB4-AC538A00F4E2}"/>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2666</xdr:colOff>
      <xdr:row>318</xdr:row>
      <xdr:rowOff>2666</xdr:rowOff>
    </xdr:from>
    <xdr:to>
      <xdr:col>3</xdr:col>
      <xdr:colOff>284899</xdr:colOff>
      <xdr:row>318</xdr:row>
      <xdr:rowOff>2666</xdr:rowOff>
    </xdr:to>
    <xdr:sp macro="" textlink="">
      <xdr:nvSpPr>
        <xdr:cNvPr id="2" name="Shape 2">
          <a:extLst>
            <a:ext uri="{FF2B5EF4-FFF2-40B4-BE49-F238E27FC236}">
              <a16:creationId xmlns:a16="http://schemas.microsoft.com/office/drawing/2014/main" id="{12940363-9136-4E1B-93B0-5FF41CE28C19}"/>
            </a:ext>
          </a:extLst>
        </xdr:cNvPr>
        <xdr:cNvSpPr/>
      </xdr:nvSpPr>
      <xdr:spPr>
        <a:xfrm>
          <a:off x="2666" y="23005541"/>
          <a:ext cx="1927860" cy="0"/>
        </a:xfrm>
        <a:custGeom>
          <a:avLst/>
          <a:gdLst/>
          <a:ahLst/>
          <a:cxnLst/>
          <a:rect l="0" t="0" r="0" b="0"/>
          <a:pathLst>
            <a:path w="1828800">
              <a:moveTo>
                <a:pt x="0" y="0"/>
              </a:moveTo>
              <a:lnTo>
                <a:pt x="1828800" y="0"/>
              </a:lnTo>
            </a:path>
          </a:pathLst>
        </a:custGeom>
        <a:ln w="5333">
          <a:solidFill>
            <a:srgbClr val="000000"/>
          </a:solidFill>
        </a:ln>
      </xdr:spPr>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3" name="吹き出し: 下矢印 2">
          <a:extLst>
            <a:ext uri="{FF2B5EF4-FFF2-40B4-BE49-F238E27FC236}">
              <a16:creationId xmlns:a16="http://schemas.microsoft.com/office/drawing/2014/main" id="{1F0CA686-B225-4991-B920-7623C438E116}"/>
            </a:ext>
          </a:extLst>
        </xdr:cNvPr>
        <xdr:cNvSpPr/>
      </xdr:nvSpPr>
      <xdr:spPr>
        <a:xfrm>
          <a:off x="7983142" y="1393032"/>
          <a:ext cx="1476374" cy="124892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8" name="吹き出し: 下矢印 7">
          <a:extLst>
            <a:ext uri="{FF2B5EF4-FFF2-40B4-BE49-F238E27FC236}">
              <a16:creationId xmlns:a16="http://schemas.microsoft.com/office/drawing/2014/main" id="{98FC5910-0FB3-4A2E-B785-24EBC9127449}"/>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244079</xdr:colOff>
      <xdr:row>7</xdr:row>
      <xdr:rowOff>77391</xdr:rowOff>
    </xdr:from>
    <xdr:to>
      <xdr:col>17</xdr:col>
      <xdr:colOff>148828</xdr:colOff>
      <xdr:row>14</xdr:row>
      <xdr:rowOff>201175</xdr:rowOff>
    </xdr:to>
    <xdr:sp macro="" textlink="">
      <xdr:nvSpPr>
        <xdr:cNvPr id="2" name="吹き出し: 下矢印 1">
          <a:extLst>
            <a:ext uri="{FF2B5EF4-FFF2-40B4-BE49-F238E27FC236}">
              <a16:creationId xmlns:a16="http://schemas.microsoft.com/office/drawing/2014/main" id="{D047BFE1-05B9-4353-9D65-3EA03ACCBBD1}"/>
            </a:ext>
          </a:extLst>
        </xdr:cNvPr>
        <xdr:cNvSpPr/>
      </xdr:nvSpPr>
      <xdr:spPr>
        <a:xfrm>
          <a:off x="7492604" y="1401366"/>
          <a:ext cx="1409699" cy="1257259"/>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244079</xdr:colOff>
      <xdr:row>7</xdr:row>
      <xdr:rowOff>77391</xdr:rowOff>
    </xdr:from>
    <xdr:to>
      <xdr:col>17</xdr:col>
      <xdr:colOff>148828</xdr:colOff>
      <xdr:row>14</xdr:row>
      <xdr:rowOff>201175</xdr:rowOff>
    </xdr:to>
    <xdr:sp macro="" textlink="">
      <xdr:nvSpPr>
        <xdr:cNvPr id="2" name="吹き出し: 下矢印 1">
          <a:extLst>
            <a:ext uri="{FF2B5EF4-FFF2-40B4-BE49-F238E27FC236}">
              <a16:creationId xmlns:a16="http://schemas.microsoft.com/office/drawing/2014/main" id="{0B8BD215-D10D-4A89-BBC0-F400FD9AD857}"/>
            </a:ext>
          </a:extLst>
        </xdr:cNvPr>
        <xdr:cNvSpPr/>
      </xdr:nvSpPr>
      <xdr:spPr>
        <a:xfrm>
          <a:off x="7492604" y="1401366"/>
          <a:ext cx="1409699" cy="1257259"/>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244079</xdr:colOff>
      <xdr:row>7</xdr:row>
      <xdr:rowOff>77391</xdr:rowOff>
    </xdr:from>
    <xdr:to>
      <xdr:col>17</xdr:col>
      <xdr:colOff>148828</xdr:colOff>
      <xdr:row>14</xdr:row>
      <xdr:rowOff>201175</xdr:rowOff>
    </xdr:to>
    <xdr:sp macro="" textlink="">
      <xdr:nvSpPr>
        <xdr:cNvPr id="2" name="吹き出し: 下矢印 1">
          <a:extLst>
            <a:ext uri="{FF2B5EF4-FFF2-40B4-BE49-F238E27FC236}">
              <a16:creationId xmlns:a16="http://schemas.microsoft.com/office/drawing/2014/main" id="{FE9CD3EF-795E-4999-9504-E69E4D22A766}"/>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7" name="吹き出し: 下矢印 6">
          <a:extLst>
            <a:ext uri="{FF2B5EF4-FFF2-40B4-BE49-F238E27FC236}">
              <a16:creationId xmlns:a16="http://schemas.microsoft.com/office/drawing/2014/main" id="{01E4A752-4E0F-4BDD-9B12-0644F854B2CE}"/>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244079</xdr:colOff>
      <xdr:row>7</xdr:row>
      <xdr:rowOff>77391</xdr:rowOff>
    </xdr:from>
    <xdr:to>
      <xdr:col>17</xdr:col>
      <xdr:colOff>148828</xdr:colOff>
      <xdr:row>14</xdr:row>
      <xdr:rowOff>201175</xdr:rowOff>
    </xdr:to>
    <xdr:sp macro="" textlink="">
      <xdr:nvSpPr>
        <xdr:cNvPr id="2" name="吹き出し: 下矢印 1">
          <a:extLst>
            <a:ext uri="{FF2B5EF4-FFF2-40B4-BE49-F238E27FC236}">
              <a16:creationId xmlns:a16="http://schemas.microsoft.com/office/drawing/2014/main" id="{A9206670-1925-4816-A10A-03E6FDD092C7}"/>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7" name="吹き出し: 下矢印 6">
          <a:extLst>
            <a:ext uri="{FF2B5EF4-FFF2-40B4-BE49-F238E27FC236}">
              <a16:creationId xmlns:a16="http://schemas.microsoft.com/office/drawing/2014/main" id="{D7EF25C3-C857-4F54-BECA-1046019EFD90}"/>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244079</xdr:colOff>
      <xdr:row>7</xdr:row>
      <xdr:rowOff>77391</xdr:rowOff>
    </xdr:from>
    <xdr:to>
      <xdr:col>17</xdr:col>
      <xdr:colOff>148828</xdr:colOff>
      <xdr:row>14</xdr:row>
      <xdr:rowOff>201175</xdr:rowOff>
    </xdr:to>
    <xdr:sp macro="" textlink="">
      <xdr:nvSpPr>
        <xdr:cNvPr id="2" name="吹き出し: 下矢印 1">
          <a:extLst>
            <a:ext uri="{FF2B5EF4-FFF2-40B4-BE49-F238E27FC236}">
              <a16:creationId xmlns:a16="http://schemas.microsoft.com/office/drawing/2014/main" id="{1308D93B-32E7-4F81-B520-FA57C2FFBD92}"/>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7" name="吹き出し: 下矢印 6">
          <a:extLst>
            <a:ext uri="{FF2B5EF4-FFF2-40B4-BE49-F238E27FC236}">
              <a16:creationId xmlns:a16="http://schemas.microsoft.com/office/drawing/2014/main" id="{167B677B-9FBE-47D5-A902-703D6026955D}"/>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twoCellAnchor>
    <xdr:from>
      <xdr:col>14</xdr:col>
      <xdr:colOff>244079</xdr:colOff>
      <xdr:row>7</xdr:row>
      <xdr:rowOff>77391</xdr:rowOff>
    </xdr:from>
    <xdr:to>
      <xdr:col>17</xdr:col>
      <xdr:colOff>148828</xdr:colOff>
      <xdr:row>14</xdr:row>
      <xdr:rowOff>201175</xdr:rowOff>
    </xdr:to>
    <xdr:sp macro="" textlink="">
      <xdr:nvSpPr>
        <xdr:cNvPr id="8" name="吹き出し: 下矢印 7">
          <a:extLst>
            <a:ext uri="{FF2B5EF4-FFF2-40B4-BE49-F238E27FC236}">
              <a16:creationId xmlns:a16="http://schemas.microsoft.com/office/drawing/2014/main" id="{02AB9BF4-3224-4FF1-92D9-6CC34935FFC4}"/>
            </a:ext>
          </a:extLst>
        </xdr:cNvPr>
        <xdr:cNvSpPr/>
      </xdr:nvSpPr>
      <xdr:spPr>
        <a:xfrm>
          <a:off x="8302229" y="1417241"/>
          <a:ext cx="1581149" cy="1266784"/>
        </a:xfrm>
        <a:prstGeom prst="down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Writer &amp; Reviewer : </a:t>
          </a:r>
        </a:p>
        <a:p>
          <a:pPr algn="l"/>
          <a:r>
            <a:rPr kumimoji="1" lang="en-US" altLang="ja-JP" sz="1100">
              <a:solidFill>
                <a:sysClr val="windowText" lastClr="000000"/>
              </a:solidFill>
            </a:rPr>
            <a:t>Put Amount Fraction Range in </a:t>
          </a:r>
          <a:r>
            <a:rPr kumimoji="1" lang="en-US" altLang="ja-JP" sz="1100" b="1">
              <a:solidFill>
                <a:srgbClr val="FF0000"/>
              </a:solidFill>
            </a:rPr>
            <a:t>micro</a:t>
          </a:r>
          <a:r>
            <a:rPr kumimoji="1" lang="en-US" altLang="ja-JP" sz="1100">
              <a:solidFill>
                <a:sysClr val="windowText" lastClr="000000"/>
              </a:solidFill>
            </a:rPr>
            <a:t>-mol/mol on yellow cells</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A5E5-3F97-4D49-9632-20CD2138DF46}">
  <dimension ref="A1:Z150"/>
  <sheetViews>
    <sheetView tabSelected="1" zoomScale="160" zoomScaleNormal="160" workbookViewId="0">
      <selection activeCell="O22" sqref="O22"/>
    </sheetView>
  </sheetViews>
  <sheetFormatPr defaultColWidth="9.33203125" defaultRowHeight="12.75" x14ac:dyDescent="0.2"/>
  <cols>
    <col min="1" max="2" width="9.33203125" style="1"/>
    <col min="3" max="7" width="10.1640625" style="1" customWidth="1"/>
    <col min="8" max="8" width="9.33203125" style="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196</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1065</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 customFormat="1" x14ac:dyDescent="0.2">
      <c r="A6" s="113"/>
      <c r="B6" s="99"/>
      <c r="C6" s="99"/>
      <c r="D6" s="99"/>
      <c r="E6" s="99"/>
      <c r="F6" s="99"/>
      <c r="G6" s="99"/>
      <c r="H6" s="99"/>
      <c r="I6" s="113"/>
      <c r="J6" s="113"/>
      <c r="K6" s="113"/>
      <c r="L6" s="113"/>
      <c r="M6" s="113"/>
      <c r="N6" s="113"/>
      <c r="O6" s="113"/>
      <c r="R6" s="113"/>
      <c r="S6" s="113"/>
      <c r="T6" s="146"/>
      <c r="U6" s="146"/>
    </row>
    <row r="7" spans="1:25" s="2" customFormat="1" x14ac:dyDescent="0.2">
      <c r="A7" s="113"/>
      <c r="B7" s="99"/>
      <c r="C7" s="99"/>
      <c r="D7" s="99"/>
      <c r="E7" s="99"/>
      <c r="F7" s="99"/>
      <c r="G7" s="99"/>
      <c r="H7" s="99"/>
      <c r="I7" s="113"/>
      <c r="J7" s="113"/>
      <c r="K7" s="113"/>
      <c r="L7" s="113"/>
      <c r="M7" s="113"/>
      <c r="N7" s="113"/>
      <c r="O7" s="113"/>
      <c r="R7" s="113"/>
      <c r="S7" s="113"/>
      <c r="T7" s="146"/>
      <c r="U7" s="146"/>
    </row>
    <row r="8" spans="1:25" s="2" customFormat="1" x14ac:dyDescent="0.2">
      <c r="A8" s="99"/>
      <c r="B8" s="99"/>
      <c r="C8" s="99"/>
      <c r="D8" s="99"/>
      <c r="E8" s="99"/>
      <c r="F8" s="99"/>
      <c r="G8" s="99"/>
      <c r="H8" s="99"/>
      <c r="I8" s="113"/>
      <c r="J8" s="113"/>
      <c r="K8" s="113"/>
      <c r="L8" s="113"/>
      <c r="M8" s="113"/>
      <c r="N8" s="113"/>
      <c r="O8" s="113"/>
      <c r="R8" s="113"/>
      <c r="S8" s="113"/>
      <c r="T8" s="146"/>
      <c r="U8" s="146"/>
    </row>
    <row r="9" spans="1:25" s="2" customFormat="1" x14ac:dyDescent="0.2">
      <c r="A9" s="113"/>
      <c r="B9" s="99"/>
      <c r="C9" s="99"/>
      <c r="D9" s="99"/>
      <c r="E9" s="99"/>
      <c r="F9" s="99"/>
      <c r="G9" s="99"/>
      <c r="H9" s="99"/>
      <c r="I9" s="113"/>
      <c r="J9" s="113"/>
      <c r="K9" s="113"/>
      <c r="L9" s="113"/>
      <c r="M9" s="113"/>
      <c r="N9" s="113"/>
      <c r="O9" s="113"/>
      <c r="R9" s="113"/>
      <c r="S9" s="113"/>
      <c r="T9" s="146"/>
      <c r="U9" s="146"/>
    </row>
    <row r="10" spans="1:25" x14ac:dyDescent="0.2">
      <c r="A10" s="102"/>
      <c r="B10" s="97"/>
      <c r="C10" s="97"/>
      <c r="D10" s="97"/>
      <c r="E10" s="97"/>
      <c r="F10" s="97"/>
      <c r="G10" s="97"/>
      <c r="H10" s="97"/>
      <c r="I10" s="113"/>
      <c r="J10" s="113"/>
      <c r="K10" s="113"/>
      <c r="L10" s="113"/>
      <c r="M10" s="113"/>
      <c r="N10" s="113"/>
      <c r="O10" s="113"/>
      <c r="R10" s="113"/>
      <c r="S10" s="113"/>
      <c r="T10" s="146"/>
      <c r="U10" s="146"/>
    </row>
    <row r="11" spans="1:25" x14ac:dyDescent="0.2">
      <c r="A11" s="97"/>
      <c r="B11" s="97"/>
      <c r="C11" s="97"/>
      <c r="D11" s="97"/>
      <c r="E11" s="97"/>
      <c r="F11" s="97"/>
      <c r="G11" s="97"/>
      <c r="H11" s="97"/>
      <c r="I11" s="113"/>
      <c r="J11" s="113"/>
      <c r="K11" s="113"/>
      <c r="L11" s="113"/>
      <c r="M11" s="113"/>
      <c r="N11" s="113"/>
      <c r="O11" s="113"/>
      <c r="R11" s="113"/>
      <c r="S11" s="113"/>
      <c r="T11" s="146"/>
      <c r="U11" s="146"/>
    </row>
    <row r="12" spans="1:25" x14ac:dyDescent="0.2">
      <c r="A12" s="97"/>
      <c r="B12" s="97"/>
      <c r="C12" s="97"/>
      <c r="D12" s="97"/>
      <c r="E12" s="97"/>
      <c r="F12" s="97"/>
      <c r="G12" s="97"/>
      <c r="H12" s="97"/>
      <c r="I12" s="113"/>
      <c r="J12" s="113"/>
      <c r="K12" s="113"/>
      <c r="L12" s="113"/>
      <c r="M12" s="113"/>
      <c r="N12" s="113"/>
      <c r="O12" s="113"/>
      <c r="R12" s="113"/>
      <c r="S12" s="113"/>
      <c r="T12" s="146"/>
      <c r="U12" s="146"/>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
        <v>197</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1057</v>
      </c>
      <c r="N16" s="104" t="s">
        <v>1058</v>
      </c>
      <c r="O16" s="104" t="s">
        <v>100</v>
      </c>
      <c r="P16" s="6" t="s">
        <v>105</v>
      </c>
      <c r="Q16" s="6" t="s">
        <v>106</v>
      </c>
      <c r="R16" s="104" t="s">
        <v>1051</v>
      </c>
      <c r="S16" s="104" t="s">
        <v>1052</v>
      </c>
      <c r="T16" s="147" t="s">
        <v>1053</v>
      </c>
      <c r="U16" s="147" t="s">
        <v>1054</v>
      </c>
      <c r="V16" s="5" t="s">
        <v>101</v>
      </c>
      <c r="W16" s="5" t="s">
        <v>102</v>
      </c>
      <c r="X16" s="112" t="s">
        <v>1055</v>
      </c>
      <c r="Y16" s="112" t="s">
        <v>1056</v>
      </c>
    </row>
    <row r="17" spans="1:25" x14ac:dyDescent="0.2">
      <c r="A17" s="213" t="s">
        <v>198</v>
      </c>
      <c r="B17" s="213"/>
      <c r="C17" s="219"/>
      <c r="D17" s="219"/>
      <c r="E17" s="219"/>
      <c r="F17" s="219"/>
      <c r="G17" s="219"/>
      <c r="H17" s="219"/>
      <c r="I17" s="155">
        <f t="shared" ref="I17:I26" si="0">IF(ABS(G17)&gt;ABS(H17), 1, 0)</f>
        <v>0</v>
      </c>
      <c r="J17" s="155">
        <f t="shared" ref="J17:J26" si="1">I17*ABS(C17-E17)</f>
        <v>0</v>
      </c>
      <c r="K17" s="155">
        <f t="shared" ref="K17:K26" si="2">SQRT(SUMSQ(F17,J17))*2</f>
        <v>0</v>
      </c>
      <c r="L17" s="155">
        <f t="shared" ref="L17:L26" si="3">IF(C17&lt;$K$2, C17, $K$1)</f>
        <v>0</v>
      </c>
      <c r="M17" s="156" t="e">
        <f t="shared" ref="M17:M26" si="4">IF(AND(C17&lt;$K$1,C17&gt; $K$2), K17/L17*100, K17/C17*100)</f>
        <v>#DIV/0!</v>
      </c>
      <c r="N17" s="157" t="e">
        <f t="shared" ref="N17:N26" si="5">M17*L17/100</f>
        <v>#DIV/0!</v>
      </c>
      <c r="O17" s="155" t="e">
        <f t="shared" ref="O17:O26" si="6">N17/(M17*L17/100)*100</f>
        <v>#DIV/0!</v>
      </c>
      <c r="P17" s="250">
        <v>1</v>
      </c>
      <c r="Q17" s="250">
        <v>1000</v>
      </c>
      <c r="R17" s="148" t="e">
        <f>IF( IF(P17&lt;L17, M17*L17/P17, M17)&gt;100, "ERROR",  IF(P17&lt;L17, M17*L17/P17, M17))</f>
        <v>#DIV/0!</v>
      </c>
      <c r="S17" s="148" t="e">
        <f>IF(IF(Q17&lt;L17, M17*L17/Q17, M17)&gt;100, "ERROR", IF(Q17&lt;L17, M17*L17/Q17, M17))</f>
        <v>#DIV/0!</v>
      </c>
      <c r="T17" s="148" t="e">
        <f>R17*P17*0.01</f>
        <v>#DIV/0!</v>
      </c>
      <c r="U17" s="148" t="e">
        <f>S17*Q17*0.01</f>
        <v>#DIV/0!</v>
      </c>
      <c r="V17" s="7">
        <f>P17*1000</f>
        <v>1000</v>
      </c>
      <c r="W17" s="7">
        <f>Q17*1000</f>
        <v>1000000</v>
      </c>
      <c r="X17" s="1345" t="e">
        <f>T17*1000</f>
        <v>#DIV/0!</v>
      </c>
      <c r="Y17" s="1345" t="e">
        <f>U17*1000</f>
        <v>#DIV/0!</v>
      </c>
    </row>
    <row r="18" spans="1:25" x14ac:dyDescent="0.2">
      <c r="A18" s="213" t="s">
        <v>198</v>
      </c>
      <c r="B18" s="213"/>
      <c r="C18" s="219"/>
      <c r="D18" s="219"/>
      <c r="E18" s="219"/>
      <c r="F18" s="219"/>
      <c r="G18" s="219"/>
      <c r="H18" s="219"/>
      <c r="I18" s="155">
        <f t="shared" si="0"/>
        <v>0</v>
      </c>
      <c r="J18" s="155">
        <f t="shared" si="1"/>
        <v>0</v>
      </c>
      <c r="K18" s="155">
        <f t="shared" si="2"/>
        <v>0</v>
      </c>
      <c r="L18" s="155">
        <f t="shared" si="3"/>
        <v>0</v>
      </c>
      <c r="M18" s="156" t="e">
        <f t="shared" si="4"/>
        <v>#DIV/0!</v>
      </c>
      <c r="N18" s="157" t="e">
        <f t="shared" si="5"/>
        <v>#DIV/0!</v>
      </c>
      <c r="O18" s="155" t="e">
        <f t="shared" si="6"/>
        <v>#DIV/0!</v>
      </c>
      <c r="P18" s="250">
        <v>1</v>
      </c>
      <c r="Q18" s="250">
        <v>1000</v>
      </c>
      <c r="R18" s="148" t="e">
        <f t="shared" ref="R18:R37" si="7">IF( IF(P18&lt;L18, M18*L18/P18, M18)&gt;100, "ERROR",  IF(P18&lt;L18, M18*L18/P18, M18))</f>
        <v>#DIV/0!</v>
      </c>
      <c r="S18" s="148" t="e">
        <f t="shared" ref="S18:S37" si="8">IF(IF(Q18&lt;L18, M18*L18/Q18, M18)&gt;100, "ERROR", IF(Q18&lt;L18, M18*L18/Q18, M18))</f>
        <v>#DIV/0!</v>
      </c>
      <c r="T18" s="148" t="e">
        <f t="shared" ref="T18:U26" si="9">R18*P18*0.01</f>
        <v>#DIV/0!</v>
      </c>
      <c r="U18" s="148" t="e">
        <f t="shared" si="9"/>
        <v>#DIV/0!</v>
      </c>
      <c r="V18" s="7">
        <f t="shared" ref="V18:W26" si="10">P18*1000</f>
        <v>1000</v>
      </c>
      <c r="W18" s="7">
        <f t="shared" si="10"/>
        <v>1000000</v>
      </c>
      <c r="X18" s="1345" t="e">
        <f t="shared" ref="X18:Y26" si="11">T18*1000</f>
        <v>#DIV/0!</v>
      </c>
      <c r="Y18" s="1345" t="e">
        <f t="shared" si="11"/>
        <v>#DIV/0!</v>
      </c>
    </row>
    <row r="19" spans="1:25" x14ac:dyDescent="0.2">
      <c r="A19" s="213" t="s">
        <v>198</v>
      </c>
      <c r="B19" s="213"/>
      <c r="C19" s="219"/>
      <c r="D19" s="219"/>
      <c r="E19" s="219"/>
      <c r="F19" s="219"/>
      <c r="G19" s="219"/>
      <c r="H19" s="219"/>
      <c r="I19" s="155">
        <f t="shared" si="0"/>
        <v>0</v>
      </c>
      <c r="J19" s="155">
        <f t="shared" si="1"/>
        <v>0</v>
      </c>
      <c r="K19" s="155">
        <f t="shared" si="2"/>
        <v>0</v>
      </c>
      <c r="L19" s="155">
        <f t="shared" si="3"/>
        <v>0</v>
      </c>
      <c r="M19" s="156" t="e">
        <f t="shared" si="4"/>
        <v>#DIV/0!</v>
      </c>
      <c r="N19" s="157" t="e">
        <f t="shared" si="5"/>
        <v>#DIV/0!</v>
      </c>
      <c r="O19" s="155" t="e">
        <f t="shared" si="6"/>
        <v>#DIV/0!</v>
      </c>
      <c r="P19" s="250">
        <v>1</v>
      </c>
      <c r="Q19" s="250">
        <v>1000</v>
      </c>
      <c r="R19" s="148" t="e">
        <f t="shared" si="7"/>
        <v>#DIV/0!</v>
      </c>
      <c r="S19" s="148" t="e">
        <f t="shared" si="8"/>
        <v>#DIV/0!</v>
      </c>
      <c r="T19" s="148" t="e">
        <f t="shared" si="9"/>
        <v>#DIV/0!</v>
      </c>
      <c r="U19" s="148" t="e">
        <f t="shared" si="9"/>
        <v>#DIV/0!</v>
      </c>
      <c r="V19" s="7">
        <f t="shared" si="10"/>
        <v>1000</v>
      </c>
      <c r="W19" s="7">
        <f t="shared" si="10"/>
        <v>1000000</v>
      </c>
      <c r="X19" s="1345" t="e">
        <f t="shared" si="11"/>
        <v>#DIV/0!</v>
      </c>
      <c r="Y19" s="1345" t="e">
        <f t="shared" si="11"/>
        <v>#DIV/0!</v>
      </c>
    </row>
    <row r="20" spans="1:25" x14ac:dyDescent="0.2">
      <c r="A20" s="213" t="s">
        <v>198</v>
      </c>
      <c r="B20" s="213"/>
      <c r="C20" s="219"/>
      <c r="D20" s="219"/>
      <c r="E20" s="219"/>
      <c r="F20" s="219"/>
      <c r="G20" s="219"/>
      <c r="H20" s="219"/>
      <c r="I20" s="155">
        <f t="shared" si="0"/>
        <v>0</v>
      </c>
      <c r="J20" s="155">
        <f t="shared" si="1"/>
        <v>0</v>
      </c>
      <c r="K20" s="155">
        <f t="shared" si="2"/>
        <v>0</v>
      </c>
      <c r="L20" s="155">
        <f t="shared" si="3"/>
        <v>0</v>
      </c>
      <c r="M20" s="156" t="e">
        <f t="shared" si="4"/>
        <v>#DIV/0!</v>
      </c>
      <c r="N20" s="157" t="e">
        <f t="shared" si="5"/>
        <v>#DIV/0!</v>
      </c>
      <c r="O20" s="155" t="e">
        <f t="shared" si="6"/>
        <v>#DIV/0!</v>
      </c>
      <c r="P20" s="250">
        <v>1</v>
      </c>
      <c r="Q20" s="250">
        <v>1000</v>
      </c>
      <c r="R20" s="148" t="e">
        <f t="shared" si="7"/>
        <v>#DIV/0!</v>
      </c>
      <c r="S20" s="148" t="e">
        <f t="shared" si="8"/>
        <v>#DIV/0!</v>
      </c>
      <c r="T20" s="148" t="e">
        <f t="shared" si="9"/>
        <v>#DIV/0!</v>
      </c>
      <c r="U20" s="148" t="e">
        <f t="shared" si="9"/>
        <v>#DIV/0!</v>
      </c>
      <c r="V20" s="7">
        <f t="shared" si="10"/>
        <v>1000</v>
      </c>
      <c r="W20" s="7">
        <f t="shared" si="10"/>
        <v>1000000</v>
      </c>
      <c r="X20" s="1345" t="e">
        <f t="shared" si="11"/>
        <v>#DIV/0!</v>
      </c>
      <c r="Y20" s="1345" t="e">
        <f t="shared" si="11"/>
        <v>#DIV/0!</v>
      </c>
    </row>
    <row r="21" spans="1:25" x14ac:dyDescent="0.2">
      <c r="A21" s="213" t="s">
        <v>198</v>
      </c>
      <c r="B21" s="213"/>
      <c r="C21" s="219"/>
      <c r="D21" s="219"/>
      <c r="E21" s="219"/>
      <c r="F21" s="219"/>
      <c r="G21" s="219"/>
      <c r="H21" s="219"/>
      <c r="I21" s="155">
        <f t="shared" si="0"/>
        <v>0</v>
      </c>
      <c r="J21" s="155">
        <f t="shared" si="1"/>
        <v>0</v>
      </c>
      <c r="K21" s="155">
        <f t="shared" si="2"/>
        <v>0</v>
      </c>
      <c r="L21" s="155">
        <f t="shared" si="3"/>
        <v>0</v>
      </c>
      <c r="M21" s="156" t="e">
        <f t="shared" si="4"/>
        <v>#DIV/0!</v>
      </c>
      <c r="N21" s="157" t="e">
        <f t="shared" si="5"/>
        <v>#DIV/0!</v>
      </c>
      <c r="O21" s="155" t="e">
        <f t="shared" si="6"/>
        <v>#DIV/0!</v>
      </c>
      <c r="P21" s="250">
        <v>1</v>
      </c>
      <c r="Q21" s="250">
        <v>1000</v>
      </c>
      <c r="R21" s="148" t="e">
        <f t="shared" si="7"/>
        <v>#DIV/0!</v>
      </c>
      <c r="S21" s="148" t="e">
        <f t="shared" si="8"/>
        <v>#DIV/0!</v>
      </c>
      <c r="T21" s="148" t="e">
        <f t="shared" si="9"/>
        <v>#DIV/0!</v>
      </c>
      <c r="U21" s="148" t="e">
        <f t="shared" si="9"/>
        <v>#DIV/0!</v>
      </c>
      <c r="V21" s="7">
        <f t="shared" si="10"/>
        <v>1000</v>
      </c>
      <c r="W21" s="7">
        <f t="shared" si="10"/>
        <v>1000000</v>
      </c>
      <c r="X21" s="1345" t="e">
        <f t="shared" si="11"/>
        <v>#DIV/0!</v>
      </c>
      <c r="Y21" s="1345" t="e">
        <f t="shared" si="11"/>
        <v>#DIV/0!</v>
      </c>
    </row>
    <row r="22" spans="1:25" x14ac:dyDescent="0.2">
      <c r="A22" s="213" t="s">
        <v>198</v>
      </c>
      <c r="B22" s="213"/>
      <c r="C22" s="219"/>
      <c r="D22" s="219"/>
      <c r="E22" s="219"/>
      <c r="F22" s="219"/>
      <c r="G22" s="219"/>
      <c r="H22" s="219"/>
      <c r="I22" s="155">
        <f t="shared" si="0"/>
        <v>0</v>
      </c>
      <c r="J22" s="155">
        <f t="shared" si="1"/>
        <v>0</v>
      </c>
      <c r="K22" s="155">
        <f t="shared" si="2"/>
        <v>0</v>
      </c>
      <c r="L22" s="155">
        <f t="shared" si="3"/>
        <v>0</v>
      </c>
      <c r="M22" s="156" t="e">
        <f t="shared" si="4"/>
        <v>#DIV/0!</v>
      </c>
      <c r="N22" s="157" t="e">
        <f t="shared" si="5"/>
        <v>#DIV/0!</v>
      </c>
      <c r="O22" s="155" t="e">
        <f t="shared" si="6"/>
        <v>#DIV/0!</v>
      </c>
      <c r="P22" s="250">
        <v>1</v>
      </c>
      <c r="Q22" s="250">
        <v>1000</v>
      </c>
      <c r="R22" s="148" t="e">
        <f t="shared" si="7"/>
        <v>#DIV/0!</v>
      </c>
      <c r="S22" s="148" t="e">
        <f t="shared" si="8"/>
        <v>#DIV/0!</v>
      </c>
      <c r="T22" s="148" t="e">
        <f t="shared" si="9"/>
        <v>#DIV/0!</v>
      </c>
      <c r="U22" s="148" t="e">
        <f t="shared" si="9"/>
        <v>#DIV/0!</v>
      </c>
      <c r="V22" s="7">
        <f t="shared" si="10"/>
        <v>1000</v>
      </c>
      <c r="W22" s="7">
        <f t="shared" si="10"/>
        <v>1000000</v>
      </c>
      <c r="X22" s="1345" t="e">
        <f t="shared" si="11"/>
        <v>#DIV/0!</v>
      </c>
      <c r="Y22" s="1345" t="e">
        <f t="shared" si="11"/>
        <v>#DIV/0!</v>
      </c>
    </row>
    <row r="23" spans="1:25" x14ac:dyDescent="0.2">
      <c r="A23" s="213" t="s">
        <v>198</v>
      </c>
      <c r="B23" s="213"/>
      <c r="C23" s="219"/>
      <c r="D23" s="219"/>
      <c r="E23" s="219"/>
      <c r="F23" s="219"/>
      <c r="G23" s="219"/>
      <c r="H23" s="219"/>
      <c r="I23" s="155">
        <f t="shared" si="0"/>
        <v>0</v>
      </c>
      <c r="J23" s="155">
        <f t="shared" si="1"/>
        <v>0</v>
      </c>
      <c r="K23" s="155">
        <f t="shared" si="2"/>
        <v>0</v>
      </c>
      <c r="L23" s="155">
        <f t="shared" si="3"/>
        <v>0</v>
      </c>
      <c r="M23" s="156" t="e">
        <f t="shared" si="4"/>
        <v>#DIV/0!</v>
      </c>
      <c r="N23" s="157" t="e">
        <f t="shared" si="5"/>
        <v>#DIV/0!</v>
      </c>
      <c r="O23" s="155" t="e">
        <f t="shared" si="6"/>
        <v>#DIV/0!</v>
      </c>
      <c r="P23" s="250">
        <v>1</v>
      </c>
      <c r="Q23" s="250">
        <v>1000</v>
      </c>
      <c r="R23" s="148" t="e">
        <f t="shared" si="7"/>
        <v>#DIV/0!</v>
      </c>
      <c r="S23" s="148" t="e">
        <f t="shared" si="8"/>
        <v>#DIV/0!</v>
      </c>
      <c r="T23" s="148" t="e">
        <f t="shared" si="9"/>
        <v>#DIV/0!</v>
      </c>
      <c r="U23" s="148" t="e">
        <f t="shared" si="9"/>
        <v>#DIV/0!</v>
      </c>
      <c r="V23" s="7">
        <f t="shared" si="10"/>
        <v>1000</v>
      </c>
      <c r="W23" s="7">
        <f t="shared" si="10"/>
        <v>1000000</v>
      </c>
      <c r="X23" s="1345" t="e">
        <f t="shared" si="11"/>
        <v>#DIV/0!</v>
      </c>
      <c r="Y23" s="1345" t="e">
        <f t="shared" si="11"/>
        <v>#DIV/0!</v>
      </c>
    </row>
    <row r="24" spans="1:25" x14ac:dyDescent="0.2">
      <c r="A24" s="213" t="s">
        <v>198</v>
      </c>
      <c r="B24" s="213"/>
      <c r="C24" s="219"/>
      <c r="D24" s="219"/>
      <c r="E24" s="219"/>
      <c r="F24" s="219"/>
      <c r="G24" s="219"/>
      <c r="H24" s="219"/>
      <c r="I24" s="155">
        <f t="shared" si="0"/>
        <v>0</v>
      </c>
      <c r="J24" s="155">
        <f t="shared" si="1"/>
        <v>0</v>
      </c>
      <c r="K24" s="155">
        <f t="shared" si="2"/>
        <v>0</v>
      </c>
      <c r="L24" s="155">
        <f t="shared" si="3"/>
        <v>0</v>
      </c>
      <c r="M24" s="156" t="e">
        <f t="shared" si="4"/>
        <v>#DIV/0!</v>
      </c>
      <c r="N24" s="157" t="e">
        <f t="shared" si="5"/>
        <v>#DIV/0!</v>
      </c>
      <c r="O24" s="155" t="e">
        <f t="shared" si="6"/>
        <v>#DIV/0!</v>
      </c>
      <c r="P24" s="250">
        <v>1</v>
      </c>
      <c r="Q24" s="250">
        <v>1000</v>
      </c>
      <c r="R24" s="148" t="e">
        <f t="shared" si="7"/>
        <v>#DIV/0!</v>
      </c>
      <c r="S24" s="148" t="e">
        <f t="shared" si="8"/>
        <v>#DIV/0!</v>
      </c>
      <c r="T24" s="148" t="e">
        <f t="shared" si="9"/>
        <v>#DIV/0!</v>
      </c>
      <c r="U24" s="148" t="e">
        <f t="shared" si="9"/>
        <v>#DIV/0!</v>
      </c>
      <c r="V24" s="7">
        <f t="shared" si="10"/>
        <v>1000</v>
      </c>
      <c r="W24" s="7">
        <f t="shared" si="10"/>
        <v>1000000</v>
      </c>
      <c r="X24" s="1345" t="e">
        <f t="shared" si="11"/>
        <v>#DIV/0!</v>
      </c>
      <c r="Y24" s="1345" t="e">
        <f t="shared" si="11"/>
        <v>#DIV/0!</v>
      </c>
    </row>
    <row r="25" spans="1:25" x14ac:dyDescent="0.2">
      <c r="A25" s="213" t="s">
        <v>198</v>
      </c>
      <c r="B25" s="213"/>
      <c r="C25" s="219"/>
      <c r="D25" s="219"/>
      <c r="E25" s="219"/>
      <c r="F25" s="219"/>
      <c r="G25" s="219"/>
      <c r="H25" s="219"/>
      <c r="I25" s="155">
        <f t="shared" si="0"/>
        <v>0</v>
      </c>
      <c r="J25" s="155">
        <f t="shared" si="1"/>
        <v>0</v>
      </c>
      <c r="K25" s="155">
        <f t="shared" si="2"/>
        <v>0</v>
      </c>
      <c r="L25" s="155">
        <f t="shared" si="3"/>
        <v>0</v>
      </c>
      <c r="M25" s="156" t="e">
        <f t="shared" si="4"/>
        <v>#DIV/0!</v>
      </c>
      <c r="N25" s="157" t="e">
        <f t="shared" si="5"/>
        <v>#DIV/0!</v>
      </c>
      <c r="O25" s="155" t="e">
        <f t="shared" si="6"/>
        <v>#DIV/0!</v>
      </c>
      <c r="P25" s="250">
        <v>1</v>
      </c>
      <c r="Q25" s="250">
        <v>1000</v>
      </c>
      <c r="R25" s="148" t="e">
        <f t="shared" si="7"/>
        <v>#DIV/0!</v>
      </c>
      <c r="S25" s="148" t="e">
        <f t="shared" si="8"/>
        <v>#DIV/0!</v>
      </c>
      <c r="T25" s="148" t="e">
        <f t="shared" si="9"/>
        <v>#DIV/0!</v>
      </c>
      <c r="U25" s="148" t="e">
        <f t="shared" si="9"/>
        <v>#DIV/0!</v>
      </c>
      <c r="V25" s="7">
        <f t="shared" si="10"/>
        <v>1000</v>
      </c>
      <c r="W25" s="7">
        <f t="shared" si="10"/>
        <v>1000000</v>
      </c>
      <c r="X25" s="1345" t="e">
        <f t="shared" si="11"/>
        <v>#DIV/0!</v>
      </c>
      <c r="Y25" s="1345" t="e">
        <f t="shared" si="11"/>
        <v>#DIV/0!</v>
      </c>
    </row>
    <row r="26" spans="1:25" x14ac:dyDescent="0.2">
      <c r="A26" s="213" t="s">
        <v>198</v>
      </c>
      <c r="B26" s="213"/>
      <c r="C26" s="219"/>
      <c r="D26" s="219"/>
      <c r="E26" s="219"/>
      <c r="F26" s="219"/>
      <c r="G26" s="219"/>
      <c r="H26" s="219"/>
      <c r="I26" s="155">
        <f t="shared" si="0"/>
        <v>0</v>
      </c>
      <c r="J26" s="155">
        <f t="shared" si="1"/>
        <v>0</v>
      </c>
      <c r="K26" s="155">
        <f t="shared" si="2"/>
        <v>0</v>
      </c>
      <c r="L26" s="155">
        <f t="shared" si="3"/>
        <v>0</v>
      </c>
      <c r="M26" s="156" t="e">
        <f t="shared" si="4"/>
        <v>#DIV/0!</v>
      </c>
      <c r="N26" s="157" t="e">
        <f t="shared" si="5"/>
        <v>#DIV/0!</v>
      </c>
      <c r="O26" s="155" t="e">
        <f t="shared" si="6"/>
        <v>#DIV/0!</v>
      </c>
      <c r="P26" s="250">
        <v>1</v>
      </c>
      <c r="Q26" s="250">
        <v>1000</v>
      </c>
      <c r="R26" s="148" t="e">
        <f t="shared" si="7"/>
        <v>#DIV/0!</v>
      </c>
      <c r="S26" s="148" t="e">
        <f t="shared" si="8"/>
        <v>#DIV/0!</v>
      </c>
      <c r="T26" s="148" t="e">
        <f t="shared" si="9"/>
        <v>#DIV/0!</v>
      </c>
      <c r="U26" s="148" t="e">
        <f t="shared" si="9"/>
        <v>#DIV/0!</v>
      </c>
      <c r="V26" s="7">
        <f t="shared" si="10"/>
        <v>1000</v>
      </c>
      <c r="W26" s="7">
        <f t="shared" si="10"/>
        <v>1000000</v>
      </c>
      <c r="X26" s="1345" t="e">
        <f t="shared" si="11"/>
        <v>#DIV/0!</v>
      </c>
      <c r="Y26" s="1345" t="e">
        <f t="shared" si="11"/>
        <v>#DIV/0!</v>
      </c>
    </row>
    <row r="27" spans="1:25" x14ac:dyDescent="0.2">
      <c r="A27" s="213" t="s">
        <v>198</v>
      </c>
      <c r="B27" s="213"/>
      <c r="C27" s="219"/>
      <c r="D27" s="219"/>
      <c r="E27" s="219"/>
      <c r="F27" s="219"/>
      <c r="G27" s="219"/>
      <c r="H27" s="219"/>
      <c r="I27" s="155">
        <f t="shared" ref="I27:I32" si="12">IF(ABS(G27)&gt;ABS(H27), 1, 0)</f>
        <v>0</v>
      </c>
      <c r="J27" s="155">
        <f t="shared" ref="J27:J32" si="13">I27*ABS(C27-E27)</f>
        <v>0</v>
      </c>
      <c r="K27" s="155">
        <f t="shared" ref="K27:K32" si="14">SQRT(SUMSQ(F27,J27))*2</f>
        <v>0</v>
      </c>
      <c r="L27" s="155">
        <f t="shared" ref="L27:L32" si="15">IF(C27&lt;$K$2, C27, $K$1)</f>
        <v>0</v>
      </c>
      <c r="M27" s="156" t="e">
        <f t="shared" ref="M27:M32" si="16">IF(AND(C27&lt;$K$1,C27&gt; $K$2), K27/L27*100, K27/C27*100)</f>
        <v>#DIV/0!</v>
      </c>
      <c r="N27" s="157" t="e">
        <f t="shared" ref="N27:N32" si="17">M27*L27/100</f>
        <v>#DIV/0!</v>
      </c>
      <c r="O27" s="155" t="e">
        <f t="shared" ref="O27:O32" si="18">N27/(M27*L27/100)*100</f>
        <v>#DIV/0!</v>
      </c>
      <c r="P27" s="250">
        <v>1</v>
      </c>
      <c r="Q27" s="250">
        <v>1000</v>
      </c>
      <c r="R27" s="148" t="e">
        <f t="shared" si="7"/>
        <v>#DIV/0!</v>
      </c>
      <c r="S27" s="148" t="e">
        <f t="shared" si="8"/>
        <v>#DIV/0!</v>
      </c>
      <c r="T27" s="148" t="e">
        <f t="shared" ref="T27:T32" si="19">R27*P27*0.01</f>
        <v>#DIV/0!</v>
      </c>
      <c r="U27" s="148" t="e">
        <f t="shared" ref="U27:U32" si="20">S27*Q27*0.01</f>
        <v>#DIV/0!</v>
      </c>
      <c r="V27" s="7">
        <f t="shared" ref="V27:V32" si="21">P27*1000</f>
        <v>1000</v>
      </c>
      <c r="W27" s="7">
        <f t="shared" ref="W27:W32" si="22">Q27*1000</f>
        <v>1000000</v>
      </c>
      <c r="X27" s="1345" t="e">
        <f t="shared" ref="X27:X32" si="23">T27*1000</f>
        <v>#DIV/0!</v>
      </c>
      <c r="Y27" s="1345" t="e">
        <f t="shared" ref="Y27:Y32" si="24">U27*1000</f>
        <v>#DIV/0!</v>
      </c>
    </row>
    <row r="28" spans="1:25" x14ac:dyDescent="0.2">
      <c r="A28" s="213" t="s">
        <v>198</v>
      </c>
      <c r="B28" s="213"/>
      <c r="C28" s="219"/>
      <c r="D28" s="219"/>
      <c r="E28" s="219"/>
      <c r="F28" s="219"/>
      <c r="G28" s="219"/>
      <c r="H28" s="219"/>
      <c r="I28" s="155">
        <f t="shared" si="12"/>
        <v>0</v>
      </c>
      <c r="J28" s="155">
        <f t="shared" si="13"/>
        <v>0</v>
      </c>
      <c r="K28" s="155">
        <f t="shared" si="14"/>
        <v>0</v>
      </c>
      <c r="L28" s="155">
        <f t="shared" si="15"/>
        <v>0</v>
      </c>
      <c r="M28" s="156" t="e">
        <f t="shared" si="16"/>
        <v>#DIV/0!</v>
      </c>
      <c r="N28" s="157" t="e">
        <f t="shared" si="17"/>
        <v>#DIV/0!</v>
      </c>
      <c r="O28" s="155" t="e">
        <f t="shared" si="18"/>
        <v>#DIV/0!</v>
      </c>
      <c r="P28" s="250">
        <v>1</v>
      </c>
      <c r="Q28" s="250">
        <v>1000</v>
      </c>
      <c r="R28" s="148" t="e">
        <f t="shared" si="7"/>
        <v>#DIV/0!</v>
      </c>
      <c r="S28" s="148" t="e">
        <f t="shared" si="8"/>
        <v>#DIV/0!</v>
      </c>
      <c r="T28" s="148" t="e">
        <f t="shared" si="19"/>
        <v>#DIV/0!</v>
      </c>
      <c r="U28" s="148" t="e">
        <f t="shared" si="20"/>
        <v>#DIV/0!</v>
      </c>
      <c r="V28" s="7">
        <f t="shared" si="21"/>
        <v>1000</v>
      </c>
      <c r="W28" s="7">
        <f t="shared" si="22"/>
        <v>1000000</v>
      </c>
      <c r="X28" s="1345" t="e">
        <f t="shared" si="23"/>
        <v>#DIV/0!</v>
      </c>
      <c r="Y28" s="1345" t="e">
        <f t="shared" si="24"/>
        <v>#DIV/0!</v>
      </c>
    </row>
    <row r="29" spans="1:25" x14ac:dyDescent="0.2">
      <c r="A29" s="213" t="s">
        <v>198</v>
      </c>
      <c r="B29" s="213"/>
      <c r="C29" s="219"/>
      <c r="D29" s="219"/>
      <c r="E29" s="219"/>
      <c r="F29" s="219"/>
      <c r="G29" s="219"/>
      <c r="H29" s="219"/>
      <c r="I29" s="155">
        <f t="shared" si="12"/>
        <v>0</v>
      </c>
      <c r="J29" s="155">
        <f t="shared" si="13"/>
        <v>0</v>
      </c>
      <c r="K29" s="155">
        <f t="shared" si="14"/>
        <v>0</v>
      </c>
      <c r="L29" s="155">
        <f t="shared" si="15"/>
        <v>0</v>
      </c>
      <c r="M29" s="156" t="e">
        <f t="shared" si="16"/>
        <v>#DIV/0!</v>
      </c>
      <c r="N29" s="157" t="e">
        <f t="shared" si="17"/>
        <v>#DIV/0!</v>
      </c>
      <c r="O29" s="155" t="e">
        <f t="shared" si="18"/>
        <v>#DIV/0!</v>
      </c>
      <c r="P29" s="250">
        <v>1</v>
      </c>
      <c r="Q29" s="250">
        <v>1000</v>
      </c>
      <c r="R29" s="148" t="e">
        <f t="shared" si="7"/>
        <v>#DIV/0!</v>
      </c>
      <c r="S29" s="148" t="e">
        <f t="shared" si="8"/>
        <v>#DIV/0!</v>
      </c>
      <c r="T29" s="148" t="e">
        <f t="shared" si="19"/>
        <v>#DIV/0!</v>
      </c>
      <c r="U29" s="148" t="e">
        <f t="shared" si="20"/>
        <v>#DIV/0!</v>
      </c>
      <c r="V29" s="7">
        <f t="shared" si="21"/>
        <v>1000</v>
      </c>
      <c r="W29" s="7">
        <f t="shared" si="22"/>
        <v>1000000</v>
      </c>
      <c r="X29" s="1345" t="e">
        <f t="shared" si="23"/>
        <v>#DIV/0!</v>
      </c>
      <c r="Y29" s="1345" t="e">
        <f t="shared" si="24"/>
        <v>#DIV/0!</v>
      </c>
    </row>
    <row r="30" spans="1:25" x14ac:dyDescent="0.2">
      <c r="A30" s="213" t="s">
        <v>198</v>
      </c>
      <c r="B30" s="213"/>
      <c r="C30" s="219"/>
      <c r="D30" s="219"/>
      <c r="E30" s="219"/>
      <c r="F30" s="219"/>
      <c r="G30" s="219"/>
      <c r="H30" s="219"/>
      <c r="I30" s="155">
        <f t="shared" si="12"/>
        <v>0</v>
      </c>
      <c r="J30" s="155">
        <f t="shared" si="13"/>
        <v>0</v>
      </c>
      <c r="K30" s="155">
        <f t="shared" si="14"/>
        <v>0</v>
      </c>
      <c r="L30" s="155">
        <f t="shared" si="15"/>
        <v>0</v>
      </c>
      <c r="M30" s="156" t="e">
        <f t="shared" si="16"/>
        <v>#DIV/0!</v>
      </c>
      <c r="N30" s="157" t="e">
        <f t="shared" si="17"/>
        <v>#DIV/0!</v>
      </c>
      <c r="O30" s="155" t="e">
        <f t="shared" si="18"/>
        <v>#DIV/0!</v>
      </c>
      <c r="P30" s="250">
        <v>1</v>
      </c>
      <c r="Q30" s="250">
        <v>1000</v>
      </c>
      <c r="R30" s="148" t="e">
        <f t="shared" si="7"/>
        <v>#DIV/0!</v>
      </c>
      <c r="S30" s="148" t="e">
        <f t="shared" si="8"/>
        <v>#DIV/0!</v>
      </c>
      <c r="T30" s="148" t="e">
        <f t="shared" si="19"/>
        <v>#DIV/0!</v>
      </c>
      <c r="U30" s="148" t="e">
        <f t="shared" si="20"/>
        <v>#DIV/0!</v>
      </c>
      <c r="V30" s="7">
        <f t="shared" si="21"/>
        <v>1000</v>
      </c>
      <c r="W30" s="7">
        <f t="shared" si="22"/>
        <v>1000000</v>
      </c>
      <c r="X30" s="1345" t="e">
        <f t="shared" si="23"/>
        <v>#DIV/0!</v>
      </c>
      <c r="Y30" s="1345" t="e">
        <f t="shared" si="24"/>
        <v>#DIV/0!</v>
      </c>
    </row>
    <row r="31" spans="1:25" x14ac:dyDescent="0.2">
      <c r="A31" s="213" t="s">
        <v>198</v>
      </c>
      <c r="B31" s="213"/>
      <c r="C31" s="219"/>
      <c r="D31" s="219"/>
      <c r="E31" s="219"/>
      <c r="F31" s="219"/>
      <c r="G31" s="219"/>
      <c r="H31" s="219"/>
      <c r="I31" s="155">
        <f t="shared" si="12"/>
        <v>0</v>
      </c>
      <c r="J31" s="155">
        <f t="shared" si="13"/>
        <v>0</v>
      </c>
      <c r="K31" s="155">
        <f t="shared" si="14"/>
        <v>0</v>
      </c>
      <c r="L31" s="155">
        <f t="shared" si="15"/>
        <v>0</v>
      </c>
      <c r="M31" s="156" t="e">
        <f t="shared" si="16"/>
        <v>#DIV/0!</v>
      </c>
      <c r="N31" s="157" t="e">
        <f t="shared" si="17"/>
        <v>#DIV/0!</v>
      </c>
      <c r="O31" s="155" t="e">
        <f t="shared" si="18"/>
        <v>#DIV/0!</v>
      </c>
      <c r="P31" s="250">
        <v>1</v>
      </c>
      <c r="Q31" s="250">
        <v>1000</v>
      </c>
      <c r="R31" s="148" t="e">
        <f t="shared" si="7"/>
        <v>#DIV/0!</v>
      </c>
      <c r="S31" s="148" t="e">
        <f t="shared" si="8"/>
        <v>#DIV/0!</v>
      </c>
      <c r="T31" s="148" t="e">
        <f t="shared" si="19"/>
        <v>#DIV/0!</v>
      </c>
      <c r="U31" s="148" t="e">
        <f t="shared" si="20"/>
        <v>#DIV/0!</v>
      </c>
      <c r="V31" s="7">
        <f t="shared" si="21"/>
        <v>1000</v>
      </c>
      <c r="W31" s="7">
        <f t="shared" si="22"/>
        <v>1000000</v>
      </c>
      <c r="X31" s="1345" t="e">
        <f t="shared" si="23"/>
        <v>#DIV/0!</v>
      </c>
      <c r="Y31" s="1345" t="e">
        <f t="shared" si="24"/>
        <v>#DIV/0!</v>
      </c>
    </row>
    <row r="32" spans="1:25" x14ac:dyDescent="0.2">
      <c r="A32" s="213" t="s">
        <v>198</v>
      </c>
      <c r="B32" s="213"/>
      <c r="C32" s="219"/>
      <c r="D32" s="219"/>
      <c r="E32" s="219"/>
      <c r="F32" s="219"/>
      <c r="G32" s="219"/>
      <c r="H32" s="219"/>
      <c r="I32" s="155">
        <f t="shared" si="12"/>
        <v>0</v>
      </c>
      <c r="J32" s="155">
        <f t="shared" si="13"/>
        <v>0</v>
      </c>
      <c r="K32" s="155">
        <f t="shared" si="14"/>
        <v>0</v>
      </c>
      <c r="L32" s="155">
        <f t="shared" si="15"/>
        <v>0</v>
      </c>
      <c r="M32" s="156" t="e">
        <f t="shared" si="16"/>
        <v>#DIV/0!</v>
      </c>
      <c r="N32" s="157" t="e">
        <f t="shared" si="17"/>
        <v>#DIV/0!</v>
      </c>
      <c r="O32" s="155" t="e">
        <f t="shared" si="18"/>
        <v>#DIV/0!</v>
      </c>
      <c r="P32" s="250">
        <v>1</v>
      </c>
      <c r="Q32" s="250">
        <v>1000</v>
      </c>
      <c r="R32" s="148" t="e">
        <f t="shared" si="7"/>
        <v>#DIV/0!</v>
      </c>
      <c r="S32" s="148" t="e">
        <f t="shared" si="8"/>
        <v>#DIV/0!</v>
      </c>
      <c r="T32" s="148" t="e">
        <f t="shared" si="19"/>
        <v>#DIV/0!</v>
      </c>
      <c r="U32" s="148" t="e">
        <f t="shared" si="20"/>
        <v>#DIV/0!</v>
      </c>
      <c r="V32" s="7">
        <f t="shared" si="21"/>
        <v>1000</v>
      </c>
      <c r="W32" s="7">
        <f t="shared" si="22"/>
        <v>1000000</v>
      </c>
      <c r="X32" s="1345" t="e">
        <f t="shared" si="23"/>
        <v>#DIV/0!</v>
      </c>
      <c r="Y32" s="1345" t="e">
        <f t="shared" si="24"/>
        <v>#DIV/0!</v>
      </c>
    </row>
    <row r="33" spans="1:26" x14ac:dyDescent="0.2">
      <c r="A33" s="213" t="s">
        <v>198</v>
      </c>
      <c r="B33" s="213"/>
      <c r="C33" s="219"/>
      <c r="D33" s="219"/>
      <c r="E33" s="219"/>
      <c r="F33" s="219"/>
      <c r="G33" s="219"/>
      <c r="H33" s="219"/>
      <c r="I33" s="155">
        <f t="shared" ref="I33:I37" si="25">IF(ABS(G33)&gt;ABS(H33), 1, 0)</f>
        <v>0</v>
      </c>
      <c r="J33" s="155">
        <f t="shared" ref="J33:J37" si="26">I33*ABS(C33-E33)</f>
        <v>0</v>
      </c>
      <c r="K33" s="155">
        <f t="shared" ref="K33:K37" si="27">SQRT(SUMSQ(F33,J33))*2</f>
        <v>0</v>
      </c>
      <c r="L33" s="155">
        <f t="shared" ref="L33:L37" si="28">IF(C33&lt;$K$2, C33, $K$1)</f>
        <v>0</v>
      </c>
      <c r="M33" s="156" t="e">
        <f t="shared" ref="M33:M37" si="29">IF(AND(C33&lt;$K$1,C33&gt; $K$2), K33/L33*100, K33/C33*100)</f>
        <v>#DIV/0!</v>
      </c>
      <c r="N33" s="157" t="e">
        <f t="shared" ref="N33:N37" si="30">M33*L33/100</f>
        <v>#DIV/0!</v>
      </c>
      <c r="O33" s="155" t="e">
        <f t="shared" ref="O33:O37" si="31">N33/(M33*L33/100)*100</f>
        <v>#DIV/0!</v>
      </c>
      <c r="P33" s="250">
        <v>1</v>
      </c>
      <c r="Q33" s="250">
        <v>1000</v>
      </c>
      <c r="R33" s="148" t="e">
        <f t="shared" si="7"/>
        <v>#DIV/0!</v>
      </c>
      <c r="S33" s="148" t="e">
        <f t="shared" si="8"/>
        <v>#DIV/0!</v>
      </c>
      <c r="T33" s="148" t="e">
        <f t="shared" ref="T33:T37" si="32">R33*P33*0.01</f>
        <v>#DIV/0!</v>
      </c>
      <c r="U33" s="148" t="e">
        <f t="shared" ref="U33:U37" si="33">S33*Q33*0.01</f>
        <v>#DIV/0!</v>
      </c>
      <c r="V33" s="7">
        <f t="shared" ref="V33:V37" si="34">P33*1000</f>
        <v>1000</v>
      </c>
      <c r="W33" s="7">
        <f t="shared" ref="W33:W37" si="35">Q33*1000</f>
        <v>1000000</v>
      </c>
      <c r="X33" s="1345" t="e">
        <f t="shared" ref="X33:X37" si="36">T33*1000</f>
        <v>#DIV/0!</v>
      </c>
      <c r="Y33" s="1345" t="e">
        <f t="shared" ref="Y33:Y37" si="37">U33*1000</f>
        <v>#DIV/0!</v>
      </c>
    </row>
    <row r="34" spans="1:26" x14ac:dyDescent="0.2">
      <c r="A34" s="213" t="s">
        <v>198</v>
      </c>
      <c r="B34" s="213"/>
      <c r="C34" s="219"/>
      <c r="D34" s="219"/>
      <c r="E34" s="219"/>
      <c r="F34" s="219"/>
      <c r="G34" s="219"/>
      <c r="H34" s="219"/>
      <c r="I34" s="155">
        <f t="shared" si="25"/>
        <v>0</v>
      </c>
      <c r="J34" s="155">
        <f t="shared" si="26"/>
        <v>0</v>
      </c>
      <c r="K34" s="155">
        <f t="shared" si="27"/>
        <v>0</v>
      </c>
      <c r="L34" s="155">
        <f t="shared" si="28"/>
        <v>0</v>
      </c>
      <c r="M34" s="156" t="e">
        <f t="shared" si="29"/>
        <v>#DIV/0!</v>
      </c>
      <c r="N34" s="157" t="e">
        <f t="shared" si="30"/>
        <v>#DIV/0!</v>
      </c>
      <c r="O34" s="155" t="e">
        <f t="shared" si="31"/>
        <v>#DIV/0!</v>
      </c>
      <c r="P34" s="250">
        <v>1</v>
      </c>
      <c r="Q34" s="250">
        <v>1000</v>
      </c>
      <c r="R34" s="148" t="e">
        <f t="shared" si="7"/>
        <v>#DIV/0!</v>
      </c>
      <c r="S34" s="148" t="e">
        <f t="shared" si="8"/>
        <v>#DIV/0!</v>
      </c>
      <c r="T34" s="148" t="e">
        <f t="shared" si="32"/>
        <v>#DIV/0!</v>
      </c>
      <c r="U34" s="148" t="e">
        <f t="shared" si="33"/>
        <v>#DIV/0!</v>
      </c>
      <c r="V34" s="7">
        <f t="shared" si="34"/>
        <v>1000</v>
      </c>
      <c r="W34" s="7">
        <f t="shared" si="35"/>
        <v>1000000</v>
      </c>
      <c r="X34" s="1345" t="e">
        <f t="shared" si="36"/>
        <v>#DIV/0!</v>
      </c>
      <c r="Y34" s="1345" t="e">
        <f t="shared" si="37"/>
        <v>#DIV/0!</v>
      </c>
    </row>
    <row r="35" spans="1:26" x14ac:dyDescent="0.2">
      <c r="A35" s="213" t="s">
        <v>198</v>
      </c>
      <c r="B35" s="213"/>
      <c r="C35" s="219"/>
      <c r="D35" s="219"/>
      <c r="E35" s="219"/>
      <c r="F35" s="219"/>
      <c r="G35" s="219"/>
      <c r="H35" s="219"/>
      <c r="I35" s="155">
        <f t="shared" si="25"/>
        <v>0</v>
      </c>
      <c r="J35" s="155">
        <f t="shared" si="26"/>
        <v>0</v>
      </c>
      <c r="K35" s="155">
        <f t="shared" si="27"/>
        <v>0</v>
      </c>
      <c r="L35" s="155">
        <f t="shared" si="28"/>
        <v>0</v>
      </c>
      <c r="M35" s="156" t="e">
        <f t="shared" si="29"/>
        <v>#DIV/0!</v>
      </c>
      <c r="N35" s="157" t="e">
        <f t="shared" si="30"/>
        <v>#DIV/0!</v>
      </c>
      <c r="O35" s="155" t="e">
        <f t="shared" si="31"/>
        <v>#DIV/0!</v>
      </c>
      <c r="P35" s="250">
        <v>1</v>
      </c>
      <c r="Q35" s="250">
        <v>1000</v>
      </c>
      <c r="R35" s="148" t="e">
        <f t="shared" si="7"/>
        <v>#DIV/0!</v>
      </c>
      <c r="S35" s="148" t="e">
        <f t="shared" si="8"/>
        <v>#DIV/0!</v>
      </c>
      <c r="T35" s="148" t="e">
        <f t="shared" si="32"/>
        <v>#DIV/0!</v>
      </c>
      <c r="U35" s="148" t="e">
        <f t="shared" si="33"/>
        <v>#DIV/0!</v>
      </c>
      <c r="V35" s="7">
        <f t="shared" si="34"/>
        <v>1000</v>
      </c>
      <c r="W35" s="7">
        <f t="shared" si="35"/>
        <v>1000000</v>
      </c>
      <c r="X35" s="1345" t="e">
        <f t="shared" si="36"/>
        <v>#DIV/0!</v>
      </c>
      <c r="Y35" s="1345" t="e">
        <f t="shared" si="37"/>
        <v>#DIV/0!</v>
      </c>
    </row>
    <row r="36" spans="1:26" x14ac:dyDescent="0.2">
      <c r="A36" s="213" t="s">
        <v>198</v>
      </c>
      <c r="B36" s="213"/>
      <c r="C36" s="219"/>
      <c r="D36" s="219"/>
      <c r="E36" s="219"/>
      <c r="F36" s="219"/>
      <c r="G36" s="219"/>
      <c r="H36" s="219"/>
      <c r="I36" s="155">
        <f t="shared" si="25"/>
        <v>0</v>
      </c>
      <c r="J36" s="155">
        <f t="shared" si="26"/>
        <v>0</v>
      </c>
      <c r="K36" s="155">
        <f t="shared" si="27"/>
        <v>0</v>
      </c>
      <c r="L36" s="155">
        <f t="shared" si="28"/>
        <v>0</v>
      </c>
      <c r="M36" s="156" t="e">
        <f t="shared" si="29"/>
        <v>#DIV/0!</v>
      </c>
      <c r="N36" s="157" t="e">
        <f t="shared" si="30"/>
        <v>#DIV/0!</v>
      </c>
      <c r="O36" s="155" t="e">
        <f t="shared" si="31"/>
        <v>#DIV/0!</v>
      </c>
      <c r="P36" s="250">
        <v>1</v>
      </c>
      <c r="Q36" s="250">
        <v>1000</v>
      </c>
      <c r="R36" s="148" t="e">
        <f t="shared" si="7"/>
        <v>#DIV/0!</v>
      </c>
      <c r="S36" s="148" t="e">
        <f t="shared" si="8"/>
        <v>#DIV/0!</v>
      </c>
      <c r="T36" s="148" t="e">
        <f t="shared" si="32"/>
        <v>#DIV/0!</v>
      </c>
      <c r="U36" s="148" t="e">
        <f t="shared" si="33"/>
        <v>#DIV/0!</v>
      </c>
      <c r="V36" s="7">
        <f t="shared" si="34"/>
        <v>1000</v>
      </c>
      <c r="W36" s="7">
        <f t="shared" si="35"/>
        <v>1000000</v>
      </c>
      <c r="X36" s="1345" t="e">
        <f t="shared" si="36"/>
        <v>#DIV/0!</v>
      </c>
      <c r="Y36" s="1345" t="e">
        <f t="shared" si="37"/>
        <v>#DIV/0!</v>
      </c>
    </row>
    <row r="37" spans="1:26" x14ac:dyDescent="0.2">
      <c r="A37" s="213" t="s">
        <v>198</v>
      </c>
      <c r="B37" s="213"/>
      <c r="C37" s="219"/>
      <c r="D37" s="219"/>
      <c r="E37" s="219"/>
      <c r="F37" s="219"/>
      <c r="G37" s="219"/>
      <c r="H37" s="219"/>
      <c r="I37" s="155">
        <f t="shared" si="25"/>
        <v>0</v>
      </c>
      <c r="J37" s="155">
        <f t="shared" si="26"/>
        <v>0</v>
      </c>
      <c r="K37" s="155">
        <f t="shared" si="27"/>
        <v>0</v>
      </c>
      <c r="L37" s="155">
        <f t="shared" si="28"/>
        <v>0</v>
      </c>
      <c r="M37" s="156" t="e">
        <f t="shared" si="29"/>
        <v>#DIV/0!</v>
      </c>
      <c r="N37" s="157" t="e">
        <f t="shared" si="30"/>
        <v>#DIV/0!</v>
      </c>
      <c r="O37" s="155" t="e">
        <f t="shared" si="31"/>
        <v>#DIV/0!</v>
      </c>
      <c r="P37" s="250">
        <v>1</v>
      </c>
      <c r="Q37" s="250">
        <v>1000</v>
      </c>
      <c r="R37" s="148" t="e">
        <f t="shared" si="7"/>
        <v>#DIV/0!</v>
      </c>
      <c r="S37" s="148" t="e">
        <f t="shared" si="8"/>
        <v>#DIV/0!</v>
      </c>
      <c r="T37" s="148" t="e">
        <f t="shared" si="32"/>
        <v>#DIV/0!</v>
      </c>
      <c r="U37" s="148" t="e">
        <f t="shared" si="33"/>
        <v>#DIV/0!</v>
      </c>
      <c r="V37" s="7">
        <f t="shared" si="34"/>
        <v>1000</v>
      </c>
      <c r="W37" s="7">
        <f t="shared" si="35"/>
        <v>1000000</v>
      </c>
      <c r="X37" s="1345" t="e">
        <f t="shared" si="36"/>
        <v>#DIV/0!</v>
      </c>
      <c r="Y37" s="1345" t="e">
        <f t="shared" si="37"/>
        <v>#DIV/0!</v>
      </c>
    </row>
    <row r="38" spans="1:26" ht="14.25" x14ac:dyDescent="0.2">
      <c r="H38" s="9"/>
      <c r="U38" s="152"/>
      <c r="V38" s="21"/>
      <c r="W38" s="21"/>
      <c r="X38" s="21"/>
      <c r="Y38" s="21"/>
      <c r="Z38" s="21"/>
    </row>
    <row r="39" spans="1:26" ht="14.25" x14ac:dyDescent="0.2">
      <c r="H39" s="9"/>
      <c r="U39" s="152"/>
      <c r="V39" s="21"/>
      <c r="W39" s="21"/>
      <c r="X39" s="21"/>
      <c r="Y39" s="21"/>
      <c r="Z39" s="21"/>
    </row>
    <row r="40" spans="1:26" ht="14.25" x14ac:dyDescent="0.2">
      <c r="H40" s="9"/>
      <c r="V40" s="21"/>
      <c r="W40" s="21"/>
      <c r="X40" s="21"/>
      <c r="Y40" s="21"/>
      <c r="Z40" s="21"/>
    </row>
    <row r="41" spans="1:26" ht="14.25" x14ac:dyDescent="0.2">
      <c r="H41" s="9"/>
      <c r="X41" s="21"/>
      <c r="Y41" s="21"/>
      <c r="Z41" s="21"/>
    </row>
    <row r="42" spans="1:26" ht="14.25" x14ac:dyDescent="0.2">
      <c r="H42" s="9"/>
      <c r="X42" s="21"/>
      <c r="Y42" s="21"/>
      <c r="Z42" s="21"/>
    </row>
    <row r="43" spans="1:26" ht="14.25" x14ac:dyDescent="0.2">
      <c r="H43" s="9"/>
      <c r="X43" s="21"/>
      <c r="Y43" s="21"/>
      <c r="Z43" s="21"/>
    </row>
    <row r="44" spans="1:26" ht="14.25" x14ac:dyDescent="0.2">
      <c r="H44" s="9"/>
      <c r="V44" s="21"/>
      <c r="W44" s="21"/>
      <c r="X44" s="21"/>
      <c r="Y44" s="21"/>
      <c r="Z44" s="21"/>
    </row>
    <row r="45" spans="1:26" ht="14.25" x14ac:dyDescent="0.2">
      <c r="H45" s="9"/>
      <c r="U45" s="152"/>
      <c r="V45" s="21"/>
      <c r="W45" s="21"/>
      <c r="X45" s="21"/>
      <c r="Y45" s="21"/>
      <c r="Z45" s="21"/>
    </row>
    <row r="46" spans="1:26" ht="14.25" x14ac:dyDescent="0.2">
      <c r="H46" s="9"/>
      <c r="U46" s="152"/>
      <c r="V46" s="21"/>
      <c r="W46" s="21"/>
      <c r="X46" s="21"/>
      <c r="Y46" s="21"/>
      <c r="Z46" s="21"/>
    </row>
    <row r="47" spans="1:26" ht="14.25" x14ac:dyDescent="0.2">
      <c r="H47" s="9"/>
      <c r="U47" s="152"/>
      <c r="V47" s="21"/>
      <c r="W47" s="21"/>
      <c r="X47" s="21"/>
      <c r="Y47" s="21"/>
      <c r="Z47" s="21"/>
    </row>
    <row r="48" spans="1:26" ht="14.25" x14ac:dyDescent="0.2">
      <c r="H48" s="9"/>
      <c r="U48" s="152"/>
      <c r="V48" s="21"/>
      <c r="W48" s="21"/>
      <c r="X48" s="21"/>
      <c r="Y48" s="21"/>
      <c r="Z48" s="21"/>
    </row>
    <row r="49" spans="8:26" ht="14.25" x14ac:dyDescent="0.2">
      <c r="H49" s="9"/>
      <c r="U49" s="152"/>
      <c r="V49" s="21"/>
      <c r="W49" s="21"/>
      <c r="X49" s="21"/>
      <c r="Y49" s="21"/>
      <c r="Z49" s="21"/>
    </row>
    <row r="50" spans="8:26" ht="14.25" x14ac:dyDescent="0.2">
      <c r="H50" s="9"/>
      <c r="U50" s="152"/>
      <c r="V50" s="21"/>
      <c r="W50" s="21"/>
      <c r="X50" s="21"/>
      <c r="Y50" s="21"/>
      <c r="Z50" s="21"/>
    </row>
    <row r="51" spans="8:26" ht="14.25" x14ac:dyDescent="0.2">
      <c r="H51" s="9"/>
      <c r="U51" s="152"/>
      <c r="V51" s="21"/>
      <c r="W51" s="21"/>
      <c r="X51" s="21"/>
      <c r="Y51" s="21"/>
      <c r="Z51" s="21"/>
    </row>
    <row r="52" spans="8:26" ht="14.25" x14ac:dyDescent="0.2">
      <c r="H52" s="9"/>
      <c r="X52" s="21"/>
      <c r="Y52" s="21"/>
      <c r="Z52" s="21"/>
    </row>
    <row r="53" spans="8:26" ht="14.25" x14ac:dyDescent="0.2">
      <c r="H53" s="9"/>
      <c r="X53" s="21"/>
      <c r="Y53" s="21"/>
      <c r="Z53" s="21"/>
    </row>
    <row r="54" spans="8:26" ht="14.25" x14ac:dyDescent="0.2">
      <c r="H54" s="9"/>
      <c r="X54" s="21"/>
      <c r="Y54" s="21"/>
      <c r="Z54" s="21"/>
    </row>
    <row r="55" spans="8:26" ht="14.25" x14ac:dyDescent="0.2">
      <c r="H55" s="9"/>
      <c r="X55" s="21"/>
      <c r="Y55" s="21"/>
      <c r="Z55" s="21"/>
    </row>
    <row r="56" spans="8:26" ht="14.25" x14ac:dyDescent="0.2">
      <c r="H56" s="9"/>
      <c r="X56" s="21"/>
      <c r="Y56" s="21"/>
      <c r="Z56" s="21"/>
    </row>
    <row r="57" spans="8:26" ht="14.25" x14ac:dyDescent="0.2">
      <c r="H57" s="9"/>
      <c r="X57" s="21"/>
      <c r="Y57" s="21"/>
      <c r="Z57" s="21"/>
    </row>
    <row r="58" spans="8:26" ht="14.25" x14ac:dyDescent="0.2">
      <c r="H58" s="9"/>
      <c r="X58" s="21"/>
      <c r="Y58" s="21"/>
      <c r="Z58" s="21"/>
    </row>
    <row r="59" spans="8:26" ht="14.25" x14ac:dyDescent="0.2">
      <c r="H59" s="9"/>
      <c r="X59" s="21"/>
      <c r="Y59" s="21"/>
      <c r="Z59" s="21"/>
    </row>
    <row r="60" spans="8:26" ht="14.25" x14ac:dyDescent="0.2">
      <c r="H60" s="9"/>
      <c r="X60" s="21"/>
      <c r="Y60" s="21"/>
      <c r="Z60" s="21"/>
    </row>
    <row r="61" spans="8:26" ht="14.25" x14ac:dyDescent="0.2">
      <c r="H61" s="9"/>
      <c r="X61" s="21"/>
      <c r="Y61" s="21"/>
      <c r="Z61" s="21"/>
    </row>
    <row r="62" spans="8:26" ht="14.25" x14ac:dyDescent="0.2">
      <c r="H62" s="9"/>
      <c r="X62" s="21"/>
      <c r="Y62" s="21"/>
      <c r="Z62" s="21"/>
    </row>
    <row r="63" spans="8:26" ht="14.25" x14ac:dyDescent="0.2">
      <c r="H63" s="9"/>
      <c r="X63" s="21"/>
      <c r="Y63" s="21"/>
      <c r="Z63" s="21"/>
    </row>
    <row r="64" spans="8:26" ht="14.25" x14ac:dyDescent="0.2">
      <c r="H64" s="9"/>
      <c r="X64" s="21"/>
      <c r="Y64" s="21"/>
      <c r="Z64" s="21"/>
    </row>
    <row r="65" spans="8:26" ht="14.25" x14ac:dyDescent="0.2">
      <c r="H65" s="9"/>
      <c r="X65" s="21"/>
      <c r="Y65" s="21"/>
      <c r="Z65" s="21"/>
    </row>
    <row r="66" spans="8:26" ht="14.25" x14ac:dyDescent="0.2">
      <c r="H66" s="9"/>
      <c r="X66" s="21"/>
      <c r="Y66" s="21"/>
      <c r="Z66" s="21"/>
    </row>
    <row r="67" spans="8:26" ht="14.25" x14ac:dyDescent="0.2">
      <c r="H67" s="9"/>
      <c r="U67" s="152"/>
      <c r="V67" s="21"/>
      <c r="W67" s="21"/>
      <c r="X67" s="21"/>
      <c r="Y67" s="21"/>
      <c r="Z67" s="21"/>
    </row>
    <row r="68" spans="8:26" ht="14.25" x14ac:dyDescent="0.2">
      <c r="H68" s="9"/>
      <c r="U68" s="152"/>
      <c r="V68" s="21"/>
      <c r="W68" s="21"/>
      <c r="X68" s="21"/>
      <c r="Y68" s="21"/>
      <c r="Z68" s="21"/>
    </row>
    <row r="69" spans="8:26" ht="14.25" x14ac:dyDescent="0.2">
      <c r="H69" s="9"/>
      <c r="U69" s="152"/>
      <c r="V69" s="21"/>
      <c r="W69" s="21"/>
      <c r="X69" s="21"/>
      <c r="Y69" s="21"/>
      <c r="Z69" s="21"/>
    </row>
    <row r="70" spans="8:26" ht="14.25" x14ac:dyDescent="0.2">
      <c r="H70" s="9"/>
      <c r="U70" s="152"/>
      <c r="V70" s="21"/>
      <c r="W70" s="21"/>
      <c r="X70" s="21"/>
      <c r="Y70" s="21"/>
      <c r="Z70" s="21"/>
    </row>
    <row r="71" spans="8:26" ht="14.25" x14ac:dyDescent="0.2">
      <c r="H71" s="9"/>
      <c r="U71" s="152"/>
      <c r="V71" s="21"/>
      <c r="W71" s="21"/>
      <c r="X71" s="21"/>
      <c r="Y71" s="21"/>
      <c r="Z71" s="21"/>
    </row>
    <row r="72" spans="8:26" ht="14.25" x14ac:dyDescent="0.2">
      <c r="H72" s="9"/>
      <c r="U72" s="152"/>
      <c r="V72" s="21"/>
      <c r="W72" s="21"/>
      <c r="X72" s="21"/>
      <c r="Y72" s="21"/>
      <c r="Z72" s="21"/>
    </row>
    <row r="73" spans="8:26" ht="14.25" x14ac:dyDescent="0.2">
      <c r="H73" s="9"/>
      <c r="U73" s="152"/>
      <c r="V73" s="21"/>
      <c r="W73" s="21"/>
      <c r="X73" s="21"/>
      <c r="Y73" s="21"/>
      <c r="Z73" s="21"/>
    </row>
    <row r="74" spans="8:26" ht="14.25" x14ac:dyDescent="0.2">
      <c r="H74" s="9"/>
      <c r="U74" s="152"/>
      <c r="V74" s="21"/>
      <c r="W74" s="21"/>
      <c r="X74" s="21"/>
      <c r="Y74" s="21"/>
      <c r="Z74" s="21"/>
    </row>
    <row r="75" spans="8:26" ht="14.25" x14ac:dyDescent="0.2">
      <c r="H75" s="9"/>
      <c r="U75" s="152"/>
      <c r="V75" s="21"/>
      <c r="W75" s="21"/>
      <c r="X75" s="21"/>
      <c r="Y75" s="21"/>
      <c r="Z75" s="21"/>
    </row>
    <row r="76" spans="8:26" ht="14.25" x14ac:dyDescent="0.2">
      <c r="H76" s="9"/>
      <c r="U76" s="152"/>
      <c r="V76" s="21"/>
      <c r="W76" s="21"/>
      <c r="X76" s="21"/>
      <c r="Y76" s="21"/>
      <c r="Z76" s="21"/>
    </row>
    <row r="77" spans="8:26" ht="14.25" x14ac:dyDescent="0.2">
      <c r="H77" s="9"/>
      <c r="U77" s="152"/>
      <c r="V77" s="21"/>
      <c r="W77" s="21"/>
      <c r="X77" s="21"/>
      <c r="Y77" s="21"/>
      <c r="Z77" s="21"/>
    </row>
    <row r="78" spans="8:26" ht="14.25" x14ac:dyDescent="0.2">
      <c r="H78" s="9"/>
      <c r="U78" s="152"/>
      <c r="V78" s="21"/>
      <c r="W78" s="21"/>
      <c r="X78" s="21"/>
      <c r="Y78" s="21"/>
      <c r="Z78" s="21"/>
    </row>
    <row r="79" spans="8:26" ht="14.25" x14ac:dyDescent="0.2">
      <c r="H79" s="9"/>
      <c r="U79" s="152"/>
      <c r="V79" s="21"/>
      <c r="W79" s="21"/>
      <c r="X79" s="21"/>
      <c r="Y79" s="21"/>
      <c r="Z79" s="21"/>
    </row>
    <row r="80" spans="8:26" ht="14.25" x14ac:dyDescent="0.2">
      <c r="H80" s="9"/>
      <c r="U80" s="152"/>
      <c r="V80" s="21"/>
      <c r="W80" s="21"/>
      <c r="X80" s="21"/>
      <c r="Y80" s="21"/>
      <c r="Z80" s="21"/>
    </row>
    <row r="81" spans="8:26" ht="14.25" x14ac:dyDescent="0.2">
      <c r="H81" s="9"/>
      <c r="U81" s="152"/>
      <c r="V81" s="21"/>
      <c r="W81" s="21"/>
      <c r="X81" s="21"/>
      <c r="Y81" s="21"/>
      <c r="Z81" s="21"/>
    </row>
    <row r="82" spans="8:26" ht="14.25" x14ac:dyDescent="0.2">
      <c r="H82" s="9"/>
      <c r="U82" s="152"/>
      <c r="V82" s="21"/>
      <c r="W82" s="21"/>
      <c r="X82" s="21"/>
      <c r="Y82" s="21"/>
      <c r="Z82" s="21"/>
    </row>
    <row r="83" spans="8:26" ht="14.25" x14ac:dyDescent="0.2">
      <c r="H83" s="9"/>
      <c r="U83" s="152"/>
      <c r="V83" s="21"/>
      <c r="W83" s="21"/>
      <c r="X83" s="21"/>
      <c r="Y83" s="21"/>
      <c r="Z83" s="21"/>
    </row>
    <row r="84" spans="8:26" ht="14.25" x14ac:dyDescent="0.2">
      <c r="H84" s="9"/>
      <c r="U84" s="152"/>
      <c r="V84" s="21"/>
      <c r="W84" s="21"/>
      <c r="X84" s="21"/>
      <c r="Y84" s="21"/>
      <c r="Z84" s="21"/>
    </row>
    <row r="85" spans="8:26" ht="14.25" x14ac:dyDescent="0.2">
      <c r="U85" s="152"/>
      <c r="V85" s="21"/>
      <c r="W85" s="21"/>
      <c r="X85" s="21"/>
      <c r="Y85" s="21"/>
      <c r="Z85" s="21"/>
    </row>
    <row r="86" spans="8:26" ht="14.25" x14ac:dyDescent="0.2">
      <c r="H86" s="9"/>
      <c r="U86" s="152"/>
      <c r="V86" s="21"/>
      <c r="W86" s="21"/>
      <c r="X86" s="21"/>
      <c r="Y86" s="21"/>
      <c r="Z86" s="21"/>
    </row>
    <row r="87" spans="8:26" ht="14.25" x14ac:dyDescent="0.2">
      <c r="H87" s="9"/>
      <c r="U87" s="152"/>
      <c r="V87" s="21"/>
      <c r="W87" s="21"/>
      <c r="X87" s="21"/>
      <c r="Y87" s="21"/>
      <c r="Z87" s="21"/>
    </row>
    <row r="88" spans="8:26" ht="14.25" x14ac:dyDescent="0.2">
      <c r="H88" s="9"/>
      <c r="U88" s="152"/>
      <c r="V88" s="21"/>
      <c r="W88" s="21"/>
      <c r="X88" s="21"/>
      <c r="Y88" s="21"/>
      <c r="Z88" s="21"/>
    </row>
    <row r="89" spans="8:26" ht="14.25" x14ac:dyDescent="0.2">
      <c r="H89" s="9"/>
      <c r="U89" s="152"/>
      <c r="V89" s="21"/>
      <c r="W89" s="21"/>
      <c r="X89" s="21"/>
      <c r="Y89" s="21"/>
      <c r="Z89" s="21"/>
    </row>
    <row r="90" spans="8:26" ht="14.25" x14ac:dyDescent="0.2">
      <c r="H90" s="9"/>
      <c r="U90" s="152"/>
      <c r="V90" s="21"/>
      <c r="W90" s="21"/>
      <c r="X90" s="21"/>
      <c r="Y90" s="21"/>
      <c r="Z90" s="21"/>
    </row>
    <row r="91" spans="8:26" ht="14.25" x14ac:dyDescent="0.2">
      <c r="H91" s="9"/>
      <c r="U91" s="152"/>
      <c r="V91" s="21"/>
      <c r="W91" s="21"/>
      <c r="X91" s="21"/>
      <c r="Y91" s="21"/>
      <c r="Z91" s="21"/>
    </row>
    <row r="92" spans="8:26" ht="14.25" x14ac:dyDescent="0.2">
      <c r="U92" s="152"/>
      <c r="V92" s="21"/>
      <c r="W92" s="21"/>
      <c r="X92" s="21"/>
      <c r="Y92" s="21"/>
      <c r="Z92" s="21"/>
    </row>
    <row r="93" spans="8:26" ht="14.25" x14ac:dyDescent="0.2">
      <c r="U93" s="152"/>
      <c r="V93" s="21"/>
      <c r="W93" s="21"/>
      <c r="X93" s="21"/>
      <c r="Y93" s="21"/>
      <c r="Z93" s="21"/>
    </row>
    <row r="94" spans="8:26" ht="14.25" x14ac:dyDescent="0.2">
      <c r="U94" s="152"/>
      <c r="V94" s="21"/>
      <c r="W94" s="21"/>
      <c r="X94" s="21"/>
      <c r="Y94" s="21"/>
      <c r="Z94" s="21"/>
    </row>
    <row r="95" spans="8:26" ht="14.25" x14ac:dyDescent="0.2">
      <c r="U95" s="152"/>
      <c r="V95" s="21"/>
      <c r="W95" s="21"/>
      <c r="X95" s="21"/>
      <c r="Y95" s="21"/>
      <c r="Z95" s="21"/>
    </row>
    <row r="96" spans="8:26" ht="14.25" x14ac:dyDescent="0.2">
      <c r="U96" s="152"/>
      <c r="V96" s="21"/>
      <c r="W96" s="21"/>
      <c r="X96" s="21"/>
      <c r="Y96" s="21"/>
      <c r="Z96" s="21"/>
    </row>
    <row r="97" spans="1:26" ht="14.25" x14ac:dyDescent="0.2">
      <c r="U97" s="152"/>
      <c r="V97" s="21"/>
      <c r="W97" s="21"/>
      <c r="X97" s="21"/>
      <c r="Y97" s="21"/>
      <c r="Z97" s="21"/>
    </row>
    <row r="98" spans="1:26" ht="14.25" x14ac:dyDescent="0.2">
      <c r="A98" s="23"/>
      <c r="B98" s="23"/>
      <c r="C98" s="23"/>
      <c r="D98" s="23"/>
      <c r="T98" s="151"/>
      <c r="U98" s="152"/>
      <c r="V98" s="21"/>
      <c r="W98" s="21"/>
      <c r="X98" s="21"/>
      <c r="Y98" s="21"/>
      <c r="Z98" s="21"/>
    </row>
    <row r="99" spans="1:26" ht="14.25" x14ac:dyDescent="0.2">
      <c r="T99" s="151"/>
      <c r="U99" s="152"/>
      <c r="V99" s="21"/>
      <c r="W99" s="21"/>
      <c r="X99" s="21"/>
      <c r="Y99" s="21"/>
      <c r="Z99" s="21"/>
    </row>
    <row r="100" spans="1:26" ht="14.25" x14ac:dyDescent="0.2">
      <c r="T100" s="151"/>
      <c r="U100" s="152"/>
      <c r="V100" s="21"/>
      <c r="W100" s="21"/>
      <c r="X100" s="21"/>
      <c r="Y100" s="21"/>
      <c r="Z100" s="21"/>
    </row>
    <row r="101" spans="1:26" ht="14.25" x14ac:dyDescent="0.2">
      <c r="T101" s="151"/>
      <c r="U101" s="152"/>
      <c r="V101" s="21"/>
      <c r="W101" s="21"/>
      <c r="X101" s="21"/>
      <c r="Y101" s="21"/>
      <c r="Z101" s="21"/>
    </row>
    <row r="102" spans="1:26" ht="14.25" x14ac:dyDescent="0.2">
      <c r="T102" s="151"/>
      <c r="U102" s="152"/>
      <c r="V102" s="21"/>
      <c r="W102" s="21"/>
      <c r="X102" s="21"/>
      <c r="Y102" s="21"/>
      <c r="Z102" s="21"/>
    </row>
    <row r="103" spans="1:26" ht="14.25" x14ac:dyDescent="0.2">
      <c r="T103" s="151"/>
      <c r="U103" s="152"/>
      <c r="V103" s="21"/>
      <c r="W103" s="21"/>
      <c r="X103" s="21"/>
      <c r="Y103" s="21"/>
      <c r="Z103" s="21"/>
    </row>
    <row r="104" spans="1:26" ht="14.25" x14ac:dyDescent="0.2">
      <c r="T104" s="151"/>
      <c r="U104" s="152"/>
      <c r="V104" s="21"/>
      <c r="W104" s="21"/>
      <c r="X104" s="21"/>
      <c r="Y104" s="21"/>
      <c r="Z104" s="21"/>
    </row>
    <row r="105" spans="1:26" ht="14.25" x14ac:dyDescent="0.2">
      <c r="T105" s="151"/>
      <c r="U105" s="152"/>
      <c r="V105" s="21"/>
      <c r="W105" s="21"/>
      <c r="X105" s="21"/>
      <c r="Y105" s="21"/>
      <c r="Z105" s="21"/>
    </row>
    <row r="106" spans="1:26" ht="14.25" x14ac:dyDescent="0.2">
      <c r="T106" s="151"/>
      <c r="U106" s="152"/>
      <c r="V106" s="21"/>
      <c r="W106" s="21"/>
      <c r="X106" s="21"/>
      <c r="Y106" s="21"/>
      <c r="Z106" s="21"/>
    </row>
    <row r="107" spans="1:26" ht="14.25" x14ac:dyDescent="0.2">
      <c r="T107" s="151"/>
      <c r="U107" s="152"/>
      <c r="V107" s="21"/>
      <c r="W107" s="21"/>
      <c r="X107" s="21"/>
      <c r="Y107" s="21"/>
      <c r="Z107" s="21"/>
    </row>
    <row r="108" spans="1:26" ht="14.25" x14ac:dyDescent="0.2">
      <c r="T108" s="151"/>
      <c r="U108" s="152"/>
      <c r="V108" s="21"/>
      <c r="W108" s="21"/>
      <c r="X108" s="21"/>
      <c r="Y108" s="21"/>
      <c r="Z108" s="21"/>
    </row>
    <row r="109" spans="1:26" ht="14.25" x14ac:dyDescent="0.2">
      <c r="T109" s="151"/>
      <c r="U109" s="152"/>
      <c r="V109" s="21"/>
      <c r="W109" s="21"/>
      <c r="X109" s="21"/>
      <c r="Y109" s="21"/>
      <c r="Z109" s="21"/>
    </row>
    <row r="110" spans="1:26" ht="14.25" x14ac:dyDescent="0.2">
      <c r="T110" s="151"/>
      <c r="U110" s="152"/>
      <c r="V110" s="21"/>
      <c r="W110" s="21"/>
      <c r="X110" s="21"/>
      <c r="Y110" s="21"/>
      <c r="Z110" s="21"/>
    </row>
    <row r="111" spans="1:26" ht="14.25" x14ac:dyDescent="0.2">
      <c r="A111" s="23"/>
      <c r="B111" s="23"/>
      <c r="C111" s="23"/>
      <c r="D111" s="23"/>
      <c r="T111" s="151"/>
      <c r="U111" s="152"/>
      <c r="V111" s="21"/>
      <c r="W111" s="21"/>
      <c r="X111" s="21"/>
      <c r="Y111" s="21"/>
      <c r="Z111" s="21"/>
    </row>
    <row r="112" spans="1:26" ht="14.25" x14ac:dyDescent="0.2">
      <c r="A112" s="23"/>
      <c r="B112" s="23"/>
      <c r="C112" s="23"/>
      <c r="D112" s="23"/>
      <c r="T112" s="151"/>
      <c r="U112" s="152"/>
      <c r="V112" s="21"/>
      <c r="W112" s="21"/>
      <c r="X112" s="21"/>
      <c r="Y112" s="21"/>
      <c r="Z112" s="21"/>
    </row>
    <row r="113" spans="1:26" ht="14.25" x14ac:dyDescent="0.2">
      <c r="A113" s="23"/>
      <c r="B113" s="23"/>
      <c r="C113" s="23"/>
      <c r="D113" s="23"/>
      <c r="T113" s="151"/>
      <c r="U113" s="152"/>
      <c r="V113" s="21"/>
      <c r="W113" s="21"/>
      <c r="X113" s="21"/>
      <c r="Y113" s="21"/>
      <c r="Z113" s="21"/>
    </row>
    <row r="114" spans="1:26" ht="14.25" x14ac:dyDescent="0.2">
      <c r="A114" s="23"/>
      <c r="B114" s="23"/>
      <c r="C114" s="23"/>
      <c r="D114" s="23"/>
      <c r="T114" s="151"/>
      <c r="U114" s="152"/>
      <c r="V114" s="21"/>
      <c r="W114" s="21"/>
      <c r="X114" s="21"/>
      <c r="Y114" s="21"/>
      <c r="Z114" s="21"/>
    </row>
    <row r="115" spans="1:26" ht="14.25" x14ac:dyDescent="0.2">
      <c r="A115" s="23"/>
      <c r="B115" s="23"/>
      <c r="C115" s="23"/>
      <c r="D115" s="23"/>
      <c r="T115" s="151"/>
      <c r="U115" s="152"/>
      <c r="V115" s="21"/>
      <c r="W115" s="21"/>
      <c r="X115" s="21"/>
      <c r="Y115" s="21"/>
      <c r="Z115" s="21"/>
    </row>
    <row r="116" spans="1:26" ht="14.25" x14ac:dyDescent="0.2">
      <c r="A116" s="23"/>
      <c r="B116" s="23"/>
      <c r="C116" s="23"/>
      <c r="D116" s="23"/>
      <c r="T116" s="151"/>
      <c r="U116" s="152"/>
      <c r="V116" s="21"/>
      <c r="W116" s="21"/>
      <c r="X116" s="21"/>
      <c r="Y116" s="21"/>
      <c r="Z116" s="21"/>
    </row>
    <row r="117" spans="1:26" ht="14.25" x14ac:dyDescent="0.2">
      <c r="A117" s="23"/>
      <c r="B117" s="23"/>
      <c r="C117" s="23"/>
      <c r="D117" s="23"/>
      <c r="T117" s="151"/>
      <c r="U117" s="152"/>
      <c r="V117" s="21"/>
      <c r="W117" s="21"/>
      <c r="X117" s="21"/>
      <c r="Y117" s="21"/>
      <c r="Z117" s="21"/>
    </row>
    <row r="118" spans="1:26" ht="14.25" x14ac:dyDescent="0.2">
      <c r="A118" s="23"/>
      <c r="B118" s="23"/>
      <c r="C118" s="23"/>
      <c r="D118" s="23"/>
      <c r="T118" s="151"/>
      <c r="U118" s="152"/>
      <c r="V118" s="21"/>
      <c r="W118" s="21"/>
      <c r="X118" s="21"/>
      <c r="Y118" s="21"/>
      <c r="Z118" s="21"/>
    </row>
    <row r="119" spans="1:26" ht="14.25" x14ac:dyDescent="0.2">
      <c r="A119" s="23"/>
      <c r="B119" s="23"/>
      <c r="C119" s="23"/>
      <c r="D119" s="23"/>
      <c r="T119" s="151"/>
      <c r="U119" s="152"/>
      <c r="V119" s="21"/>
      <c r="W119" s="21"/>
      <c r="X119" s="21"/>
      <c r="Y119" s="21"/>
      <c r="Z119" s="21"/>
    </row>
    <row r="120" spans="1:26" ht="14.25" x14ac:dyDescent="0.2">
      <c r="A120" s="23"/>
      <c r="B120" s="23"/>
      <c r="C120" s="23"/>
      <c r="D120" s="23"/>
      <c r="T120" s="151"/>
      <c r="U120" s="152"/>
      <c r="V120" s="21"/>
      <c r="W120" s="21"/>
      <c r="X120" s="21"/>
      <c r="Y120" s="21"/>
      <c r="Z120" s="21"/>
    </row>
    <row r="121" spans="1:26" ht="14.25" x14ac:dyDescent="0.2">
      <c r="A121" s="23"/>
      <c r="B121" s="23"/>
      <c r="C121" s="23"/>
      <c r="D121" s="23"/>
      <c r="T121" s="151"/>
      <c r="U121" s="152"/>
      <c r="V121" s="21"/>
      <c r="W121" s="21"/>
      <c r="X121" s="21"/>
      <c r="Y121" s="21"/>
      <c r="Z121" s="21"/>
    </row>
    <row r="122" spans="1:26" ht="14.25" x14ac:dyDescent="0.2">
      <c r="A122" s="23"/>
      <c r="B122" s="23"/>
      <c r="C122" s="23"/>
      <c r="D122" s="23"/>
      <c r="T122" s="151"/>
      <c r="U122" s="152"/>
      <c r="V122" s="21"/>
      <c r="W122" s="21"/>
      <c r="X122" s="21"/>
      <c r="Y122" s="21"/>
      <c r="Z122" s="21"/>
    </row>
    <row r="123" spans="1:26" ht="14.25" x14ac:dyDescent="0.2">
      <c r="A123" s="23"/>
      <c r="B123" s="23"/>
      <c r="C123" s="23"/>
      <c r="D123" s="23"/>
      <c r="T123" s="151"/>
      <c r="U123" s="152"/>
      <c r="V123" s="21"/>
      <c r="W123" s="21"/>
      <c r="X123" s="21"/>
      <c r="Y123" s="21"/>
      <c r="Z123" s="21"/>
    </row>
    <row r="124" spans="1:26" ht="14.25" x14ac:dyDescent="0.2">
      <c r="A124" s="23"/>
      <c r="B124" s="23"/>
      <c r="C124" s="23"/>
      <c r="D124" s="23"/>
      <c r="T124" s="151"/>
      <c r="U124" s="152"/>
      <c r="V124" s="21"/>
      <c r="W124" s="21"/>
      <c r="X124" s="21"/>
      <c r="Y124" s="21"/>
      <c r="Z124" s="21"/>
    </row>
    <row r="125" spans="1:26" ht="13.5" x14ac:dyDescent="0.2">
      <c r="A125" s="24"/>
      <c r="B125" s="24"/>
      <c r="T125" s="153"/>
      <c r="V125" s="21"/>
      <c r="W125" s="21"/>
      <c r="X125" s="21"/>
      <c r="Y125" s="21"/>
      <c r="Z125" s="21"/>
    </row>
    <row r="139" spans="1:26" ht="16.899999999999999" customHeight="1" x14ac:dyDescent="0.2">
      <c r="A139" s="25"/>
    </row>
    <row r="140" spans="1:26" ht="12" customHeight="1" x14ac:dyDescent="0.2">
      <c r="A140" s="4"/>
    </row>
    <row r="141" spans="1:26" ht="13.15" customHeight="1" x14ac:dyDescent="0.2"/>
    <row r="142" spans="1:26" ht="13.15" customHeight="1" x14ac:dyDescent="0.2"/>
    <row r="143" spans="1:26" ht="13.15" customHeight="1" x14ac:dyDescent="0.2"/>
    <row r="144" spans="1:26" s="149" customFormat="1" ht="13.15" customHeight="1" x14ac:dyDescent="0.2">
      <c r="A144" s="1"/>
      <c r="B144" s="1"/>
      <c r="C144" s="1"/>
      <c r="D144" s="1"/>
      <c r="E144" s="1"/>
      <c r="F144" s="1"/>
      <c r="G144" s="1"/>
      <c r="H144" s="1"/>
      <c r="P144" s="1"/>
      <c r="Q144" s="1"/>
      <c r="T144" s="150"/>
      <c r="U144" s="150"/>
      <c r="V144" s="1"/>
      <c r="W144" s="1"/>
      <c r="X144" s="1"/>
      <c r="Y144" s="1"/>
      <c r="Z144" s="1"/>
    </row>
    <row r="145" spans="1:26" s="149" customFormat="1" ht="13.15" customHeight="1" x14ac:dyDescent="0.2">
      <c r="A145" s="1"/>
      <c r="B145" s="1"/>
      <c r="C145" s="1"/>
      <c r="D145" s="1"/>
      <c r="E145" s="1"/>
      <c r="F145" s="1"/>
      <c r="G145" s="1"/>
      <c r="H145" s="1"/>
      <c r="P145" s="1"/>
      <c r="Q145" s="1"/>
      <c r="T145" s="150"/>
      <c r="U145" s="150"/>
      <c r="V145" s="1"/>
      <c r="W145" s="1"/>
      <c r="X145" s="1"/>
      <c r="Y145" s="1"/>
      <c r="Z145" s="1"/>
    </row>
    <row r="146" spans="1:26" s="149" customFormat="1" ht="13.15" customHeight="1" x14ac:dyDescent="0.2">
      <c r="A146" s="1"/>
      <c r="B146" s="1"/>
      <c r="C146" s="1"/>
      <c r="D146" s="1"/>
      <c r="E146" s="1"/>
      <c r="F146" s="1"/>
      <c r="G146" s="1"/>
      <c r="H146" s="1"/>
      <c r="P146" s="1"/>
      <c r="Q146" s="1"/>
      <c r="T146" s="150"/>
      <c r="U146" s="150"/>
      <c r="V146" s="1"/>
      <c r="W146" s="1"/>
      <c r="X146" s="1"/>
      <c r="Y146" s="1"/>
      <c r="Z146" s="1"/>
    </row>
    <row r="147" spans="1:26" s="149" customFormat="1" ht="12" customHeight="1" x14ac:dyDescent="0.2">
      <c r="A147" s="1"/>
      <c r="B147" s="1"/>
      <c r="C147" s="1"/>
      <c r="D147" s="1"/>
      <c r="E147" s="1"/>
      <c r="F147" s="1"/>
      <c r="G147" s="1"/>
      <c r="H147" s="1"/>
      <c r="P147" s="1"/>
      <c r="Q147" s="1"/>
      <c r="T147" s="150"/>
      <c r="U147" s="150"/>
      <c r="V147" s="1"/>
      <c r="W147" s="1"/>
      <c r="X147" s="1"/>
      <c r="Y147" s="1"/>
      <c r="Z147" s="1"/>
    </row>
    <row r="148" spans="1:26" s="149" customFormat="1" ht="12" customHeight="1" x14ac:dyDescent="0.2">
      <c r="A148" s="1"/>
      <c r="B148" s="1"/>
      <c r="C148" s="1"/>
      <c r="D148" s="1"/>
      <c r="E148" s="1"/>
      <c r="F148" s="1"/>
      <c r="G148" s="1"/>
      <c r="H148" s="1"/>
      <c r="P148" s="1"/>
      <c r="Q148" s="1"/>
      <c r="T148" s="150"/>
      <c r="U148" s="150"/>
      <c r="V148" s="1"/>
      <c r="W148" s="1"/>
      <c r="X148" s="1"/>
      <c r="Y148" s="1"/>
      <c r="Z148" s="1"/>
    </row>
    <row r="149" spans="1:26" s="149" customFormat="1" ht="15" customHeight="1" x14ac:dyDescent="0.2">
      <c r="A149" s="1"/>
      <c r="B149" s="1"/>
      <c r="C149" s="1"/>
      <c r="D149" s="1"/>
      <c r="E149" s="1"/>
      <c r="F149" s="1"/>
      <c r="G149" s="1"/>
      <c r="H149" s="1"/>
      <c r="P149" s="1"/>
      <c r="Q149" s="1"/>
      <c r="T149" s="150"/>
      <c r="U149" s="150"/>
      <c r="V149" s="1"/>
      <c r="W149" s="1"/>
      <c r="X149" s="1"/>
      <c r="Y149" s="1"/>
      <c r="Z149" s="1"/>
    </row>
    <row r="150" spans="1:26" s="149" customFormat="1" ht="15" customHeight="1" x14ac:dyDescent="0.2">
      <c r="A150" s="1"/>
      <c r="B150" s="1"/>
      <c r="C150" s="1"/>
      <c r="D150" s="1"/>
      <c r="E150" s="1"/>
      <c r="F150" s="1"/>
      <c r="G150" s="1"/>
      <c r="H150" s="1"/>
      <c r="P150" s="1"/>
      <c r="Q150" s="1"/>
      <c r="T150" s="150"/>
      <c r="U150" s="150"/>
      <c r="V150" s="1"/>
      <c r="W150" s="1"/>
      <c r="X150" s="1"/>
      <c r="Y150" s="1"/>
      <c r="Z150" s="1"/>
    </row>
  </sheetData>
  <sheetProtection formatCells="0" formatColumns="0" formatRows="0"/>
  <phoneticPr fontId="4"/>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4153D-63E4-428C-9663-916A262F5A10}">
  <dimension ref="A1:Z138"/>
  <sheetViews>
    <sheetView zoomScale="160" zoomScaleNormal="160" workbookViewId="0">
      <selection activeCell="Q19" sqref="Q19"/>
    </sheetView>
  </sheetViews>
  <sheetFormatPr defaultColWidth="9.33203125" defaultRowHeight="12.75" x14ac:dyDescent="0.2"/>
  <cols>
    <col min="1" max="2" width="9.33203125" style="1"/>
    <col min="3" max="7" width="10.1640625" style="1" customWidth="1"/>
    <col min="8" max="8" width="9.33203125" style="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428</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429</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 customFormat="1" x14ac:dyDescent="0.2">
      <c r="A6" s="113" t="s">
        <v>430</v>
      </c>
      <c r="B6" s="99"/>
      <c r="C6" s="99"/>
      <c r="D6" s="99"/>
      <c r="E6" s="99"/>
      <c r="F6" s="99"/>
      <c r="G6" s="99"/>
      <c r="H6" s="99"/>
      <c r="I6" s="113"/>
      <c r="J6" s="113"/>
      <c r="K6" s="113"/>
      <c r="L6" s="113"/>
      <c r="M6" s="113"/>
      <c r="N6" s="113"/>
      <c r="O6" s="113"/>
      <c r="R6" s="113"/>
      <c r="S6" s="113"/>
      <c r="T6" s="146"/>
      <c r="U6" s="146"/>
    </row>
    <row r="7" spans="1:25" s="2" customFormat="1" x14ac:dyDescent="0.2">
      <c r="A7" s="113" t="s">
        <v>431</v>
      </c>
      <c r="B7" s="99"/>
      <c r="C7" s="99"/>
      <c r="D7" s="99"/>
      <c r="E7" s="99"/>
      <c r="F7" s="99"/>
      <c r="G7" s="99"/>
      <c r="H7" s="99"/>
      <c r="I7" s="113"/>
      <c r="J7" s="113"/>
      <c r="K7" s="113"/>
      <c r="L7" s="113"/>
      <c r="M7" s="113"/>
      <c r="N7" s="113"/>
      <c r="O7" s="113"/>
      <c r="R7" s="113"/>
      <c r="S7" s="113"/>
      <c r="T7" s="146"/>
      <c r="U7" s="146"/>
    </row>
    <row r="8" spans="1:25" s="2" customFormat="1" x14ac:dyDescent="0.2">
      <c r="A8" s="99" t="s">
        <v>409</v>
      </c>
      <c r="B8" s="99"/>
      <c r="C8" s="99"/>
      <c r="D8" s="99"/>
      <c r="E8" s="99"/>
      <c r="F8" s="99"/>
      <c r="G8" s="99"/>
      <c r="H8" s="99"/>
      <c r="I8" s="113"/>
      <c r="J8" s="113"/>
      <c r="K8" s="113"/>
      <c r="L8" s="113"/>
      <c r="M8" s="113"/>
      <c r="N8" s="113"/>
      <c r="O8" s="113"/>
      <c r="R8" s="113"/>
      <c r="S8" s="113"/>
      <c r="T8" s="146"/>
      <c r="U8" s="146"/>
    </row>
    <row r="9" spans="1:25" s="2" customFormat="1" x14ac:dyDescent="0.2">
      <c r="A9" s="113"/>
      <c r="B9" s="99"/>
      <c r="C9" s="99"/>
      <c r="D9" s="99"/>
      <c r="E9" s="99"/>
      <c r="F9" s="99"/>
      <c r="G9" s="99"/>
      <c r="H9" s="99"/>
      <c r="I9" s="113"/>
      <c r="J9" s="113"/>
      <c r="K9" s="113"/>
      <c r="L9" s="113"/>
      <c r="M9" s="113"/>
      <c r="N9" s="113"/>
      <c r="O9" s="113"/>
      <c r="R9" s="113"/>
      <c r="S9" s="113"/>
      <c r="T9" s="146"/>
      <c r="U9" s="146"/>
    </row>
    <row r="10" spans="1:25" x14ac:dyDescent="0.2">
      <c r="A10" s="102"/>
      <c r="B10" s="97"/>
      <c r="C10" s="97"/>
      <c r="D10" s="97"/>
      <c r="E10" s="97"/>
      <c r="F10" s="97"/>
      <c r="G10" s="97"/>
      <c r="H10" s="97"/>
      <c r="I10" s="113"/>
      <c r="J10" s="113"/>
      <c r="K10" s="113"/>
      <c r="L10" s="113"/>
      <c r="M10" s="113"/>
      <c r="N10" s="113"/>
      <c r="O10" s="113"/>
      <c r="R10" s="113"/>
      <c r="S10" s="113"/>
      <c r="T10" s="146"/>
      <c r="U10" s="146"/>
    </row>
    <row r="11" spans="1:25" x14ac:dyDescent="0.2">
      <c r="A11" s="97"/>
      <c r="B11" s="97"/>
      <c r="C11" s="97"/>
      <c r="D11" s="97"/>
      <c r="E11" s="97"/>
      <c r="F11" s="97"/>
      <c r="G11" s="97"/>
      <c r="H11" s="97"/>
      <c r="I11" s="113"/>
      <c r="J11" s="113"/>
      <c r="K11" s="113"/>
      <c r="L11" s="113"/>
      <c r="M11" s="113" t="s">
        <v>427</v>
      </c>
      <c r="N11" s="113"/>
      <c r="O11" s="113"/>
      <c r="R11" s="113"/>
      <c r="S11" s="113"/>
      <c r="T11" s="146"/>
      <c r="U11" s="146"/>
    </row>
    <row r="12" spans="1:25" x14ac:dyDescent="0.2">
      <c r="A12" s="97"/>
      <c r="B12" s="97"/>
      <c r="C12" s="97"/>
      <c r="D12" s="97"/>
      <c r="E12" s="97"/>
      <c r="F12" s="97"/>
      <c r="G12" s="97"/>
      <c r="H12" s="97"/>
      <c r="I12" s="113"/>
      <c r="J12" s="113"/>
      <c r="K12" s="113"/>
      <c r="L12" s="113"/>
      <c r="M12" s="113"/>
      <c r="N12" s="113"/>
      <c r="O12" s="113"/>
      <c r="R12" s="113"/>
      <c r="S12" s="113"/>
      <c r="T12" s="146"/>
      <c r="U12" s="146"/>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
        <v>432</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12</v>
      </c>
      <c r="N16" s="104" t="s">
        <v>1058</v>
      </c>
      <c r="O16" s="104" t="s">
        <v>100</v>
      </c>
      <c r="P16" s="6" t="s">
        <v>105</v>
      </c>
      <c r="Q16" s="6" t="s">
        <v>106</v>
      </c>
      <c r="R16" s="104" t="s">
        <v>1051</v>
      </c>
      <c r="S16" s="104" t="s">
        <v>1052</v>
      </c>
      <c r="T16" s="147" t="s">
        <v>80</v>
      </c>
      <c r="U16" s="147" t="s">
        <v>81</v>
      </c>
      <c r="V16" s="5" t="s">
        <v>101</v>
      </c>
      <c r="W16" s="5" t="s">
        <v>102</v>
      </c>
      <c r="X16" s="112" t="s">
        <v>103</v>
      </c>
      <c r="Y16" s="112" t="s">
        <v>104</v>
      </c>
    </row>
    <row r="17" spans="1:26" x14ac:dyDescent="0.2">
      <c r="A17" s="213" t="str">
        <f>A29</f>
        <v>NIM</v>
      </c>
      <c r="B17" s="213" t="str">
        <f t="shared" ref="B17:H17" si="0">B29</f>
        <v>D249362</v>
      </c>
      <c r="C17" s="213">
        <f t="shared" si="0"/>
        <v>10.273999999999999</v>
      </c>
      <c r="D17" s="213">
        <f t="shared" si="0"/>
        <v>8.2000000000000003E-2</v>
      </c>
      <c r="E17" s="213">
        <f t="shared" si="0"/>
        <v>10.097</v>
      </c>
      <c r="F17" s="213">
        <f t="shared" si="0"/>
        <v>3.9E-2</v>
      </c>
      <c r="G17" s="213">
        <f t="shared" si="0"/>
        <v>-0.17699999999999999</v>
      </c>
      <c r="H17" s="213">
        <f t="shared" si="0"/>
        <v>0.182</v>
      </c>
      <c r="I17" s="155">
        <f t="shared" ref="I17:I25" si="1">IF(ABS(G17)&gt;ABS(H17), 1, 0)</f>
        <v>0</v>
      </c>
      <c r="J17" s="155">
        <f t="shared" ref="J17:J25" si="2">I17*ABS(C17-E17)</f>
        <v>0</v>
      </c>
      <c r="K17" s="155">
        <f t="shared" ref="K17:K25" si="3">SQRT(SUMSQ(F17,J17))*2</f>
        <v>7.8E-2</v>
      </c>
      <c r="L17" s="155">
        <f t="shared" ref="L17:L25" si="4">IF(C17&lt;$K$2, C17, $K$1)</f>
        <v>10</v>
      </c>
      <c r="M17" s="156">
        <f t="shared" ref="M17:M25" si="5">IF(AND(C17&lt;$K$1,C17&gt; $K$2), K17/L17*100, K17/C17*100)</f>
        <v>0.75919797547206547</v>
      </c>
      <c r="N17" s="157">
        <f t="shared" ref="N17" si="6">M17*L17/100</f>
        <v>7.5919797547206541E-2</v>
      </c>
      <c r="O17" s="155">
        <f t="shared" ref="O17" si="7">N17/(M17*L17/100)*100</f>
        <v>100</v>
      </c>
      <c r="P17" s="250">
        <v>1</v>
      </c>
      <c r="Q17" s="250">
        <v>1000</v>
      </c>
      <c r="R17" s="148">
        <f>IF( IF(P17&lt;L17, M17*L17/P17, M17)&gt;100, "ERROR",  IF(P17&lt;L17, M17*L17/P17, M17))</f>
        <v>7.5919797547206542</v>
      </c>
      <c r="S17" s="148">
        <f>IF(IF(Q17&lt;L17, M17*L17/Q17, M17)&gt;100, "ERROR", IF(Q17&lt;L17, M17*L17/Q17, M17))</f>
        <v>0.75919797547206547</v>
      </c>
      <c r="T17" s="148">
        <f>R17*P17*0.01</f>
        <v>7.5919797547206541E-2</v>
      </c>
      <c r="U17" s="148">
        <f>S17*Q17*0.01</f>
        <v>7.5919797547206542</v>
      </c>
      <c r="V17" s="7">
        <f>P17*1000</f>
        <v>1000</v>
      </c>
      <c r="W17" s="7">
        <f>Q17*1000</f>
        <v>1000000</v>
      </c>
      <c r="X17" s="1345">
        <f>T17*1000</f>
        <v>75.919797547206542</v>
      </c>
      <c r="Y17" s="1345">
        <f>U17*1000</f>
        <v>7591.9797547206545</v>
      </c>
    </row>
    <row r="18" spans="1:26" x14ac:dyDescent="0.2">
      <c r="A18" s="213" t="str">
        <f t="shared" ref="A18:H18" si="8">A30</f>
        <v>IPQ</v>
      </c>
      <c r="B18" s="213" t="str">
        <f t="shared" si="8"/>
        <v>D249395</v>
      </c>
      <c r="C18" s="213">
        <f t="shared" si="8"/>
        <v>10.083</v>
      </c>
      <c r="D18" s="213">
        <f t="shared" si="8"/>
        <v>8.1000000000000003E-2</v>
      </c>
      <c r="E18" s="213">
        <f t="shared" si="8"/>
        <v>10.08</v>
      </c>
      <c r="F18" s="213">
        <f t="shared" si="8"/>
        <v>0.1</v>
      </c>
      <c r="G18" s="213">
        <f t="shared" si="8"/>
        <v>-3.0000000000000001E-3</v>
      </c>
      <c r="H18" s="213">
        <f t="shared" si="8"/>
        <v>0.25700000000000001</v>
      </c>
      <c r="I18" s="155">
        <f t="shared" si="1"/>
        <v>0</v>
      </c>
      <c r="J18" s="155">
        <f t="shared" si="2"/>
        <v>0</v>
      </c>
      <c r="K18" s="155">
        <f t="shared" si="3"/>
        <v>0.2</v>
      </c>
      <c r="L18" s="155">
        <f t="shared" si="4"/>
        <v>10</v>
      </c>
      <c r="M18" s="156">
        <f t="shared" si="5"/>
        <v>1.9835366458395318</v>
      </c>
      <c r="N18" s="157">
        <f t="shared" ref="N18:N25" si="9">M18*L18/100</f>
        <v>0.19835366458395318</v>
      </c>
      <c r="O18" s="155">
        <f t="shared" ref="O18:O25" si="10">N18/(M18*L18/100)*100</f>
        <v>100</v>
      </c>
      <c r="P18" s="250">
        <v>1</v>
      </c>
      <c r="Q18" s="250">
        <v>1000</v>
      </c>
      <c r="R18" s="148">
        <f t="shared" ref="R18:R25" si="11">IF( IF(P18&lt;L18, M18*L18/P18, M18)&gt;100, "ERROR",  IF(P18&lt;L18, M18*L18/P18, M18))</f>
        <v>19.835366458395317</v>
      </c>
      <c r="S18" s="148">
        <f t="shared" ref="S18:S25" si="12">IF(IF(Q18&lt;L18, M18*L18/Q18, M18)&gt;100, "ERROR", IF(Q18&lt;L18, M18*L18/Q18, M18))</f>
        <v>1.9835366458395318</v>
      </c>
      <c r="T18" s="148">
        <f t="shared" ref="T18:U25" si="13">R18*P18*0.01</f>
        <v>0.19835366458395318</v>
      </c>
      <c r="U18" s="148">
        <f t="shared" si="13"/>
        <v>19.835366458395317</v>
      </c>
      <c r="V18" s="7">
        <f t="shared" ref="V18:W25" si="14">P18*1000</f>
        <v>1000</v>
      </c>
      <c r="W18" s="7">
        <f t="shared" si="14"/>
        <v>1000000</v>
      </c>
      <c r="X18" s="1345">
        <f t="shared" ref="X18:Y25" si="15">T18*1000</f>
        <v>198.35366458395319</v>
      </c>
      <c r="Y18" s="1345">
        <f t="shared" si="15"/>
        <v>19835.366458395318</v>
      </c>
    </row>
    <row r="19" spans="1:26" x14ac:dyDescent="0.2">
      <c r="A19" s="213" t="str">
        <f t="shared" ref="A19:H19" si="16">A31</f>
        <v>VNIIM</v>
      </c>
      <c r="B19" s="213" t="str">
        <f t="shared" si="16"/>
        <v>D249138</v>
      </c>
      <c r="C19" s="213">
        <f t="shared" si="16"/>
        <v>9.9280000000000008</v>
      </c>
      <c r="D19" s="213">
        <f t="shared" si="16"/>
        <v>0.08</v>
      </c>
      <c r="E19" s="213">
        <f t="shared" si="16"/>
        <v>10.029999999999999</v>
      </c>
      <c r="F19" s="213">
        <f t="shared" si="16"/>
        <v>4.4999999999999998E-2</v>
      </c>
      <c r="G19" s="213">
        <f t="shared" si="16"/>
        <v>0.10199999999999999</v>
      </c>
      <c r="H19" s="213">
        <f t="shared" si="16"/>
        <v>0.183</v>
      </c>
      <c r="I19" s="155">
        <f t="shared" si="1"/>
        <v>0</v>
      </c>
      <c r="J19" s="155">
        <f t="shared" si="2"/>
        <v>0</v>
      </c>
      <c r="K19" s="155">
        <f t="shared" si="3"/>
        <v>0.09</v>
      </c>
      <c r="L19" s="155">
        <f t="shared" si="4"/>
        <v>10</v>
      </c>
      <c r="M19" s="156">
        <f t="shared" si="5"/>
        <v>0.89999999999999991</v>
      </c>
      <c r="N19" s="157">
        <f t="shared" si="9"/>
        <v>0.09</v>
      </c>
      <c r="O19" s="155">
        <f t="shared" si="10"/>
        <v>100</v>
      </c>
      <c r="P19" s="250">
        <v>1</v>
      </c>
      <c r="Q19" s="250">
        <v>1000</v>
      </c>
      <c r="R19" s="148">
        <f t="shared" si="11"/>
        <v>9</v>
      </c>
      <c r="S19" s="148">
        <f t="shared" si="12"/>
        <v>0.89999999999999991</v>
      </c>
      <c r="T19" s="148">
        <f t="shared" si="13"/>
        <v>0.09</v>
      </c>
      <c r="U19" s="148">
        <f t="shared" si="13"/>
        <v>8.9999999999999982</v>
      </c>
      <c r="V19" s="7">
        <f t="shared" si="14"/>
        <v>1000</v>
      </c>
      <c r="W19" s="7">
        <f t="shared" si="14"/>
        <v>1000000</v>
      </c>
      <c r="X19" s="1345">
        <f t="shared" si="15"/>
        <v>90</v>
      </c>
      <c r="Y19" s="1345">
        <f t="shared" si="15"/>
        <v>8999.9999999999982</v>
      </c>
    </row>
    <row r="20" spans="1:26" x14ac:dyDescent="0.2">
      <c r="A20" s="213" t="str">
        <f t="shared" ref="A20:H20" si="17">A32</f>
        <v>BFKH</v>
      </c>
      <c r="B20" s="213" t="str">
        <f t="shared" si="17"/>
        <v>D249235</v>
      </c>
      <c r="C20" s="213">
        <f t="shared" si="17"/>
        <v>10.205</v>
      </c>
      <c r="D20" s="213">
        <f t="shared" si="17"/>
        <v>8.2000000000000003E-2</v>
      </c>
      <c r="E20" s="213">
        <f t="shared" si="17"/>
        <v>10.37</v>
      </c>
      <c r="F20" s="213">
        <f t="shared" si="17"/>
        <v>0.18</v>
      </c>
      <c r="G20" s="213">
        <f t="shared" si="17"/>
        <v>0.16500000000000001</v>
      </c>
      <c r="H20" s="213">
        <f t="shared" si="17"/>
        <v>0.39500000000000002</v>
      </c>
      <c r="I20" s="155">
        <f t="shared" si="1"/>
        <v>0</v>
      </c>
      <c r="J20" s="155">
        <f t="shared" si="2"/>
        <v>0</v>
      </c>
      <c r="K20" s="155">
        <f t="shared" si="3"/>
        <v>0.36</v>
      </c>
      <c r="L20" s="155">
        <f t="shared" si="4"/>
        <v>10</v>
      </c>
      <c r="M20" s="156">
        <f t="shared" si="5"/>
        <v>3.527682508574228</v>
      </c>
      <c r="N20" s="157">
        <f t="shared" si="9"/>
        <v>0.3527682508574228</v>
      </c>
      <c r="O20" s="155">
        <f t="shared" si="10"/>
        <v>100</v>
      </c>
      <c r="P20" s="250">
        <v>1</v>
      </c>
      <c r="Q20" s="250">
        <v>1000</v>
      </c>
      <c r="R20" s="148">
        <f t="shared" si="11"/>
        <v>35.276825085742281</v>
      </c>
      <c r="S20" s="148">
        <f t="shared" si="12"/>
        <v>3.527682508574228</v>
      </c>
      <c r="T20" s="148">
        <f t="shared" si="13"/>
        <v>0.3527682508574228</v>
      </c>
      <c r="U20" s="148">
        <f t="shared" si="13"/>
        <v>35.276825085742281</v>
      </c>
      <c r="V20" s="7">
        <f t="shared" si="14"/>
        <v>1000</v>
      </c>
      <c r="W20" s="7">
        <f t="shared" si="14"/>
        <v>1000000</v>
      </c>
      <c r="X20" s="1345">
        <f t="shared" si="15"/>
        <v>352.7682508574228</v>
      </c>
      <c r="Y20" s="1345">
        <f t="shared" si="15"/>
        <v>35276.825085742283</v>
      </c>
    </row>
    <row r="21" spans="1:26" x14ac:dyDescent="0.2">
      <c r="A21" s="213" t="str">
        <f t="shared" ref="A21:H21" si="18">A33</f>
        <v>NMIA</v>
      </c>
      <c r="B21" s="213" t="str">
        <f t="shared" si="18"/>
        <v>D249400</v>
      </c>
      <c r="C21" s="213">
        <f t="shared" si="18"/>
        <v>10.407</v>
      </c>
      <c r="D21" s="213">
        <f t="shared" si="18"/>
        <v>8.3000000000000004E-2</v>
      </c>
      <c r="E21" s="213">
        <f t="shared" si="18"/>
        <v>10.43</v>
      </c>
      <c r="F21" s="213">
        <f t="shared" si="18"/>
        <v>0.15</v>
      </c>
      <c r="G21" s="213">
        <f t="shared" si="18"/>
        <v>2.3E-2</v>
      </c>
      <c r="H21" s="213">
        <f t="shared" si="18"/>
        <v>0.34300000000000003</v>
      </c>
      <c r="I21" s="155">
        <f t="shared" si="1"/>
        <v>0</v>
      </c>
      <c r="J21" s="155">
        <f t="shared" si="2"/>
        <v>0</v>
      </c>
      <c r="K21" s="155">
        <f t="shared" si="3"/>
        <v>0.3</v>
      </c>
      <c r="L21" s="155">
        <f t="shared" si="4"/>
        <v>10</v>
      </c>
      <c r="M21" s="156">
        <f t="shared" si="5"/>
        <v>2.8826751225136928</v>
      </c>
      <c r="N21" s="157">
        <f t="shared" si="9"/>
        <v>0.28826751225136926</v>
      </c>
      <c r="O21" s="155">
        <f t="shared" si="10"/>
        <v>100</v>
      </c>
      <c r="P21" s="250">
        <v>1</v>
      </c>
      <c r="Q21" s="250">
        <v>1000</v>
      </c>
      <c r="R21" s="148">
        <f t="shared" si="11"/>
        <v>28.826751225136928</v>
      </c>
      <c r="S21" s="148">
        <f t="shared" si="12"/>
        <v>2.8826751225136928</v>
      </c>
      <c r="T21" s="148">
        <f t="shared" si="13"/>
        <v>0.28826751225136926</v>
      </c>
      <c r="U21" s="148">
        <f t="shared" si="13"/>
        <v>28.826751225136928</v>
      </c>
      <c r="V21" s="7">
        <f t="shared" si="14"/>
        <v>1000</v>
      </c>
      <c r="W21" s="7">
        <f t="shared" si="14"/>
        <v>1000000</v>
      </c>
      <c r="X21" s="1345">
        <f t="shared" si="15"/>
        <v>288.26751225136928</v>
      </c>
      <c r="Y21" s="1345">
        <f t="shared" si="15"/>
        <v>28826.751225136926</v>
      </c>
    </row>
    <row r="22" spans="1:26" x14ac:dyDescent="0.2">
      <c r="A22" s="213" t="str">
        <f t="shared" ref="A22:H22" si="19">A34</f>
        <v>NPL</v>
      </c>
      <c r="B22" s="213" t="str">
        <f t="shared" si="19"/>
        <v>D249363</v>
      </c>
      <c r="C22" s="213">
        <f t="shared" si="19"/>
        <v>10.396000000000001</v>
      </c>
      <c r="D22" s="213">
        <f t="shared" si="19"/>
        <v>8.3000000000000004E-2</v>
      </c>
      <c r="E22" s="213">
        <f t="shared" si="19"/>
        <v>10.29</v>
      </c>
      <c r="F22" s="213">
        <f t="shared" si="19"/>
        <v>0.05</v>
      </c>
      <c r="G22" s="213">
        <f t="shared" si="19"/>
        <v>-0.106</v>
      </c>
      <c r="H22" s="213">
        <f t="shared" si="19"/>
        <v>0.19400000000000001</v>
      </c>
      <c r="I22" s="155">
        <f t="shared" si="1"/>
        <v>0</v>
      </c>
      <c r="J22" s="155">
        <f t="shared" si="2"/>
        <v>0</v>
      </c>
      <c r="K22" s="155">
        <f t="shared" si="3"/>
        <v>0.1</v>
      </c>
      <c r="L22" s="155">
        <f t="shared" si="4"/>
        <v>10</v>
      </c>
      <c r="M22" s="156">
        <f t="shared" si="5"/>
        <v>0.96190842631781459</v>
      </c>
      <c r="N22" s="157">
        <f t="shared" si="9"/>
        <v>9.6190842631781445E-2</v>
      </c>
      <c r="O22" s="155">
        <f t="shared" si="10"/>
        <v>100</v>
      </c>
      <c r="P22" s="250">
        <v>1</v>
      </c>
      <c r="Q22" s="250">
        <v>1000</v>
      </c>
      <c r="R22" s="148">
        <f t="shared" si="11"/>
        <v>9.619084263178145</v>
      </c>
      <c r="S22" s="148">
        <f t="shared" si="12"/>
        <v>0.96190842631781459</v>
      </c>
      <c r="T22" s="148">
        <f t="shared" si="13"/>
        <v>9.6190842631781459E-2</v>
      </c>
      <c r="U22" s="148">
        <f t="shared" si="13"/>
        <v>9.6190842631781468</v>
      </c>
      <c r="V22" s="7">
        <f t="shared" si="14"/>
        <v>1000</v>
      </c>
      <c r="W22" s="7">
        <f t="shared" si="14"/>
        <v>1000000</v>
      </c>
      <c r="X22" s="1345">
        <f t="shared" si="15"/>
        <v>96.190842631781464</v>
      </c>
      <c r="Y22" s="1345">
        <f t="shared" si="15"/>
        <v>9619.084263178147</v>
      </c>
    </row>
    <row r="23" spans="1:26" x14ac:dyDescent="0.2">
      <c r="A23" s="213" t="str">
        <f t="shared" ref="A23:H23" si="20">A35</f>
        <v>NMISA</v>
      </c>
      <c r="B23" s="213" t="str">
        <f t="shared" si="20"/>
        <v>D249086</v>
      </c>
      <c r="C23" s="213">
        <f t="shared" si="20"/>
        <v>10.359</v>
      </c>
      <c r="D23" s="213">
        <f t="shared" si="20"/>
        <v>8.3000000000000004E-2</v>
      </c>
      <c r="E23" s="213">
        <f t="shared" si="20"/>
        <v>10.329000000000001</v>
      </c>
      <c r="F23" s="213">
        <f t="shared" si="20"/>
        <v>4.5999999999999999E-2</v>
      </c>
      <c r="G23" s="213">
        <f t="shared" si="20"/>
        <v>-0.03</v>
      </c>
      <c r="H23" s="213">
        <f t="shared" si="20"/>
        <v>0.19</v>
      </c>
      <c r="I23" s="155">
        <f t="shared" si="1"/>
        <v>0</v>
      </c>
      <c r="J23" s="155">
        <f t="shared" si="2"/>
        <v>0</v>
      </c>
      <c r="K23" s="155">
        <f t="shared" si="3"/>
        <v>9.1999999999999998E-2</v>
      </c>
      <c r="L23" s="155">
        <f t="shared" si="4"/>
        <v>10</v>
      </c>
      <c r="M23" s="156">
        <f t="shared" si="5"/>
        <v>0.88811661357273874</v>
      </c>
      <c r="N23" s="157">
        <f t="shared" si="9"/>
        <v>8.8811661357273863E-2</v>
      </c>
      <c r="O23" s="155">
        <f t="shared" si="10"/>
        <v>100</v>
      </c>
      <c r="P23" s="250">
        <v>1</v>
      </c>
      <c r="Q23" s="250">
        <v>1000</v>
      </c>
      <c r="R23" s="148">
        <f t="shared" si="11"/>
        <v>8.881166135727387</v>
      </c>
      <c r="S23" s="148">
        <f t="shared" si="12"/>
        <v>0.88811661357273874</v>
      </c>
      <c r="T23" s="148">
        <f t="shared" si="13"/>
        <v>8.8811661357273877E-2</v>
      </c>
      <c r="U23" s="148">
        <f t="shared" si="13"/>
        <v>8.881166135727387</v>
      </c>
      <c r="V23" s="7">
        <f t="shared" si="14"/>
        <v>1000</v>
      </c>
      <c r="W23" s="7">
        <f t="shared" si="14"/>
        <v>1000000</v>
      </c>
      <c r="X23" s="1345">
        <f t="shared" si="15"/>
        <v>88.811661357273877</v>
      </c>
      <c r="Y23" s="1345">
        <f t="shared" si="15"/>
        <v>8881.1661357273879</v>
      </c>
    </row>
    <row r="24" spans="1:26" x14ac:dyDescent="0.2">
      <c r="A24" s="213" t="str">
        <f t="shared" ref="A24:H24" si="21">A36</f>
        <v>KRISS</v>
      </c>
      <c r="B24" s="213" t="str">
        <f t="shared" si="21"/>
        <v>D249196</v>
      </c>
      <c r="C24" s="213">
        <f t="shared" si="21"/>
        <v>10.368</v>
      </c>
      <c r="D24" s="213">
        <f t="shared" si="21"/>
        <v>8.3000000000000004E-2</v>
      </c>
      <c r="E24" s="213">
        <f t="shared" si="21"/>
        <v>10.37</v>
      </c>
      <c r="F24" s="213">
        <f t="shared" si="21"/>
        <v>4.2000000000000003E-2</v>
      </c>
      <c r="G24" s="213">
        <f t="shared" si="21"/>
        <v>2E-3</v>
      </c>
      <c r="H24" s="213">
        <f t="shared" si="21"/>
        <v>0.186</v>
      </c>
      <c r="I24" s="155">
        <f t="shared" si="1"/>
        <v>0</v>
      </c>
      <c r="J24" s="155">
        <f t="shared" si="2"/>
        <v>0</v>
      </c>
      <c r="K24" s="155">
        <f t="shared" si="3"/>
        <v>8.4000000000000005E-2</v>
      </c>
      <c r="L24" s="155">
        <f t="shared" si="4"/>
        <v>10</v>
      </c>
      <c r="M24" s="156">
        <f t="shared" si="5"/>
        <v>0.81018518518518512</v>
      </c>
      <c r="N24" s="157">
        <f t="shared" si="9"/>
        <v>8.1018518518518517E-2</v>
      </c>
      <c r="O24" s="155">
        <f t="shared" si="10"/>
        <v>100</v>
      </c>
      <c r="P24" s="250">
        <v>1</v>
      </c>
      <c r="Q24" s="250">
        <v>1000</v>
      </c>
      <c r="R24" s="148">
        <f t="shared" si="11"/>
        <v>8.1018518518518512</v>
      </c>
      <c r="S24" s="148">
        <f t="shared" si="12"/>
        <v>0.81018518518518512</v>
      </c>
      <c r="T24" s="148">
        <f t="shared" si="13"/>
        <v>8.1018518518518517E-2</v>
      </c>
      <c r="U24" s="148">
        <f t="shared" si="13"/>
        <v>8.1018518518518512</v>
      </c>
      <c r="V24" s="7">
        <f t="shared" si="14"/>
        <v>1000</v>
      </c>
      <c r="W24" s="7">
        <f t="shared" si="14"/>
        <v>1000000</v>
      </c>
      <c r="X24" s="1345">
        <f t="shared" si="15"/>
        <v>81.018518518518519</v>
      </c>
      <c r="Y24" s="1345">
        <f t="shared" si="15"/>
        <v>8101.8518518518513</v>
      </c>
    </row>
    <row r="25" spans="1:26" x14ac:dyDescent="0.2">
      <c r="A25" s="213" t="str">
        <f t="shared" ref="A25:H25" si="22">A37</f>
        <v>VSL</v>
      </c>
      <c r="B25" s="213" t="str">
        <f t="shared" si="22"/>
        <v>D249388</v>
      </c>
      <c r="C25" s="213">
        <f t="shared" si="22"/>
        <v>10.055</v>
      </c>
      <c r="D25" s="213">
        <f t="shared" si="22"/>
        <v>8.1000000000000003E-2</v>
      </c>
      <c r="E25" s="213">
        <f t="shared" si="22"/>
        <v>10.053000000000001</v>
      </c>
      <c r="F25" s="213">
        <f t="shared" si="22"/>
        <v>0.03</v>
      </c>
      <c r="G25" s="213">
        <f t="shared" si="22"/>
        <v>-2E-3</v>
      </c>
      <c r="H25" s="213">
        <f t="shared" si="22"/>
        <v>0.17199999999999999</v>
      </c>
      <c r="I25" s="155">
        <f t="shared" si="1"/>
        <v>0</v>
      </c>
      <c r="J25" s="155">
        <f t="shared" si="2"/>
        <v>0</v>
      </c>
      <c r="K25" s="155">
        <f t="shared" si="3"/>
        <v>0.06</v>
      </c>
      <c r="L25" s="155">
        <f t="shared" si="4"/>
        <v>10</v>
      </c>
      <c r="M25" s="156">
        <f t="shared" si="5"/>
        <v>0.59671805072103434</v>
      </c>
      <c r="N25" s="157">
        <f t="shared" si="9"/>
        <v>5.9671805072103436E-2</v>
      </c>
      <c r="O25" s="155">
        <f t="shared" si="10"/>
        <v>100</v>
      </c>
      <c r="P25" s="250">
        <v>1</v>
      </c>
      <c r="Q25" s="250">
        <v>1000</v>
      </c>
      <c r="R25" s="148">
        <f t="shared" si="11"/>
        <v>5.9671805072103439</v>
      </c>
      <c r="S25" s="148">
        <f t="shared" si="12"/>
        <v>0.59671805072103434</v>
      </c>
      <c r="T25" s="148">
        <f t="shared" si="13"/>
        <v>5.9671805072103443E-2</v>
      </c>
      <c r="U25" s="148">
        <f t="shared" si="13"/>
        <v>5.9671805072103439</v>
      </c>
      <c r="V25" s="7">
        <f t="shared" si="14"/>
        <v>1000</v>
      </c>
      <c r="W25" s="7">
        <f t="shared" si="14"/>
        <v>1000000</v>
      </c>
      <c r="X25" s="1345">
        <f t="shared" si="15"/>
        <v>59.671805072103446</v>
      </c>
      <c r="Y25" s="1345">
        <f t="shared" si="15"/>
        <v>5967.1805072103434</v>
      </c>
    </row>
    <row r="26" spans="1:26" ht="14.25" x14ac:dyDescent="0.2">
      <c r="H26" s="9"/>
      <c r="U26" s="152"/>
      <c r="V26" s="21"/>
      <c r="W26" s="21"/>
      <c r="X26" s="21"/>
      <c r="Y26" s="21"/>
      <c r="Z26" s="21"/>
    </row>
    <row r="27" spans="1:26" ht="14.25" x14ac:dyDescent="0.2">
      <c r="H27" s="9"/>
      <c r="U27" s="152"/>
      <c r="V27" s="21"/>
      <c r="W27" s="21"/>
      <c r="X27" s="21"/>
      <c r="Y27" s="21"/>
      <c r="Z27" s="21"/>
    </row>
    <row r="28" spans="1:26" s="117" customFormat="1" ht="15.75" customHeight="1" x14ac:dyDescent="0.2">
      <c r="A28" s="1348" t="s">
        <v>410</v>
      </c>
      <c r="B28" s="1348" t="s">
        <v>1</v>
      </c>
      <c r="C28" s="1348" t="s">
        <v>411</v>
      </c>
      <c r="D28" s="1348" t="s">
        <v>412</v>
      </c>
      <c r="E28" s="1348" t="s">
        <v>413</v>
      </c>
      <c r="F28" s="1348" t="s">
        <v>414</v>
      </c>
      <c r="G28" s="1348" t="s">
        <v>415</v>
      </c>
      <c r="H28" s="1348" t="s">
        <v>416</v>
      </c>
    </row>
    <row r="29" spans="1:26" s="117" customFormat="1" ht="15" customHeight="1" x14ac:dyDescent="0.2">
      <c r="A29" s="1348" t="s">
        <v>173</v>
      </c>
      <c r="B29" s="1348" t="s">
        <v>417</v>
      </c>
      <c r="C29" s="1348">
        <v>10.273999999999999</v>
      </c>
      <c r="D29" s="1348">
        <v>8.2000000000000003E-2</v>
      </c>
      <c r="E29" s="1348">
        <v>10.097</v>
      </c>
      <c r="F29" s="1348">
        <v>3.9E-2</v>
      </c>
      <c r="G29" s="1348">
        <v>-0.17699999999999999</v>
      </c>
      <c r="H29" s="1348">
        <v>0.182</v>
      </c>
    </row>
    <row r="30" spans="1:26" s="117" customFormat="1" ht="15" customHeight="1" x14ac:dyDescent="0.2">
      <c r="A30" s="1348" t="s">
        <v>418</v>
      </c>
      <c r="B30" s="1348" t="s">
        <v>419</v>
      </c>
      <c r="C30" s="1348">
        <v>10.083</v>
      </c>
      <c r="D30" s="1348">
        <v>8.1000000000000003E-2</v>
      </c>
      <c r="E30" s="1348">
        <v>10.08</v>
      </c>
      <c r="F30" s="1348">
        <v>0.1</v>
      </c>
      <c r="G30" s="1348">
        <v>-3.0000000000000001E-3</v>
      </c>
      <c r="H30" s="1348">
        <v>0.25700000000000001</v>
      </c>
    </row>
    <row r="31" spans="1:26" s="117" customFormat="1" ht="15" customHeight="1" x14ac:dyDescent="0.2">
      <c r="A31" s="1348" t="s">
        <v>2</v>
      </c>
      <c r="B31" s="1348" t="s">
        <v>420</v>
      </c>
      <c r="C31" s="1348">
        <v>9.9280000000000008</v>
      </c>
      <c r="D31" s="1348">
        <v>0.08</v>
      </c>
      <c r="E31" s="1348">
        <v>10.029999999999999</v>
      </c>
      <c r="F31" s="1348">
        <v>4.4999999999999998E-2</v>
      </c>
      <c r="G31" s="1348">
        <v>0.10199999999999999</v>
      </c>
      <c r="H31" s="1348">
        <v>0.183</v>
      </c>
    </row>
    <row r="32" spans="1:26" s="117" customFormat="1" ht="15" customHeight="1" x14ac:dyDescent="0.2">
      <c r="A32" s="1348" t="s">
        <v>176</v>
      </c>
      <c r="B32" s="1348" t="s">
        <v>421</v>
      </c>
      <c r="C32" s="1348">
        <v>10.205</v>
      </c>
      <c r="D32" s="1348">
        <v>8.2000000000000003E-2</v>
      </c>
      <c r="E32" s="1348">
        <v>10.37</v>
      </c>
      <c r="F32" s="1348">
        <v>0.18</v>
      </c>
      <c r="G32" s="1348">
        <v>0.16500000000000001</v>
      </c>
      <c r="H32" s="1348">
        <v>0.39500000000000002</v>
      </c>
    </row>
    <row r="33" spans="1:26" s="117" customFormat="1" ht="15" customHeight="1" x14ac:dyDescent="0.2">
      <c r="A33" s="1348" t="s">
        <v>172</v>
      </c>
      <c r="B33" s="1348" t="s">
        <v>422</v>
      </c>
      <c r="C33" s="1348">
        <v>10.407</v>
      </c>
      <c r="D33" s="1348">
        <v>8.3000000000000004E-2</v>
      </c>
      <c r="E33" s="1348">
        <v>10.43</v>
      </c>
      <c r="F33" s="1348">
        <v>0.15</v>
      </c>
      <c r="G33" s="1348">
        <v>2.3E-2</v>
      </c>
      <c r="H33" s="1348">
        <v>0.34300000000000003</v>
      </c>
    </row>
    <row r="34" spans="1:26" s="117" customFormat="1" ht="15" customHeight="1" x14ac:dyDescent="0.2">
      <c r="A34" s="1348" t="s">
        <v>16</v>
      </c>
      <c r="B34" s="1348" t="s">
        <v>423</v>
      </c>
      <c r="C34" s="1348">
        <v>10.396000000000001</v>
      </c>
      <c r="D34" s="1348">
        <v>8.3000000000000004E-2</v>
      </c>
      <c r="E34" s="1348">
        <v>10.29</v>
      </c>
      <c r="F34" s="1348">
        <v>0.05</v>
      </c>
      <c r="G34" s="1348">
        <v>-0.106</v>
      </c>
      <c r="H34" s="1348">
        <v>0.19400000000000001</v>
      </c>
    </row>
    <row r="35" spans="1:26" s="117" customFormat="1" ht="15" customHeight="1" x14ac:dyDescent="0.2">
      <c r="A35" s="1348" t="s">
        <v>15</v>
      </c>
      <c r="B35" s="1348" t="s">
        <v>424</v>
      </c>
      <c r="C35" s="1348">
        <v>10.359</v>
      </c>
      <c r="D35" s="1348">
        <v>8.3000000000000004E-2</v>
      </c>
      <c r="E35" s="1348">
        <v>10.329000000000001</v>
      </c>
      <c r="F35" s="1348">
        <v>4.5999999999999999E-2</v>
      </c>
      <c r="G35" s="1348">
        <v>-0.03</v>
      </c>
      <c r="H35" s="1348">
        <v>0.19</v>
      </c>
    </row>
    <row r="36" spans="1:26" s="117" customFormat="1" ht="15" customHeight="1" x14ac:dyDescent="0.2">
      <c r="A36" s="1348" t="s">
        <v>17</v>
      </c>
      <c r="B36" s="1348" t="s">
        <v>425</v>
      </c>
      <c r="C36" s="1348">
        <v>10.368</v>
      </c>
      <c r="D36" s="1348">
        <v>8.3000000000000004E-2</v>
      </c>
      <c r="E36" s="1348">
        <v>10.37</v>
      </c>
      <c r="F36" s="1348">
        <v>4.2000000000000003E-2</v>
      </c>
      <c r="G36" s="1348">
        <v>2E-3</v>
      </c>
      <c r="H36" s="1348">
        <v>0.186</v>
      </c>
    </row>
    <row r="37" spans="1:26" s="117" customFormat="1" ht="15" customHeight="1" x14ac:dyDescent="0.2">
      <c r="A37" s="1348" t="s">
        <v>21</v>
      </c>
      <c r="B37" s="1348" t="s">
        <v>426</v>
      </c>
      <c r="C37" s="1348">
        <v>10.055</v>
      </c>
      <c r="D37" s="1348">
        <v>8.1000000000000003E-2</v>
      </c>
      <c r="E37" s="1348">
        <v>10.053000000000001</v>
      </c>
      <c r="F37" s="1348">
        <v>0.03</v>
      </c>
      <c r="G37" s="1348">
        <v>-2E-3</v>
      </c>
      <c r="H37" s="1348">
        <v>0.17199999999999999</v>
      </c>
    </row>
    <row r="38" spans="1:26" ht="14.25" x14ac:dyDescent="0.2">
      <c r="H38" s="9"/>
      <c r="U38" s="152"/>
      <c r="V38" s="21"/>
      <c r="W38" s="21"/>
      <c r="X38" s="21"/>
      <c r="Y38" s="21"/>
      <c r="Z38" s="21"/>
    </row>
    <row r="39" spans="1:26" ht="14.25" x14ac:dyDescent="0.2">
      <c r="H39" s="9"/>
      <c r="U39" s="152"/>
      <c r="V39" s="21"/>
      <c r="W39" s="21"/>
      <c r="X39" s="21"/>
      <c r="Y39" s="21"/>
      <c r="Z39" s="21"/>
    </row>
    <row r="40" spans="1:26" ht="14.25" x14ac:dyDescent="0.2">
      <c r="H40" s="9"/>
      <c r="X40" s="21"/>
      <c r="Y40" s="21"/>
      <c r="Z40" s="21"/>
    </row>
    <row r="41" spans="1:26" ht="14.25" x14ac:dyDescent="0.2">
      <c r="H41" s="9"/>
      <c r="X41" s="21"/>
      <c r="Y41" s="21"/>
      <c r="Z41" s="21"/>
    </row>
    <row r="42" spans="1:26" ht="14.25" x14ac:dyDescent="0.2">
      <c r="H42" s="9"/>
      <c r="X42" s="21"/>
      <c r="Y42" s="21"/>
      <c r="Z42" s="21"/>
    </row>
    <row r="43" spans="1:26" ht="14.25" x14ac:dyDescent="0.2">
      <c r="H43" s="9"/>
      <c r="X43" s="21"/>
      <c r="Y43" s="21"/>
      <c r="Z43" s="21"/>
    </row>
    <row r="44" spans="1:26" ht="14.25" x14ac:dyDescent="0.2">
      <c r="H44" s="9"/>
      <c r="X44" s="21"/>
      <c r="Y44" s="21"/>
      <c r="Z44" s="21"/>
    </row>
    <row r="45" spans="1:26" ht="14.25" x14ac:dyDescent="0.2">
      <c r="H45" s="9"/>
      <c r="X45" s="21"/>
      <c r="Y45" s="21"/>
      <c r="Z45" s="21"/>
    </row>
    <row r="46" spans="1:26" ht="14.25" x14ac:dyDescent="0.2">
      <c r="H46" s="9"/>
      <c r="X46" s="21"/>
      <c r="Y46" s="21"/>
      <c r="Z46" s="21"/>
    </row>
    <row r="47" spans="1:26" ht="14.25" x14ac:dyDescent="0.2">
      <c r="H47" s="9"/>
      <c r="X47" s="21"/>
      <c r="Y47" s="21"/>
      <c r="Z47" s="21"/>
    </row>
    <row r="48" spans="1:26" ht="14.25" x14ac:dyDescent="0.2">
      <c r="H48" s="9"/>
      <c r="X48" s="21"/>
      <c r="Y48" s="21"/>
      <c r="Z48" s="21"/>
    </row>
    <row r="49" spans="8:26" ht="14.25" x14ac:dyDescent="0.2">
      <c r="H49" s="9"/>
      <c r="X49" s="21"/>
      <c r="Y49" s="21"/>
      <c r="Z49" s="21"/>
    </row>
    <row r="50" spans="8:26" ht="14.25" x14ac:dyDescent="0.2">
      <c r="H50" s="9"/>
      <c r="X50" s="21"/>
      <c r="Y50" s="21"/>
      <c r="Z50" s="21"/>
    </row>
    <row r="51" spans="8:26" ht="14.25" x14ac:dyDescent="0.2">
      <c r="H51" s="9"/>
      <c r="X51" s="21"/>
      <c r="Y51" s="21"/>
      <c r="Z51" s="21"/>
    </row>
    <row r="52" spans="8:26" ht="14.25" x14ac:dyDescent="0.2">
      <c r="H52" s="9"/>
      <c r="X52" s="21"/>
      <c r="Y52" s="21"/>
      <c r="Z52" s="21"/>
    </row>
    <row r="53" spans="8:26" ht="14.25" x14ac:dyDescent="0.2">
      <c r="H53" s="9"/>
      <c r="X53" s="21"/>
      <c r="Y53" s="21"/>
      <c r="Z53" s="21"/>
    </row>
    <row r="54" spans="8:26" ht="14.25" x14ac:dyDescent="0.2">
      <c r="H54" s="9"/>
      <c r="X54" s="21"/>
      <c r="Y54" s="21"/>
      <c r="Z54" s="21"/>
    </row>
    <row r="55" spans="8:26" ht="14.25" x14ac:dyDescent="0.2">
      <c r="H55" s="9"/>
      <c r="U55" s="152"/>
      <c r="V55" s="21"/>
      <c r="W55" s="21"/>
      <c r="X55" s="21"/>
      <c r="Y55" s="21"/>
      <c r="Z55" s="21"/>
    </row>
    <row r="56" spans="8:26" ht="14.25" x14ac:dyDescent="0.2">
      <c r="H56" s="9"/>
      <c r="U56" s="152"/>
      <c r="V56" s="21"/>
      <c r="W56" s="21"/>
      <c r="X56" s="21"/>
      <c r="Y56" s="21"/>
      <c r="Z56" s="21"/>
    </row>
    <row r="57" spans="8:26" ht="14.25" x14ac:dyDescent="0.2">
      <c r="H57" s="9"/>
      <c r="U57" s="152"/>
      <c r="V57" s="21"/>
      <c r="W57" s="21"/>
      <c r="X57" s="21"/>
      <c r="Y57" s="21"/>
      <c r="Z57" s="21"/>
    </row>
    <row r="58" spans="8:26" ht="14.25" x14ac:dyDescent="0.2">
      <c r="H58" s="9"/>
      <c r="U58" s="152"/>
      <c r="V58" s="21"/>
      <c r="W58" s="21"/>
      <c r="X58" s="21"/>
      <c r="Y58" s="21"/>
      <c r="Z58" s="21"/>
    </row>
    <row r="59" spans="8:26" ht="14.25" x14ac:dyDescent="0.2">
      <c r="H59" s="9"/>
      <c r="U59" s="152"/>
      <c r="V59" s="21"/>
      <c r="W59" s="21"/>
      <c r="X59" s="21"/>
      <c r="Y59" s="21"/>
      <c r="Z59" s="21"/>
    </row>
    <row r="60" spans="8:26" ht="14.25" x14ac:dyDescent="0.2">
      <c r="H60" s="9"/>
      <c r="U60" s="152"/>
      <c r="V60" s="21"/>
      <c r="W60" s="21"/>
      <c r="X60" s="21"/>
      <c r="Y60" s="21"/>
      <c r="Z60" s="21"/>
    </row>
    <row r="61" spans="8:26" ht="14.25" x14ac:dyDescent="0.2">
      <c r="H61" s="9"/>
      <c r="U61" s="152"/>
      <c r="V61" s="21"/>
      <c r="W61" s="21"/>
      <c r="X61" s="21"/>
      <c r="Y61" s="21"/>
      <c r="Z61" s="21"/>
    </row>
    <row r="62" spans="8:26" ht="14.25" x14ac:dyDescent="0.2">
      <c r="H62" s="9"/>
      <c r="U62" s="152"/>
      <c r="V62" s="21"/>
      <c r="W62" s="21"/>
      <c r="X62" s="21"/>
      <c r="Y62" s="21"/>
      <c r="Z62" s="21"/>
    </row>
    <row r="63" spans="8:26" ht="14.25" x14ac:dyDescent="0.2">
      <c r="H63" s="9"/>
      <c r="U63" s="152"/>
      <c r="V63" s="21"/>
      <c r="W63" s="21"/>
      <c r="X63" s="21"/>
      <c r="Y63" s="21"/>
      <c r="Z63" s="21"/>
    </row>
    <row r="64" spans="8:26" ht="14.25" x14ac:dyDescent="0.2">
      <c r="H64" s="9"/>
      <c r="U64" s="152"/>
      <c r="V64" s="21"/>
      <c r="W64" s="21"/>
      <c r="X64" s="21"/>
      <c r="Y64" s="21"/>
      <c r="Z64" s="21"/>
    </row>
    <row r="65" spans="8:26" ht="14.25" x14ac:dyDescent="0.2">
      <c r="H65" s="9"/>
      <c r="U65" s="152"/>
      <c r="V65" s="21"/>
      <c r="W65" s="21"/>
      <c r="X65" s="21"/>
      <c r="Y65" s="21"/>
      <c r="Z65" s="21"/>
    </row>
    <row r="66" spans="8:26" ht="14.25" x14ac:dyDescent="0.2">
      <c r="H66" s="9"/>
      <c r="U66" s="152"/>
      <c r="V66" s="21"/>
      <c r="W66" s="21"/>
      <c r="X66" s="21"/>
      <c r="Y66" s="21"/>
      <c r="Z66" s="21"/>
    </row>
    <row r="67" spans="8:26" ht="14.25" x14ac:dyDescent="0.2">
      <c r="H67" s="9"/>
      <c r="U67" s="152"/>
      <c r="V67" s="21"/>
      <c r="W67" s="21"/>
      <c r="X67" s="21"/>
      <c r="Y67" s="21"/>
      <c r="Z67" s="21"/>
    </row>
    <row r="68" spans="8:26" ht="14.25" x14ac:dyDescent="0.2">
      <c r="H68" s="9"/>
      <c r="U68" s="152"/>
      <c r="V68" s="21"/>
      <c r="W68" s="21"/>
      <c r="X68" s="21"/>
      <c r="Y68" s="21"/>
      <c r="Z68" s="21"/>
    </row>
    <row r="69" spans="8:26" ht="14.25" x14ac:dyDescent="0.2">
      <c r="H69" s="9"/>
      <c r="U69" s="152"/>
      <c r="V69" s="21"/>
      <c r="W69" s="21"/>
      <c r="X69" s="21"/>
      <c r="Y69" s="21"/>
      <c r="Z69" s="21"/>
    </row>
    <row r="70" spans="8:26" ht="14.25" x14ac:dyDescent="0.2">
      <c r="H70" s="9"/>
      <c r="U70" s="152"/>
      <c r="V70" s="21"/>
      <c r="W70" s="21"/>
      <c r="X70" s="21"/>
      <c r="Y70" s="21"/>
      <c r="Z70" s="21"/>
    </row>
    <row r="71" spans="8:26" ht="14.25" x14ac:dyDescent="0.2">
      <c r="H71" s="9"/>
      <c r="U71" s="152"/>
      <c r="V71" s="21"/>
      <c r="W71" s="21"/>
      <c r="X71" s="21"/>
      <c r="Y71" s="21"/>
      <c r="Z71" s="21"/>
    </row>
    <row r="72" spans="8:26" ht="14.25" x14ac:dyDescent="0.2">
      <c r="H72" s="9"/>
      <c r="U72" s="152"/>
      <c r="V72" s="21"/>
      <c r="W72" s="21"/>
      <c r="X72" s="21"/>
      <c r="Y72" s="21"/>
      <c r="Z72" s="21"/>
    </row>
    <row r="73" spans="8:26" ht="14.25" x14ac:dyDescent="0.2">
      <c r="U73" s="152"/>
      <c r="V73" s="21"/>
      <c r="W73" s="21"/>
      <c r="X73" s="21"/>
      <c r="Y73" s="21"/>
      <c r="Z73" s="21"/>
    </row>
    <row r="74" spans="8:26" ht="14.25" x14ac:dyDescent="0.2">
      <c r="H74" s="9"/>
      <c r="U74" s="152"/>
      <c r="V74" s="21"/>
      <c r="W74" s="21"/>
      <c r="X74" s="21"/>
      <c r="Y74" s="21"/>
      <c r="Z74" s="21"/>
    </row>
    <row r="75" spans="8:26" ht="14.25" x14ac:dyDescent="0.2">
      <c r="H75" s="9"/>
      <c r="U75" s="152"/>
      <c r="V75" s="21"/>
      <c r="W75" s="21"/>
      <c r="X75" s="21"/>
      <c r="Y75" s="21"/>
      <c r="Z75" s="21"/>
    </row>
    <row r="76" spans="8:26" ht="14.25" x14ac:dyDescent="0.2">
      <c r="H76" s="9"/>
      <c r="U76" s="152"/>
      <c r="V76" s="21"/>
      <c r="W76" s="21"/>
      <c r="X76" s="21"/>
      <c r="Y76" s="21"/>
      <c r="Z76" s="21"/>
    </row>
    <row r="77" spans="8:26" ht="14.25" x14ac:dyDescent="0.2">
      <c r="H77" s="9"/>
      <c r="U77" s="152"/>
      <c r="V77" s="21"/>
      <c r="W77" s="21"/>
      <c r="X77" s="21"/>
      <c r="Y77" s="21"/>
      <c r="Z77" s="21"/>
    </row>
    <row r="78" spans="8:26" ht="14.25" x14ac:dyDescent="0.2">
      <c r="H78" s="9"/>
      <c r="U78" s="152"/>
      <c r="V78" s="21"/>
      <c r="W78" s="21"/>
      <c r="X78" s="21"/>
      <c r="Y78" s="21"/>
      <c r="Z78" s="21"/>
    </row>
    <row r="79" spans="8:26" ht="14.25" x14ac:dyDescent="0.2">
      <c r="H79" s="9"/>
      <c r="U79" s="152"/>
      <c r="V79" s="21"/>
      <c r="W79" s="21"/>
      <c r="X79" s="21"/>
      <c r="Y79" s="21"/>
      <c r="Z79" s="21"/>
    </row>
    <row r="80" spans="8:26" ht="14.25" x14ac:dyDescent="0.2">
      <c r="U80" s="152"/>
      <c r="V80" s="21"/>
      <c r="W80" s="21"/>
      <c r="X80" s="21"/>
      <c r="Y80" s="21"/>
      <c r="Z80" s="21"/>
    </row>
    <row r="81" spans="1:26" ht="14.25" x14ac:dyDescent="0.2">
      <c r="U81" s="152"/>
      <c r="V81" s="21"/>
      <c r="W81" s="21"/>
      <c r="X81" s="21"/>
      <c r="Y81" s="21"/>
      <c r="Z81" s="21"/>
    </row>
    <row r="82" spans="1:26" ht="14.25" x14ac:dyDescent="0.2">
      <c r="U82" s="152"/>
      <c r="V82" s="21"/>
      <c r="W82" s="21"/>
      <c r="X82" s="21"/>
      <c r="Y82" s="21"/>
      <c r="Z82" s="21"/>
    </row>
    <row r="83" spans="1:26" ht="14.25" x14ac:dyDescent="0.2">
      <c r="U83" s="152"/>
      <c r="V83" s="21"/>
      <c r="W83" s="21"/>
      <c r="X83" s="21"/>
      <c r="Y83" s="21"/>
      <c r="Z83" s="21"/>
    </row>
    <row r="84" spans="1:26" ht="14.25" x14ac:dyDescent="0.2">
      <c r="U84" s="152"/>
      <c r="V84" s="21"/>
      <c r="W84" s="21"/>
      <c r="X84" s="21"/>
      <c r="Y84" s="21"/>
      <c r="Z84" s="21"/>
    </row>
    <row r="85" spans="1:26" ht="14.25" x14ac:dyDescent="0.2">
      <c r="U85" s="152"/>
      <c r="V85" s="21"/>
      <c r="W85" s="21"/>
      <c r="X85" s="21"/>
      <c r="Y85" s="21"/>
      <c r="Z85" s="21"/>
    </row>
    <row r="86" spans="1:26" ht="14.25" x14ac:dyDescent="0.2">
      <c r="A86" s="23"/>
      <c r="B86" s="23"/>
      <c r="C86" s="23"/>
      <c r="D86" s="23"/>
      <c r="T86" s="151"/>
      <c r="U86" s="152"/>
      <c r="V86" s="21"/>
      <c r="W86" s="21"/>
      <c r="X86" s="21"/>
      <c r="Y86" s="21"/>
      <c r="Z86" s="21"/>
    </row>
    <row r="87" spans="1:26" ht="14.25" x14ac:dyDescent="0.2">
      <c r="T87" s="151"/>
      <c r="U87" s="152"/>
      <c r="V87" s="21"/>
      <c r="W87" s="21"/>
      <c r="X87" s="21"/>
      <c r="Y87" s="21"/>
      <c r="Z87" s="21"/>
    </row>
    <row r="88" spans="1:26" ht="14.25" x14ac:dyDescent="0.2">
      <c r="T88" s="151"/>
      <c r="U88" s="152"/>
      <c r="V88" s="21"/>
      <c r="W88" s="21"/>
      <c r="X88" s="21"/>
      <c r="Y88" s="21"/>
      <c r="Z88" s="21"/>
    </row>
    <row r="89" spans="1:26" ht="14.25" x14ac:dyDescent="0.2">
      <c r="T89" s="151"/>
      <c r="U89" s="152"/>
      <c r="V89" s="21"/>
      <c r="W89" s="21"/>
      <c r="X89" s="21"/>
      <c r="Y89" s="21"/>
      <c r="Z89" s="21"/>
    </row>
    <row r="90" spans="1:26" ht="14.25" x14ac:dyDescent="0.2">
      <c r="T90" s="151"/>
      <c r="U90" s="152"/>
      <c r="V90" s="21"/>
      <c r="W90" s="21"/>
      <c r="X90" s="21"/>
      <c r="Y90" s="21"/>
      <c r="Z90" s="21"/>
    </row>
    <row r="91" spans="1:26" ht="14.25" x14ac:dyDescent="0.2">
      <c r="T91" s="151"/>
      <c r="U91" s="152"/>
      <c r="V91" s="21"/>
      <c r="W91" s="21"/>
      <c r="X91" s="21"/>
      <c r="Y91" s="21"/>
      <c r="Z91" s="21"/>
    </row>
    <row r="92" spans="1:26" ht="14.25" x14ac:dyDescent="0.2">
      <c r="T92" s="151"/>
      <c r="U92" s="152"/>
      <c r="V92" s="21"/>
      <c r="W92" s="21"/>
      <c r="X92" s="21"/>
      <c r="Y92" s="21"/>
      <c r="Z92" s="21"/>
    </row>
    <row r="93" spans="1:26" ht="14.25" x14ac:dyDescent="0.2">
      <c r="T93" s="151"/>
      <c r="U93" s="152"/>
      <c r="V93" s="21"/>
      <c r="W93" s="21"/>
      <c r="X93" s="21"/>
      <c r="Y93" s="21"/>
      <c r="Z93" s="21"/>
    </row>
    <row r="94" spans="1:26" ht="14.25" x14ac:dyDescent="0.2">
      <c r="T94" s="151"/>
      <c r="U94" s="152"/>
      <c r="V94" s="21"/>
      <c r="W94" s="21"/>
      <c r="X94" s="21"/>
      <c r="Y94" s="21"/>
      <c r="Z94" s="21"/>
    </row>
    <row r="95" spans="1:26" ht="14.25" x14ac:dyDescent="0.2">
      <c r="T95" s="151"/>
      <c r="U95" s="152"/>
      <c r="V95" s="21"/>
      <c r="W95" s="21"/>
      <c r="X95" s="21"/>
      <c r="Y95" s="21"/>
      <c r="Z95" s="21"/>
    </row>
    <row r="96" spans="1:26" ht="14.25" x14ac:dyDescent="0.2">
      <c r="T96" s="151"/>
      <c r="U96" s="152"/>
      <c r="V96" s="21"/>
      <c r="W96" s="21"/>
      <c r="X96" s="21"/>
      <c r="Y96" s="21"/>
      <c r="Z96" s="21"/>
    </row>
    <row r="97" spans="1:26" ht="14.25" x14ac:dyDescent="0.2">
      <c r="T97" s="151"/>
      <c r="U97" s="152"/>
      <c r="V97" s="21"/>
      <c r="W97" s="21"/>
      <c r="X97" s="21"/>
      <c r="Y97" s="21"/>
      <c r="Z97" s="21"/>
    </row>
    <row r="98" spans="1:26" ht="14.25" x14ac:dyDescent="0.2">
      <c r="T98" s="151"/>
      <c r="U98" s="152"/>
      <c r="V98" s="21"/>
      <c r="W98" s="21"/>
      <c r="X98" s="21"/>
      <c r="Y98" s="21"/>
      <c r="Z98" s="21"/>
    </row>
    <row r="99" spans="1:26" ht="14.25" x14ac:dyDescent="0.2">
      <c r="A99" s="23"/>
      <c r="B99" s="23"/>
      <c r="C99" s="23"/>
      <c r="D99" s="23"/>
      <c r="T99" s="151"/>
      <c r="U99" s="152"/>
      <c r="V99" s="21"/>
      <c r="W99" s="21"/>
      <c r="X99" s="21"/>
      <c r="Y99" s="21"/>
      <c r="Z99" s="21"/>
    </row>
    <row r="100" spans="1:26" ht="14.25" x14ac:dyDescent="0.2">
      <c r="A100" s="23"/>
      <c r="B100" s="23"/>
      <c r="C100" s="23"/>
      <c r="D100" s="23"/>
      <c r="T100" s="151"/>
      <c r="U100" s="152"/>
      <c r="V100" s="21"/>
      <c r="W100" s="21"/>
      <c r="X100" s="21"/>
      <c r="Y100" s="21"/>
      <c r="Z100" s="21"/>
    </row>
    <row r="101" spans="1:26" ht="14.25" x14ac:dyDescent="0.2">
      <c r="A101" s="23"/>
      <c r="B101" s="23"/>
      <c r="C101" s="23"/>
      <c r="D101" s="23"/>
      <c r="T101" s="151"/>
      <c r="U101" s="152"/>
      <c r="V101" s="21"/>
      <c r="W101" s="21"/>
      <c r="X101" s="21"/>
      <c r="Y101" s="21"/>
      <c r="Z101" s="21"/>
    </row>
    <row r="102" spans="1:26" ht="14.25" x14ac:dyDescent="0.2">
      <c r="A102" s="23"/>
      <c r="B102" s="23"/>
      <c r="C102" s="23"/>
      <c r="D102" s="23"/>
      <c r="T102" s="151"/>
      <c r="U102" s="152"/>
      <c r="V102" s="21"/>
      <c r="W102" s="21"/>
      <c r="X102" s="21"/>
      <c r="Y102" s="21"/>
      <c r="Z102" s="21"/>
    </row>
    <row r="103" spans="1:26" ht="14.25" x14ac:dyDescent="0.2">
      <c r="A103" s="23"/>
      <c r="B103" s="23"/>
      <c r="C103" s="23"/>
      <c r="D103" s="23"/>
      <c r="T103" s="151"/>
      <c r="U103" s="152"/>
      <c r="V103" s="21"/>
      <c r="W103" s="21"/>
      <c r="X103" s="21"/>
      <c r="Y103" s="21"/>
      <c r="Z103" s="21"/>
    </row>
    <row r="104" spans="1:26" ht="14.25" x14ac:dyDescent="0.2">
      <c r="A104" s="23"/>
      <c r="B104" s="23"/>
      <c r="C104" s="23"/>
      <c r="D104" s="23"/>
      <c r="T104" s="151"/>
      <c r="U104" s="152"/>
      <c r="V104" s="21"/>
      <c r="W104" s="21"/>
      <c r="X104" s="21"/>
      <c r="Y104" s="21"/>
      <c r="Z104" s="21"/>
    </row>
    <row r="105" spans="1:26" ht="14.25" x14ac:dyDescent="0.2">
      <c r="A105" s="23"/>
      <c r="B105" s="23"/>
      <c r="C105" s="23"/>
      <c r="D105" s="23"/>
      <c r="T105" s="151"/>
      <c r="U105" s="152"/>
      <c r="V105" s="21"/>
      <c r="W105" s="21"/>
      <c r="X105" s="21"/>
      <c r="Y105" s="21"/>
      <c r="Z105" s="21"/>
    </row>
    <row r="106" spans="1:26" ht="14.25" x14ac:dyDescent="0.2">
      <c r="A106" s="23"/>
      <c r="B106" s="23"/>
      <c r="C106" s="23"/>
      <c r="D106" s="23"/>
      <c r="T106" s="151"/>
      <c r="U106" s="152"/>
      <c r="V106" s="21"/>
      <c r="W106" s="21"/>
      <c r="X106" s="21"/>
      <c r="Y106" s="21"/>
      <c r="Z106" s="21"/>
    </row>
    <row r="107" spans="1:26" ht="14.25" x14ac:dyDescent="0.2">
      <c r="A107" s="23"/>
      <c r="B107" s="23"/>
      <c r="C107" s="23"/>
      <c r="D107" s="23"/>
      <c r="T107" s="151"/>
      <c r="U107" s="152"/>
      <c r="V107" s="21"/>
      <c r="W107" s="21"/>
      <c r="X107" s="21"/>
      <c r="Y107" s="21"/>
      <c r="Z107" s="21"/>
    </row>
    <row r="108" spans="1:26" ht="14.25" x14ac:dyDescent="0.2">
      <c r="A108" s="23"/>
      <c r="B108" s="23"/>
      <c r="C108" s="23"/>
      <c r="D108" s="23"/>
      <c r="T108" s="151"/>
      <c r="U108" s="152"/>
      <c r="V108" s="21"/>
      <c r="W108" s="21"/>
      <c r="X108" s="21"/>
      <c r="Y108" s="21"/>
      <c r="Z108" s="21"/>
    </row>
    <row r="109" spans="1:26" ht="14.25" x14ac:dyDescent="0.2">
      <c r="A109" s="23"/>
      <c r="B109" s="23"/>
      <c r="C109" s="23"/>
      <c r="D109" s="23"/>
      <c r="T109" s="151"/>
      <c r="U109" s="152"/>
      <c r="V109" s="21"/>
      <c r="W109" s="21"/>
      <c r="X109" s="21"/>
      <c r="Y109" s="21"/>
      <c r="Z109" s="21"/>
    </row>
    <row r="110" spans="1:26" ht="14.25" x14ac:dyDescent="0.2">
      <c r="A110" s="23"/>
      <c r="B110" s="23"/>
      <c r="C110" s="23"/>
      <c r="D110" s="23"/>
      <c r="T110" s="151"/>
      <c r="U110" s="152"/>
      <c r="V110" s="21"/>
      <c r="W110" s="21"/>
      <c r="X110" s="21"/>
      <c r="Y110" s="21"/>
      <c r="Z110" s="21"/>
    </row>
    <row r="111" spans="1:26" ht="14.25" x14ac:dyDescent="0.2">
      <c r="A111" s="23"/>
      <c r="B111" s="23"/>
      <c r="C111" s="23"/>
      <c r="D111" s="23"/>
      <c r="T111" s="151"/>
      <c r="U111" s="152"/>
      <c r="V111" s="21"/>
      <c r="W111" s="21"/>
      <c r="X111" s="21"/>
      <c r="Y111" s="21"/>
      <c r="Z111" s="21"/>
    </row>
    <row r="112" spans="1:26" ht="14.25" x14ac:dyDescent="0.2">
      <c r="A112" s="23"/>
      <c r="B112" s="23"/>
      <c r="C112" s="23"/>
      <c r="D112" s="23"/>
      <c r="T112" s="151"/>
      <c r="U112" s="152"/>
      <c r="V112" s="21"/>
      <c r="W112" s="21"/>
      <c r="X112" s="21"/>
      <c r="Y112" s="21"/>
      <c r="Z112" s="21"/>
    </row>
    <row r="113" spans="1:26" ht="13.5" x14ac:dyDescent="0.2">
      <c r="A113" s="24"/>
      <c r="B113" s="24"/>
      <c r="T113" s="153"/>
      <c r="V113" s="21"/>
      <c r="W113" s="21"/>
      <c r="X113" s="21"/>
      <c r="Y113" s="21"/>
      <c r="Z113" s="21"/>
    </row>
    <row r="127" spans="1:26" ht="16.899999999999999" customHeight="1" x14ac:dyDescent="0.2">
      <c r="A127" s="25"/>
    </row>
    <row r="128" spans="1:26" ht="12" customHeight="1" x14ac:dyDescent="0.2">
      <c r="A128" s="4"/>
    </row>
    <row r="129" spans="1:26" ht="13.15" customHeight="1" x14ac:dyDescent="0.2"/>
    <row r="130" spans="1:26" ht="13.15" customHeight="1" x14ac:dyDescent="0.2"/>
    <row r="131" spans="1:26" ht="13.15" customHeight="1" x14ac:dyDescent="0.2"/>
    <row r="132" spans="1:26" s="149" customFormat="1" ht="13.15" customHeight="1" x14ac:dyDescent="0.2">
      <c r="A132" s="1"/>
      <c r="B132" s="1"/>
      <c r="C132" s="1"/>
      <c r="D132" s="1"/>
      <c r="E132" s="1"/>
      <c r="F132" s="1"/>
      <c r="G132" s="1"/>
      <c r="H132" s="1"/>
      <c r="P132" s="1"/>
      <c r="Q132" s="1"/>
      <c r="T132" s="150"/>
      <c r="U132" s="150"/>
      <c r="V132" s="1"/>
      <c r="W132" s="1"/>
      <c r="X132" s="1"/>
      <c r="Y132" s="1"/>
      <c r="Z132" s="1"/>
    </row>
    <row r="133" spans="1:26" s="149" customFormat="1" ht="13.15" customHeight="1" x14ac:dyDescent="0.2">
      <c r="A133" s="1"/>
      <c r="B133" s="1"/>
      <c r="C133" s="1"/>
      <c r="D133" s="1"/>
      <c r="E133" s="1"/>
      <c r="F133" s="1"/>
      <c r="G133" s="1"/>
      <c r="H133" s="1"/>
      <c r="P133" s="1"/>
      <c r="Q133" s="1"/>
      <c r="T133" s="150"/>
      <c r="U133" s="150"/>
      <c r="V133" s="1"/>
      <c r="W133" s="1"/>
      <c r="X133" s="1"/>
      <c r="Y133" s="1"/>
      <c r="Z133" s="1"/>
    </row>
    <row r="134" spans="1:26" s="149" customFormat="1" ht="13.15" customHeight="1" x14ac:dyDescent="0.2">
      <c r="A134" s="1"/>
      <c r="B134" s="1"/>
      <c r="C134" s="1"/>
      <c r="D134" s="1"/>
      <c r="E134" s="1"/>
      <c r="F134" s="1"/>
      <c r="G134" s="1"/>
      <c r="H134" s="1"/>
      <c r="P134" s="1"/>
      <c r="Q134" s="1"/>
      <c r="T134" s="150"/>
      <c r="U134" s="150"/>
      <c r="V134" s="1"/>
      <c r="W134" s="1"/>
      <c r="X134" s="1"/>
      <c r="Y134" s="1"/>
      <c r="Z134" s="1"/>
    </row>
    <row r="135" spans="1:26" s="149" customFormat="1" ht="12" customHeight="1" x14ac:dyDescent="0.2">
      <c r="A135" s="1"/>
      <c r="B135" s="1"/>
      <c r="C135" s="1"/>
      <c r="D135" s="1"/>
      <c r="E135" s="1"/>
      <c r="F135" s="1"/>
      <c r="G135" s="1"/>
      <c r="H135" s="1"/>
      <c r="P135" s="1"/>
      <c r="Q135" s="1"/>
      <c r="T135" s="150"/>
      <c r="U135" s="150"/>
      <c r="V135" s="1"/>
      <c r="W135" s="1"/>
      <c r="X135" s="1"/>
      <c r="Y135" s="1"/>
      <c r="Z135" s="1"/>
    </row>
    <row r="136" spans="1:26" s="149" customFormat="1" ht="12" customHeight="1" x14ac:dyDescent="0.2">
      <c r="A136" s="1"/>
      <c r="B136" s="1"/>
      <c r="C136" s="1"/>
      <c r="D136" s="1"/>
      <c r="E136" s="1"/>
      <c r="F136" s="1"/>
      <c r="G136" s="1"/>
      <c r="H136" s="1"/>
      <c r="P136" s="1"/>
      <c r="Q136" s="1"/>
      <c r="T136" s="150"/>
      <c r="U136" s="150"/>
      <c r="V136" s="1"/>
      <c r="W136" s="1"/>
      <c r="X136" s="1"/>
      <c r="Y136" s="1"/>
      <c r="Z136" s="1"/>
    </row>
    <row r="137" spans="1:26" s="149" customFormat="1" ht="15" customHeight="1" x14ac:dyDescent="0.2">
      <c r="A137" s="1"/>
      <c r="B137" s="1"/>
      <c r="C137" s="1"/>
      <c r="D137" s="1"/>
      <c r="E137" s="1"/>
      <c r="F137" s="1"/>
      <c r="G137" s="1"/>
      <c r="H137" s="1"/>
      <c r="P137" s="1"/>
      <c r="Q137" s="1"/>
      <c r="T137" s="150"/>
      <c r="U137" s="150"/>
      <c r="V137" s="1"/>
      <c r="W137" s="1"/>
      <c r="X137" s="1"/>
      <c r="Y137" s="1"/>
      <c r="Z137" s="1"/>
    </row>
    <row r="138" spans="1:26" s="149" customFormat="1" ht="15" customHeight="1" x14ac:dyDescent="0.2">
      <c r="A138" s="1"/>
      <c r="B138" s="1"/>
      <c r="C138" s="1"/>
      <c r="D138" s="1"/>
      <c r="E138" s="1"/>
      <c r="F138" s="1"/>
      <c r="G138" s="1"/>
      <c r="H138" s="1"/>
      <c r="P138" s="1"/>
      <c r="Q138" s="1"/>
      <c r="T138" s="150"/>
      <c r="U138" s="150"/>
      <c r="V138" s="1"/>
      <c r="W138" s="1"/>
      <c r="X138" s="1"/>
      <c r="Y138" s="1"/>
      <c r="Z138" s="1"/>
    </row>
  </sheetData>
  <sheetProtection sheet="1" formatCells="0" formatColumns="0" formatRows="0"/>
  <phoneticPr fontId="4"/>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6A005-FF31-4688-86E3-EC2F42409B18}">
  <dimension ref="A1:Z154"/>
  <sheetViews>
    <sheetView zoomScale="160" zoomScaleNormal="160" workbookViewId="0">
      <selection activeCell="P32" sqref="P32"/>
    </sheetView>
  </sheetViews>
  <sheetFormatPr defaultColWidth="9.33203125" defaultRowHeight="12.75" x14ac:dyDescent="0.2"/>
  <cols>
    <col min="1" max="2" width="9.33203125" style="1"/>
    <col min="3" max="7" width="10.1640625" style="1" customWidth="1"/>
    <col min="8" max="8" width="9.33203125" style="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433</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536</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26" customFormat="1" x14ac:dyDescent="0.2">
      <c r="A6" s="407" t="s">
        <v>434</v>
      </c>
      <c r="N6" s="113"/>
      <c r="O6" s="113"/>
      <c r="P6" s="2"/>
      <c r="Q6" s="2"/>
      <c r="R6" s="113"/>
      <c r="S6" s="113"/>
    </row>
    <row r="7" spans="1:25" s="226" customFormat="1" x14ac:dyDescent="0.2">
      <c r="A7" s="226" t="s">
        <v>435</v>
      </c>
      <c r="N7" s="113"/>
      <c r="O7" s="113"/>
      <c r="P7" s="2"/>
      <c r="Q7" s="2"/>
      <c r="R7" s="113"/>
      <c r="S7" s="113"/>
    </row>
    <row r="8" spans="1:25" s="226" customFormat="1" x14ac:dyDescent="0.2">
      <c r="A8" s="226" t="s">
        <v>436</v>
      </c>
      <c r="N8" s="113"/>
      <c r="O8" s="113"/>
      <c r="P8" s="2"/>
      <c r="Q8" s="2"/>
      <c r="R8" s="113"/>
      <c r="S8" s="113"/>
    </row>
    <row r="9" spans="1:25" s="2" customFormat="1" x14ac:dyDescent="0.2">
      <c r="A9" s="113"/>
      <c r="B9" s="99"/>
      <c r="C9" s="99"/>
      <c r="D9" s="99"/>
      <c r="E9" s="99"/>
      <c r="F9" s="99"/>
      <c r="G9" s="99"/>
      <c r="H9" s="99"/>
      <c r="I9" s="113"/>
      <c r="J9" s="113"/>
      <c r="K9" s="113"/>
      <c r="L9" s="113"/>
      <c r="M9" s="113"/>
      <c r="N9" s="113"/>
      <c r="O9" s="113"/>
      <c r="R9" s="113"/>
      <c r="S9" s="113"/>
      <c r="T9" s="146"/>
      <c r="U9" s="146"/>
    </row>
    <row r="10" spans="1:25" x14ac:dyDescent="0.2">
      <c r="A10" s="102"/>
      <c r="B10" s="97"/>
      <c r="C10" s="97"/>
      <c r="D10" s="97"/>
      <c r="E10" s="97"/>
      <c r="F10" s="97"/>
      <c r="G10" s="97"/>
      <c r="H10" s="97"/>
      <c r="I10" s="113"/>
      <c r="J10" s="113"/>
      <c r="K10" s="113"/>
      <c r="L10" s="113"/>
      <c r="M10" s="113"/>
      <c r="N10" s="113"/>
      <c r="O10" s="113"/>
      <c r="R10" s="113"/>
      <c r="S10" s="113"/>
      <c r="T10" s="146"/>
      <c r="U10" s="146"/>
    </row>
    <row r="11" spans="1:25" x14ac:dyDescent="0.2">
      <c r="A11" s="97"/>
      <c r="B11" s="97"/>
      <c r="C11" s="97"/>
      <c r="D11" s="97"/>
      <c r="E11" s="97"/>
      <c r="F11" s="97"/>
      <c r="G11" s="97"/>
      <c r="H11" s="97"/>
      <c r="I11" s="113"/>
      <c r="J11" s="113"/>
      <c r="K11" s="113"/>
      <c r="L11" s="113"/>
      <c r="M11" s="113"/>
      <c r="N11" s="113"/>
      <c r="O11" s="113"/>
      <c r="R11" s="113"/>
      <c r="S11" s="113"/>
      <c r="T11" s="146"/>
      <c r="U11" s="146"/>
    </row>
    <row r="12" spans="1:25" x14ac:dyDescent="0.2">
      <c r="A12" s="97"/>
      <c r="B12" s="97"/>
      <c r="C12" s="97"/>
      <c r="D12" s="97"/>
      <c r="E12" s="97"/>
      <c r="F12" s="97"/>
      <c r="G12" s="97"/>
      <c r="H12" s="97"/>
      <c r="I12" s="113"/>
      <c r="J12" s="113"/>
      <c r="K12" s="113"/>
      <c r="L12" s="113"/>
      <c r="M12" s="113"/>
      <c r="N12" s="113"/>
      <c r="O12" s="113"/>
      <c r="R12" s="113"/>
      <c r="S12" s="113"/>
      <c r="T12" s="146"/>
      <c r="U12" s="146"/>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
        <v>321</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12</v>
      </c>
      <c r="N16" s="104" t="s">
        <v>1058</v>
      </c>
      <c r="O16" s="104" t="s">
        <v>100</v>
      </c>
      <c r="P16" s="6" t="s">
        <v>105</v>
      </c>
      <c r="Q16" s="6" t="s">
        <v>106</v>
      </c>
      <c r="R16" s="104" t="s">
        <v>1051</v>
      </c>
      <c r="S16" s="104" t="s">
        <v>1052</v>
      </c>
      <c r="T16" s="147" t="s">
        <v>80</v>
      </c>
      <c r="U16" s="147" t="s">
        <v>81</v>
      </c>
      <c r="V16" s="5" t="s">
        <v>101</v>
      </c>
      <c r="W16" s="5" t="s">
        <v>102</v>
      </c>
      <c r="X16" s="112" t="s">
        <v>103</v>
      </c>
      <c r="Y16" s="112" t="s">
        <v>104</v>
      </c>
    </row>
    <row r="17" spans="1:25" x14ac:dyDescent="0.2">
      <c r="A17" s="213" t="str">
        <f>A46</f>
        <v>NMIJ</v>
      </c>
      <c r="B17" s="213" t="str">
        <f t="shared" ref="B17:C32" si="0">B46</f>
        <v>D95 5680</v>
      </c>
      <c r="C17" s="570">
        <f>C46</f>
        <v>5.0204000000000004</v>
      </c>
      <c r="D17" s="570">
        <f>F46</f>
        <v>1.04E-2</v>
      </c>
      <c r="E17" s="570">
        <f>G46</f>
        <v>4.9897</v>
      </c>
      <c r="F17" s="213">
        <f>H46/I46</f>
        <v>4.5500000000000002E-3</v>
      </c>
      <c r="G17" s="570">
        <f>J46</f>
        <v>-3.0700000000000002E-2</v>
      </c>
      <c r="H17" s="570">
        <f>L46</f>
        <v>2.2800000000000001E-2</v>
      </c>
      <c r="I17" s="155">
        <f t="shared" ref="I17:I25" si="1">IF(ABS(G17)&gt;ABS(H17), 1, 0)</f>
        <v>1</v>
      </c>
      <c r="J17" s="155">
        <f t="shared" ref="J17:J25" si="2">I17*ABS(C17-E17)</f>
        <v>3.0700000000000394E-2</v>
      </c>
      <c r="K17" s="155">
        <f t="shared" ref="K17:K25" si="3">SQRT(SUMSQ(F17,J17))*2</f>
        <v>6.2070685512567822E-2</v>
      </c>
      <c r="L17" s="155">
        <f t="shared" ref="L17:L25" si="4">IF(C17&lt;$K$2, C17, $K$1)</f>
        <v>10</v>
      </c>
      <c r="M17" s="156">
        <f t="shared" ref="M17:M25" si="5">IF(AND(C17&lt;$K$1,C17&gt; $K$2), K17/L17*100, K17/C17*100)</f>
        <v>0.62070685512567825</v>
      </c>
      <c r="N17" s="157">
        <f t="shared" ref="N17" si="6">M17*L17/100</f>
        <v>6.2070685512567822E-2</v>
      </c>
      <c r="O17" s="155">
        <f t="shared" ref="O17" si="7">N17/(M17*L17/100)*100</f>
        <v>100</v>
      </c>
      <c r="P17" s="250">
        <v>1</v>
      </c>
      <c r="Q17" s="250">
        <v>1000</v>
      </c>
      <c r="R17" s="148">
        <f>IF( IF(P17&lt;L17, M17*L17/P17, M17)&gt;100, "ERROR",  IF(P17&lt;L17, M17*L17/P17, M17))</f>
        <v>6.207068551256782</v>
      </c>
      <c r="S17" s="148">
        <f>IF(IF(Q17&lt;L17, M17*L17/Q17, M17)&gt;100, "ERROR", IF(Q17&lt;L17, M17*L17/Q17, M17))</f>
        <v>0.62070685512567825</v>
      </c>
      <c r="T17" s="148">
        <f>R17*P17*0.01</f>
        <v>6.2070685512567822E-2</v>
      </c>
      <c r="U17" s="148">
        <f>S17*Q17*0.01</f>
        <v>6.207068551256782</v>
      </c>
      <c r="V17" s="7">
        <f>P17*1000</f>
        <v>1000</v>
      </c>
      <c r="W17" s="7">
        <f>Q17*1000</f>
        <v>1000000</v>
      </c>
      <c r="X17" s="1345">
        <f>T17*1000</f>
        <v>62.07068551256782</v>
      </c>
      <c r="Y17" s="1345">
        <f>U17*1000</f>
        <v>6207.0685512567816</v>
      </c>
    </row>
    <row r="18" spans="1:25" x14ac:dyDescent="0.2">
      <c r="A18" s="213" t="str">
        <f t="shared" ref="A18:C33" si="8">A47</f>
        <v>NMISA</v>
      </c>
      <c r="B18" s="213" t="str">
        <f t="shared" si="0"/>
        <v>D95 8416</v>
      </c>
      <c r="C18" s="570">
        <f t="shared" si="0"/>
        <v>5.0053999999999998</v>
      </c>
      <c r="D18" s="570">
        <f t="shared" ref="D18:E18" si="9">F47</f>
        <v>1.04E-2</v>
      </c>
      <c r="E18" s="570">
        <f t="shared" si="9"/>
        <v>5.0107999999999997</v>
      </c>
      <c r="F18" s="213">
        <f t="shared" ref="F18:F41" si="10">H47/I47</f>
        <v>1.3650000000000001E-2</v>
      </c>
      <c r="G18" s="570">
        <f t="shared" ref="G18:G41" si="11">J47</f>
        <v>5.4000000000000003E-3</v>
      </c>
      <c r="H18" s="570">
        <f t="shared" ref="H18:H41" si="12">L47</f>
        <v>3.44E-2</v>
      </c>
      <c r="I18" s="155">
        <f t="shared" si="1"/>
        <v>0</v>
      </c>
      <c r="J18" s="155">
        <f t="shared" si="2"/>
        <v>0</v>
      </c>
      <c r="K18" s="155">
        <f t="shared" si="3"/>
        <v>2.7300000000000001E-2</v>
      </c>
      <c r="L18" s="155">
        <f t="shared" si="4"/>
        <v>10</v>
      </c>
      <c r="M18" s="156">
        <f t="shared" si="5"/>
        <v>0.27300000000000002</v>
      </c>
      <c r="N18" s="157">
        <f t="shared" ref="N18:N25" si="13">M18*L18/100</f>
        <v>2.7300000000000005E-2</v>
      </c>
      <c r="O18" s="155">
        <f t="shared" ref="O18:O25" si="14">N18/(M18*L18/100)*100</f>
        <v>100</v>
      </c>
      <c r="P18" s="250">
        <v>1</v>
      </c>
      <c r="Q18" s="250">
        <v>1000</v>
      </c>
      <c r="R18" s="148">
        <f t="shared" ref="R18:R41" si="15">IF( IF(P18&lt;L18, M18*L18/P18, M18)&gt;100, "ERROR",  IF(P18&lt;L18, M18*L18/P18, M18))</f>
        <v>2.7300000000000004</v>
      </c>
      <c r="S18" s="148">
        <f t="shared" ref="S18:S41" si="16">IF(IF(Q18&lt;L18, M18*L18/Q18, M18)&gt;100, "ERROR", IF(Q18&lt;L18, M18*L18/Q18, M18))</f>
        <v>0.27300000000000002</v>
      </c>
      <c r="T18" s="148">
        <f t="shared" ref="T18:U25" si="17">R18*P18*0.01</f>
        <v>2.7300000000000005E-2</v>
      </c>
      <c r="U18" s="148">
        <f t="shared" si="17"/>
        <v>2.73</v>
      </c>
      <c r="V18" s="7">
        <f t="shared" ref="V18:W25" si="18">P18*1000</f>
        <v>1000</v>
      </c>
      <c r="W18" s="7">
        <f t="shared" si="18"/>
        <v>1000000</v>
      </c>
      <c r="X18" s="1345">
        <f t="shared" ref="X18:Y25" si="19">T18*1000</f>
        <v>27.300000000000004</v>
      </c>
      <c r="Y18" s="1345">
        <f t="shared" si="19"/>
        <v>2730</v>
      </c>
    </row>
    <row r="19" spans="1:25" x14ac:dyDescent="0.2">
      <c r="A19" s="213" t="str">
        <f t="shared" si="8"/>
        <v>UBA(D)</v>
      </c>
      <c r="B19" s="213" t="str">
        <f t="shared" si="0"/>
        <v>M55 5674</v>
      </c>
      <c r="C19" s="570">
        <f t="shared" si="0"/>
        <v>5.0145999999999997</v>
      </c>
      <c r="D19" s="570">
        <f t="shared" ref="D19:E19" si="20">F48</f>
        <v>1.04E-2</v>
      </c>
      <c r="E19" s="570">
        <f t="shared" si="20"/>
        <v>5.0739999999999998</v>
      </c>
      <c r="F19" s="213">
        <f t="shared" si="10"/>
        <v>0.03</v>
      </c>
      <c r="G19" s="570">
        <f t="shared" si="11"/>
        <v>5.9400000000000001E-2</v>
      </c>
      <c r="H19" s="570">
        <f t="shared" si="12"/>
        <v>6.3500000000000001E-2</v>
      </c>
      <c r="I19" s="155">
        <f t="shared" si="1"/>
        <v>0</v>
      </c>
      <c r="J19" s="155">
        <f t="shared" si="2"/>
        <v>0</v>
      </c>
      <c r="K19" s="155">
        <f t="shared" si="3"/>
        <v>0.06</v>
      </c>
      <c r="L19" s="155">
        <f t="shared" si="4"/>
        <v>10</v>
      </c>
      <c r="M19" s="156">
        <f t="shared" si="5"/>
        <v>0.6</v>
      </c>
      <c r="N19" s="157">
        <f t="shared" si="13"/>
        <v>0.06</v>
      </c>
      <c r="O19" s="155">
        <f t="shared" si="14"/>
        <v>100</v>
      </c>
      <c r="P19" s="250">
        <v>1</v>
      </c>
      <c r="Q19" s="250">
        <v>1000</v>
      </c>
      <c r="R19" s="148">
        <f t="shared" si="15"/>
        <v>6</v>
      </c>
      <c r="S19" s="148">
        <f t="shared" si="16"/>
        <v>0.6</v>
      </c>
      <c r="T19" s="148">
        <f t="shared" si="17"/>
        <v>0.06</v>
      </c>
      <c r="U19" s="148">
        <f t="shared" si="17"/>
        <v>6</v>
      </c>
      <c r="V19" s="7">
        <f t="shared" si="18"/>
        <v>1000</v>
      </c>
      <c r="W19" s="7">
        <f t="shared" si="18"/>
        <v>1000000</v>
      </c>
      <c r="X19" s="1345">
        <f t="shared" si="19"/>
        <v>60</v>
      </c>
      <c r="Y19" s="1345">
        <f t="shared" si="19"/>
        <v>6000</v>
      </c>
    </row>
    <row r="20" spans="1:25" x14ac:dyDescent="0.2">
      <c r="A20" s="213" t="str">
        <f t="shared" si="8"/>
        <v>VNIIM</v>
      </c>
      <c r="B20" s="213" t="str">
        <f t="shared" si="0"/>
        <v>M55 5669</v>
      </c>
      <c r="C20" s="570">
        <f t="shared" si="0"/>
        <v>5.0194999999999999</v>
      </c>
      <c r="D20" s="570">
        <f t="shared" ref="D20:E20" si="21">F49</f>
        <v>1.04E-2</v>
      </c>
      <c r="E20" s="570">
        <f t="shared" si="21"/>
        <v>5.0410000000000004</v>
      </c>
      <c r="F20" s="213">
        <f t="shared" si="10"/>
        <v>1.2E-2</v>
      </c>
      <c r="G20" s="570">
        <f t="shared" si="11"/>
        <v>2.1499999999999998E-2</v>
      </c>
      <c r="H20" s="570">
        <f t="shared" si="12"/>
        <v>3.1800000000000002E-2</v>
      </c>
      <c r="I20" s="155">
        <f t="shared" si="1"/>
        <v>0</v>
      </c>
      <c r="J20" s="155">
        <f t="shared" si="2"/>
        <v>0</v>
      </c>
      <c r="K20" s="155">
        <f t="shared" si="3"/>
        <v>2.4E-2</v>
      </c>
      <c r="L20" s="155">
        <f t="shared" si="4"/>
        <v>10</v>
      </c>
      <c r="M20" s="156">
        <f t="shared" si="5"/>
        <v>0.24000000000000002</v>
      </c>
      <c r="N20" s="157">
        <f t="shared" si="13"/>
        <v>2.4000000000000004E-2</v>
      </c>
      <c r="O20" s="155">
        <f t="shared" si="14"/>
        <v>100</v>
      </c>
      <c r="P20" s="250">
        <v>1</v>
      </c>
      <c r="Q20" s="250">
        <v>1000</v>
      </c>
      <c r="R20" s="148">
        <f t="shared" si="15"/>
        <v>2.4000000000000004</v>
      </c>
      <c r="S20" s="148">
        <f t="shared" si="16"/>
        <v>0.24000000000000002</v>
      </c>
      <c r="T20" s="148">
        <f t="shared" si="17"/>
        <v>2.4000000000000004E-2</v>
      </c>
      <c r="U20" s="148">
        <f t="shared" si="17"/>
        <v>2.4000000000000004</v>
      </c>
      <c r="V20" s="7">
        <f t="shared" si="18"/>
        <v>1000</v>
      </c>
      <c r="W20" s="7">
        <f t="shared" si="18"/>
        <v>1000000</v>
      </c>
      <c r="X20" s="1345">
        <f t="shared" si="19"/>
        <v>24.000000000000004</v>
      </c>
      <c r="Y20" s="1345">
        <f t="shared" si="19"/>
        <v>2400.0000000000005</v>
      </c>
    </row>
    <row r="21" spans="1:25" x14ac:dyDescent="0.2">
      <c r="A21" s="213" t="str">
        <f t="shared" si="8"/>
        <v>SMU</v>
      </c>
      <c r="B21" s="213" t="str">
        <f t="shared" si="0"/>
        <v>M55 5685</v>
      </c>
      <c r="C21" s="570">
        <f t="shared" si="0"/>
        <v>5.0133999999999999</v>
      </c>
      <c r="D21" s="570">
        <f t="shared" ref="D21:E21" si="22">F50</f>
        <v>1.04E-2</v>
      </c>
      <c r="E21" s="570">
        <f t="shared" si="22"/>
        <v>5.0030000000000001</v>
      </c>
      <c r="F21" s="213">
        <f t="shared" si="10"/>
        <v>2.1499999999999998E-2</v>
      </c>
      <c r="G21" s="570">
        <f t="shared" si="11"/>
        <v>-1.04E-2</v>
      </c>
      <c r="H21" s="570">
        <f t="shared" si="12"/>
        <v>4.7800000000000002E-2</v>
      </c>
      <c r="I21" s="155">
        <f t="shared" si="1"/>
        <v>0</v>
      </c>
      <c r="J21" s="155">
        <f t="shared" si="2"/>
        <v>0</v>
      </c>
      <c r="K21" s="155">
        <f t="shared" si="3"/>
        <v>4.2999999999999997E-2</v>
      </c>
      <c r="L21" s="155">
        <f t="shared" si="4"/>
        <v>10</v>
      </c>
      <c r="M21" s="156">
        <f t="shared" si="5"/>
        <v>0.43</v>
      </c>
      <c r="N21" s="157">
        <f t="shared" si="13"/>
        <v>4.2999999999999997E-2</v>
      </c>
      <c r="O21" s="155">
        <f t="shared" si="14"/>
        <v>100</v>
      </c>
      <c r="P21" s="250">
        <v>1</v>
      </c>
      <c r="Q21" s="250">
        <v>1000</v>
      </c>
      <c r="R21" s="148">
        <f t="shared" si="15"/>
        <v>4.3</v>
      </c>
      <c r="S21" s="148">
        <f t="shared" si="16"/>
        <v>0.43</v>
      </c>
      <c r="T21" s="148">
        <f t="shared" si="17"/>
        <v>4.2999999999999997E-2</v>
      </c>
      <c r="U21" s="148">
        <f t="shared" si="17"/>
        <v>4.3</v>
      </c>
      <c r="V21" s="7">
        <f t="shared" si="18"/>
        <v>1000</v>
      </c>
      <c r="W21" s="7">
        <f t="shared" si="18"/>
        <v>1000000</v>
      </c>
      <c r="X21" s="1345">
        <f t="shared" si="19"/>
        <v>43</v>
      </c>
      <c r="Y21" s="1345">
        <f t="shared" si="19"/>
        <v>4300</v>
      </c>
    </row>
    <row r="22" spans="1:25" x14ac:dyDescent="0.2">
      <c r="A22" s="213" t="str">
        <f t="shared" si="8"/>
        <v>NPL</v>
      </c>
      <c r="B22" s="213" t="str">
        <f t="shared" si="0"/>
        <v>D95 8300</v>
      </c>
      <c r="C22" s="570">
        <f t="shared" si="0"/>
        <v>5.0171999999999999</v>
      </c>
      <c r="D22" s="570">
        <f t="shared" ref="D22:E22" si="23">F51</f>
        <v>1.04E-2</v>
      </c>
      <c r="E22" s="570">
        <f t="shared" si="23"/>
        <v>5.0209999999999999</v>
      </c>
      <c r="F22" s="213">
        <f t="shared" si="10"/>
        <v>6.4999999999999997E-3</v>
      </c>
      <c r="G22" s="570">
        <f t="shared" si="11"/>
        <v>3.8E-3</v>
      </c>
      <c r="H22" s="570">
        <f t="shared" si="12"/>
        <v>2.46E-2</v>
      </c>
      <c r="I22" s="155">
        <f t="shared" si="1"/>
        <v>0</v>
      </c>
      <c r="J22" s="155">
        <f t="shared" si="2"/>
        <v>0</v>
      </c>
      <c r="K22" s="155">
        <f t="shared" si="3"/>
        <v>1.2999999999999999E-2</v>
      </c>
      <c r="L22" s="155">
        <f t="shared" si="4"/>
        <v>10</v>
      </c>
      <c r="M22" s="156">
        <f t="shared" si="5"/>
        <v>0.13</v>
      </c>
      <c r="N22" s="157">
        <f t="shared" si="13"/>
        <v>1.3000000000000001E-2</v>
      </c>
      <c r="O22" s="155">
        <f t="shared" si="14"/>
        <v>100</v>
      </c>
      <c r="P22" s="250">
        <v>1</v>
      </c>
      <c r="Q22" s="250">
        <v>1000</v>
      </c>
      <c r="R22" s="148">
        <f t="shared" si="15"/>
        <v>1.3</v>
      </c>
      <c r="S22" s="148">
        <f t="shared" si="16"/>
        <v>0.13</v>
      </c>
      <c r="T22" s="148">
        <f t="shared" si="17"/>
        <v>1.3000000000000001E-2</v>
      </c>
      <c r="U22" s="148">
        <f t="shared" si="17"/>
        <v>1.3</v>
      </c>
      <c r="V22" s="7">
        <f t="shared" si="18"/>
        <v>1000</v>
      </c>
      <c r="W22" s="7">
        <f t="shared" si="18"/>
        <v>1000000</v>
      </c>
      <c r="X22" s="1345">
        <f t="shared" si="19"/>
        <v>13.000000000000002</v>
      </c>
      <c r="Y22" s="1345">
        <f t="shared" si="19"/>
        <v>1300</v>
      </c>
    </row>
    <row r="23" spans="1:25" x14ac:dyDescent="0.2">
      <c r="A23" s="213" t="str">
        <f t="shared" si="8"/>
        <v>CERI</v>
      </c>
      <c r="B23" s="213" t="str">
        <f t="shared" si="0"/>
        <v>D95 8312</v>
      </c>
      <c r="C23" s="570">
        <f t="shared" si="0"/>
        <v>5.0191999999999997</v>
      </c>
      <c r="D23" s="570">
        <f t="shared" ref="D23:E23" si="24">F52</f>
        <v>1.04E-2</v>
      </c>
      <c r="E23" s="570">
        <f t="shared" si="24"/>
        <v>4.9980000000000002</v>
      </c>
      <c r="F23" s="213">
        <f t="shared" si="10"/>
        <v>8.9999999999999993E-3</v>
      </c>
      <c r="G23" s="570">
        <f t="shared" si="11"/>
        <v>-2.12E-2</v>
      </c>
      <c r="H23" s="570">
        <f t="shared" si="12"/>
        <v>2.76E-2</v>
      </c>
      <c r="I23" s="155">
        <f t="shared" si="1"/>
        <v>0</v>
      </c>
      <c r="J23" s="155">
        <f t="shared" si="2"/>
        <v>0</v>
      </c>
      <c r="K23" s="155">
        <f t="shared" si="3"/>
        <v>1.7999999999999999E-2</v>
      </c>
      <c r="L23" s="155">
        <f t="shared" si="4"/>
        <v>10</v>
      </c>
      <c r="M23" s="156">
        <f t="shared" si="5"/>
        <v>0.18</v>
      </c>
      <c r="N23" s="157">
        <f t="shared" si="13"/>
        <v>1.7999999999999999E-2</v>
      </c>
      <c r="O23" s="155">
        <f t="shared" si="14"/>
        <v>100</v>
      </c>
      <c r="P23" s="250">
        <v>1</v>
      </c>
      <c r="Q23" s="250">
        <v>1000</v>
      </c>
      <c r="R23" s="148">
        <f t="shared" si="15"/>
        <v>1.7999999999999998</v>
      </c>
      <c r="S23" s="148">
        <f t="shared" si="16"/>
        <v>0.18</v>
      </c>
      <c r="T23" s="148">
        <f t="shared" si="17"/>
        <v>1.7999999999999999E-2</v>
      </c>
      <c r="U23" s="148">
        <f t="shared" si="17"/>
        <v>1.8</v>
      </c>
      <c r="V23" s="7">
        <f t="shared" si="18"/>
        <v>1000</v>
      </c>
      <c r="W23" s="7">
        <f t="shared" si="18"/>
        <v>1000000</v>
      </c>
      <c r="X23" s="1345">
        <f t="shared" si="19"/>
        <v>18</v>
      </c>
      <c r="Y23" s="1345">
        <f t="shared" si="19"/>
        <v>1800</v>
      </c>
    </row>
    <row r="24" spans="1:25" x14ac:dyDescent="0.2">
      <c r="A24" s="213" t="str">
        <f t="shared" si="8"/>
        <v>BAM</v>
      </c>
      <c r="B24" s="213" t="str">
        <f t="shared" si="0"/>
        <v>D95 8369</v>
      </c>
      <c r="C24" s="570">
        <f t="shared" si="0"/>
        <v>5.0183</v>
      </c>
      <c r="D24" s="570">
        <f t="shared" ref="D24:E24" si="25">F53</f>
        <v>1.04E-2</v>
      </c>
      <c r="E24" s="570">
        <f t="shared" si="25"/>
        <v>4.9880000000000004</v>
      </c>
      <c r="F24" s="213">
        <f t="shared" si="10"/>
        <v>2.495E-2</v>
      </c>
      <c r="G24" s="570">
        <f t="shared" si="11"/>
        <v>-3.0300000000000001E-2</v>
      </c>
      <c r="H24" s="570">
        <f t="shared" si="12"/>
        <v>5.4100000000000002E-2</v>
      </c>
      <c r="I24" s="155">
        <f t="shared" si="1"/>
        <v>0</v>
      </c>
      <c r="J24" s="155">
        <f t="shared" si="2"/>
        <v>0</v>
      </c>
      <c r="K24" s="155">
        <f t="shared" si="3"/>
        <v>4.99E-2</v>
      </c>
      <c r="L24" s="155">
        <f t="shared" si="4"/>
        <v>10</v>
      </c>
      <c r="M24" s="156">
        <f t="shared" si="5"/>
        <v>0.49899999999999994</v>
      </c>
      <c r="N24" s="157">
        <f t="shared" si="13"/>
        <v>4.9899999999999993E-2</v>
      </c>
      <c r="O24" s="155">
        <f t="shared" si="14"/>
        <v>100</v>
      </c>
      <c r="P24" s="250">
        <v>1</v>
      </c>
      <c r="Q24" s="250">
        <v>1000</v>
      </c>
      <c r="R24" s="148">
        <f t="shared" si="15"/>
        <v>4.9899999999999993</v>
      </c>
      <c r="S24" s="148">
        <f t="shared" si="16"/>
        <v>0.49899999999999994</v>
      </c>
      <c r="T24" s="148">
        <f t="shared" si="17"/>
        <v>4.9899999999999993E-2</v>
      </c>
      <c r="U24" s="148">
        <f t="shared" si="17"/>
        <v>4.9899999999999993</v>
      </c>
      <c r="V24" s="7">
        <f t="shared" si="18"/>
        <v>1000</v>
      </c>
      <c r="W24" s="7">
        <f t="shared" si="18"/>
        <v>1000000</v>
      </c>
      <c r="X24" s="1345">
        <f t="shared" si="19"/>
        <v>49.899999999999991</v>
      </c>
      <c r="Y24" s="1345">
        <f t="shared" si="19"/>
        <v>4989.9999999999991</v>
      </c>
    </row>
    <row r="25" spans="1:25" x14ac:dyDescent="0.2">
      <c r="A25" s="213" t="str">
        <f t="shared" si="8"/>
        <v>CEM</v>
      </c>
      <c r="B25" s="213" t="str">
        <f t="shared" si="0"/>
        <v>M55 5692</v>
      </c>
      <c r="C25" s="570">
        <f t="shared" si="0"/>
        <v>5.0163000000000002</v>
      </c>
      <c r="D25" s="570">
        <f t="shared" ref="D25:E25" si="26">F54</f>
        <v>1.04E-2</v>
      </c>
      <c r="E25" s="570">
        <f t="shared" si="26"/>
        <v>5.05</v>
      </c>
      <c r="F25" s="213">
        <f t="shared" si="10"/>
        <v>3.95E-2</v>
      </c>
      <c r="G25" s="570">
        <f t="shared" si="11"/>
        <v>3.3700000000000001E-2</v>
      </c>
      <c r="H25" s="570">
        <f t="shared" si="12"/>
        <v>8.1699999999999995E-2</v>
      </c>
      <c r="I25" s="155">
        <f t="shared" si="1"/>
        <v>0</v>
      </c>
      <c r="J25" s="155">
        <f t="shared" si="2"/>
        <v>0</v>
      </c>
      <c r="K25" s="155">
        <f t="shared" si="3"/>
        <v>7.9000000000000001E-2</v>
      </c>
      <c r="L25" s="155">
        <f t="shared" si="4"/>
        <v>10</v>
      </c>
      <c r="M25" s="156">
        <f t="shared" si="5"/>
        <v>0.79</v>
      </c>
      <c r="N25" s="157">
        <f t="shared" si="13"/>
        <v>7.9000000000000001E-2</v>
      </c>
      <c r="O25" s="155">
        <f t="shared" si="14"/>
        <v>100</v>
      </c>
      <c r="P25" s="250">
        <v>1</v>
      </c>
      <c r="Q25" s="250">
        <v>1000</v>
      </c>
      <c r="R25" s="148">
        <f t="shared" si="15"/>
        <v>7.9</v>
      </c>
      <c r="S25" s="148">
        <f t="shared" si="16"/>
        <v>0.79</v>
      </c>
      <c r="T25" s="148">
        <f t="shared" si="17"/>
        <v>7.9000000000000001E-2</v>
      </c>
      <c r="U25" s="148">
        <f t="shared" si="17"/>
        <v>7.9</v>
      </c>
      <c r="V25" s="7">
        <f t="shared" si="18"/>
        <v>1000</v>
      </c>
      <c r="W25" s="7">
        <f t="shared" si="18"/>
        <v>1000000</v>
      </c>
      <c r="X25" s="1345">
        <f t="shared" si="19"/>
        <v>79</v>
      </c>
      <c r="Y25" s="1345">
        <f t="shared" si="19"/>
        <v>7900</v>
      </c>
    </row>
    <row r="26" spans="1:25" x14ac:dyDescent="0.2">
      <c r="A26" s="213" t="str">
        <f t="shared" si="8"/>
        <v>CENAM</v>
      </c>
      <c r="B26" s="213" t="str">
        <f t="shared" si="0"/>
        <v>M55 5728</v>
      </c>
      <c r="C26" s="570">
        <f t="shared" si="0"/>
        <v>5.0209999999999999</v>
      </c>
      <c r="D26" s="570">
        <f t="shared" ref="D26:E26" si="27">F55</f>
        <v>1.04E-2</v>
      </c>
      <c r="E26" s="570">
        <f t="shared" si="27"/>
        <v>5.0860000000000003</v>
      </c>
      <c r="F26" s="213">
        <f t="shared" si="10"/>
        <v>1.6500000000000001E-2</v>
      </c>
      <c r="G26" s="570">
        <f t="shared" si="11"/>
        <v>6.5000000000000002E-2</v>
      </c>
      <c r="H26" s="570">
        <f t="shared" si="12"/>
        <v>3.9100000000000003E-2</v>
      </c>
      <c r="I26" s="155">
        <f t="shared" ref="I26:I41" si="28">IF(ABS(G26)&gt;ABS(H26), 1, 0)</f>
        <v>1</v>
      </c>
      <c r="J26" s="155">
        <f t="shared" ref="J26:J41" si="29">I26*ABS(C26-E26)</f>
        <v>6.5000000000000391E-2</v>
      </c>
      <c r="K26" s="155">
        <f t="shared" ref="K26:K41" si="30">SQRT(SUMSQ(F26,J26))*2</f>
        <v>0.13412307780542543</v>
      </c>
      <c r="L26" s="155">
        <f t="shared" ref="L26:L41" si="31">IF(C26&lt;$K$2, C26, $K$1)</f>
        <v>10</v>
      </c>
      <c r="M26" s="156">
        <f t="shared" ref="M26:M41" si="32">IF(AND(C26&lt;$K$1,C26&gt; $K$2), K26/L26*100, K26/C26*100)</f>
        <v>1.3412307780542543</v>
      </c>
      <c r="N26" s="157">
        <f t="shared" ref="N26:N41" si="33">M26*L26/100</f>
        <v>0.13412307780542543</v>
      </c>
      <c r="O26" s="155">
        <f t="shared" ref="O26:O41" si="34">N26/(M26*L26/100)*100</f>
        <v>100</v>
      </c>
      <c r="P26" s="250">
        <v>1</v>
      </c>
      <c r="Q26" s="250">
        <v>1000</v>
      </c>
      <c r="R26" s="148">
        <f t="shared" si="15"/>
        <v>13.412307780542543</v>
      </c>
      <c r="S26" s="148">
        <f t="shared" si="16"/>
        <v>1.3412307780542543</v>
      </c>
      <c r="T26" s="148">
        <f>R26*P26*0.01</f>
        <v>0.13412307780542543</v>
      </c>
      <c r="U26" s="148">
        <f>S26*Q26*0.01</f>
        <v>13.412307780542543</v>
      </c>
      <c r="V26" s="7">
        <f>P26*1000</f>
        <v>1000</v>
      </c>
      <c r="W26" s="7">
        <f>Q26*1000</f>
        <v>1000000</v>
      </c>
      <c r="X26" s="1345">
        <f>T26*1000</f>
        <v>134.12307780542542</v>
      </c>
      <c r="Y26" s="1345">
        <f>U26*1000</f>
        <v>13412.307780542544</v>
      </c>
    </row>
    <row r="27" spans="1:25" x14ac:dyDescent="0.2">
      <c r="A27" s="213" t="str">
        <f t="shared" si="8"/>
        <v>GUM</v>
      </c>
      <c r="B27" s="213" t="str">
        <f t="shared" si="0"/>
        <v>M55 5709</v>
      </c>
      <c r="C27" s="570">
        <f t="shared" si="0"/>
        <v>5.0216000000000003</v>
      </c>
      <c r="D27" s="570">
        <f t="shared" ref="D27:E27" si="35">F56</f>
        <v>1.04E-2</v>
      </c>
      <c r="E27" s="570">
        <f t="shared" si="35"/>
        <v>5.0199999999999996</v>
      </c>
      <c r="F27" s="213">
        <f t="shared" si="10"/>
        <v>1.4999999999999999E-2</v>
      </c>
      <c r="G27" s="570">
        <f t="shared" si="11"/>
        <v>-1.6000000000000001E-3</v>
      </c>
      <c r="H27" s="570">
        <f t="shared" si="12"/>
        <v>3.6600000000000001E-2</v>
      </c>
      <c r="I27" s="155">
        <f t="shared" si="28"/>
        <v>0</v>
      </c>
      <c r="J27" s="155">
        <f t="shared" si="29"/>
        <v>0</v>
      </c>
      <c r="K27" s="155">
        <f t="shared" si="30"/>
        <v>0.03</v>
      </c>
      <c r="L27" s="155">
        <f t="shared" si="31"/>
        <v>10</v>
      </c>
      <c r="M27" s="156">
        <f t="shared" si="32"/>
        <v>0.3</v>
      </c>
      <c r="N27" s="157">
        <f t="shared" si="33"/>
        <v>0.03</v>
      </c>
      <c r="O27" s="155">
        <f t="shared" si="34"/>
        <v>100</v>
      </c>
      <c r="P27" s="250">
        <v>1</v>
      </c>
      <c r="Q27" s="250">
        <v>1000</v>
      </c>
      <c r="R27" s="148">
        <f t="shared" si="15"/>
        <v>3</v>
      </c>
      <c r="S27" s="148">
        <f t="shared" si="16"/>
        <v>0.3</v>
      </c>
      <c r="T27" s="148">
        <f t="shared" ref="T27:T41" si="36">R27*P27*0.01</f>
        <v>0.03</v>
      </c>
      <c r="U27" s="148">
        <f t="shared" ref="U27:U41" si="37">S27*Q27*0.01</f>
        <v>3</v>
      </c>
      <c r="V27" s="7">
        <f t="shared" ref="V27:V41" si="38">P27*1000</f>
        <v>1000</v>
      </c>
      <c r="W27" s="7">
        <f t="shared" ref="W27:W41" si="39">Q27*1000</f>
        <v>1000000</v>
      </c>
      <c r="X27" s="1345">
        <f t="shared" ref="X27:X41" si="40">T27*1000</f>
        <v>30</v>
      </c>
      <c r="Y27" s="1345">
        <f t="shared" ref="Y27:Y41" si="41">U27*1000</f>
        <v>3000</v>
      </c>
    </row>
    <row r="28" spans="1:25" x14ac:dyDescent="0.2">
      <c r="A28" s="213" t="str">
        <f t="shared" si="8"/>
        <v>INMETRO</v>
      </c>
      <c r="B28" s="213" t="str">
        <f t="shared" si="0"/>
        <v>D95 8363</v>
      </c>
      <c r="C28" s="570">
        <f t="shared" si="0"/>
        <v>5.0214999999999996</v>
      </c>
      <c r="D28" s="570">
        <f t="shared" ref="D28:E28" si="42">F57</f>
        <v>1.04E-2</v>
      </c>
      <c r="E28" s="570">
        <f t="shared" si="42"/>
        <v>5.0810000000000004</v>
      </c>
      <c r="F28" s="213">
        <f t="shared" si="10"/>
        <v>4.1500000000000002E-2</v>
      </c>
      <c r="G28" s="570">
        <f t="shared" si="11"/>
        <v>5.9499999999999997E-2</v>
      </c>
      <c r="H28" s="570">
        <f t="shared" si="12"/>
        <v>8.5599999999999996E-2</v>
      </c>
      <c r="I28" s="155">
        <f t="shared" si="28"/>
        <v>0</v>
      </c>
      <c r="J28" s="155">
        <f t="shared" si="29"/>
        <v>0</v>
      </c>
      <c r="K28" s="155">
        <f t="shared" si="30"/>
        <v>8.3000000000000004E-2</v>
      </c>
      <c r="L28" s="155">
        <f t="shared" si="31"/>
        <v>10</v>
      </c>
      <c r="M28" s="156">
        <f t="shared" si="32"/>
        <v>0.83</v>
      </c>
      <c r="N28" s="157">
        <f t="shared" si="33"/>
        <v>8.299999999999999E-2</v>
      </c>
      <c r="O28" s="155">
        <f t="shared" si="34"/>
        <v>100</v>
      </c>
      <c r="P28" s="250">
        <v>1</v>
      </c>
      <c r="Q28" s="250">
        <v>1000</v>
      </c>
      <c r="R28" s="148">
        <f t="shared" si="15"/>
        <v>8.2999999999999989</v>
      </c>
      <c r="S28" s="148">
        <f t="shared" si="16"/>
        <v>0.83</v>
      </c>
      <c r="T28" s="148">
        <f t="shared" si="36"/>
        <v>8.299999999999999E-2</v>
      </c>
      <c r="U28" s="148">
        <f t="shared" si="37"/>
        <v>8.3000000000000007</v>
      </c>
      <c r="V28" s="7">
        <f t="shared" si="38"/>
        <v>1000</v>
      </c>
      <c r="W28" s="7">
        <f t="shared" si="39"/>
        <v>1000000</v>
      </c>
      <c r="X28" s="1345">
        <f t="shared" si="40"/>
        <v>82.999999999999986</v>
      </c>
      <c r="Y28" s="1345">
        <f t="shared" si="41"/>
        <v>8300</v>
      </c>
    </row>
    <row r="29" spans="1:25" x14ac:dyDescent="0.2">
      <c r="A29" s="213" t="str">
        <f t="shared" si="8"/>
        <v>IPQ</v>
      </c>
      <c r="B29" s="213" t="str">
        <f t="shared" si="0"/>
        <v>D95 8407</v>
      </c>
      <c r="C29" s="570">
        <f t="shared" si="0"/>
        <v>5.0194999999999999</v>
      </c>
      <c r="D29" s="570">
        <f t="shared" ref="D29:E29" si="43">F58</f>
        <v>1.04E-2</v>
      </c>
      <c r="E29" s="570">
        <f t="shared" si="43"/>
        <v>5.0999999999999996</v>
      </c>
      <c r="F29" s="213">
        <f t="shared" si="10"/>
        <v>2.1999999999999999E-2</v>
      </c>
      <c r="G29" s="570">
        <f t="shared" si="11"/>
        <v>8.0500000000000002E-2</v>
      </c>
      <c r="H29" s="570">
        <f t="shared" si="12"/>
        <v>4.87E-2</v>
      </c>
      <c r="I29" s="155">
        <f t="shared" si="28"/>
        <v>1</v>
      </c>
      <c r="J29" s="155">
        <f t="shared" si="29"/>
        <v>8.0499999999999794E-2</v>
      </c>
      <c r="K29" s="155">
        <f t="shared" si="30"/>
        <v>0.16690416411821446</v>
      </c>
      <c r="L29" s="155">
        <f t="shared" si="31"/>
        <v>10</v>
      </c>
      <c r="M29" s="156">
        <f t="shared" si="32"/>
        <v>1.6690416411821445</v>
      </c>
      <c r="N29" s="157">
        <f t="shared" si="33"/>
        <v>0.16690416411821446</v>
      </c>
      <c r="O29" s="155">
        <f t="shared" si="34"/>
        <v>100</v>
      </c>
      <c r="P29" s="250">
        <v>1</v>
      </c>
      <c r="Q29" s="250">
        <v>1000</v>
      </c>
      <c r="R29" s="148">
        <f t="shared" si="15"/>
        <v>16.690416411821445</v>
      </c>
      <c r="S29" s="148">
        <f t="shared" si="16"/>
        <v>1.6690416411821445</v>
      </c>
      <c r="T29" s="148">
        <f t="shared" si="36"/>
        <v>0.16690416411821446</v>
      </c>
      <c r="U29" s="148">
        <f t="shared" si="37"/>
        <v>16.690416411821445</v>
      </c>
      <c r="V29" s="7">
        <f t="shared" si="38"/>
        <v>1000</v>
      </c>
      <c r="W29" s="7">
        <f t="shared" si="39"/>
        <v>1000000</v>
      </c>
      <c r="X29" s="1345">
        <f t="shared" si="40"/>
        <v>166.90416411821445</v>
      </c>
      <c r="Y29" s="1345">
        <f t="shared" si="41"/>
        <v>16690.416411821447</v>
      </c>
    </row>
    <row r="30" spans="1:25" x14ac:dyDescent="0.2">
      <c r="A30" s="213" t="str">
        <f t="shared" si="8"/>
        <v>JRC</v>
      </c>
      <c r="B30" s="213" t="str">
        <f t="shared" si="0"/>
        <v>D95 8393</v>
      </c>
      <c r="C30" s="570">
        <f t="shared" si="0"/>
        <v>5.024</v>
      </c>
      <c r="D30" s="570">
        <f t="shared" ref="D30:E30" si="44">F59</f>
        <v>1.04E-2</v>
      </c>
      <c r="E30" s="570">
        <f t="shared" si="44"/>
        <v>5.0190000000000001</v>
      </c>
      <c r="F30" s="213">
        <f t="shared" si="10"/>
        <v>1.7000000000000001E-2</v>
      </c>
      <c r="G30" s="570">
        <f t="shared" si="11"/>
        <v>-5.0000000000000001E-3</v>
      </c>
      <c r="H30" s="570">
        <f t="shared" si="12"/>
        <v>3.9899999999999998E-2</v>
      </c>
      <c r="I30" s="155">
        <f t="shared" si="28"/>
        <v>0</v>
      </c>
      <c r="J30" s="155">
        <f t="shared" si="29"/>
        <v>0</v>
      </c>
      <c r="K30" s="155">
        <f t="shared" si="30"/>
        <v>3.4000000000000002E-2</v>
      </c>
      <c r="L30" s="155">
        <f t="shared" si="31"/>
        <v>10</v>
      </c>
      <c r="M30" s="156">
        <f t="shared" si="32"/>
        <v>0.34</v>
      </c>
      <c r="N30" s="157">
        <f t="shared" si="33"/>
        <v>3.4000000000000002E-2</v>
      </c>
      <c r="O30" s="155">
        <f t="shared" si="34"/>
        <v>100</v>
      </c>
      <c r="P30" s="250">
        <v>1</v>
      </c>
      <c r="Q30" s="250">
        <v>1000</v>
      </c>
      <c r="R30" s="148">
        <f t="shared" si="15"/>
        <v>3.4000000000000004</v>
      </c>
      <c r="S30" s="148">
        <f t="shared" si="16"/>
        <v>0.34</v>
      </c>
      <c r="T30" s="148">
        <f t="shared" si="36"/>
        <v>3.4000000000000002E-2</v>
      </c>
      <c r="U30" s="148">
        <f t="shared" si="37"/>
        <v>3.4</v>
      </c>
      <c r="V30" s="7">
        <f t="shared" si="38"/>
        <v>1000</v>
      </c>
      <c r="W30" s="7">
        <f t="shared" si="39"/>
        <v>1000000</v>
      </c>
      <c r="X30" s="1345">
        <f t="shared" si="40"/>
        <v>34</v>
      </c>
      <c r="Y30" s="1345">
        <f t="shared" si="41"/>
        <v>3400</v>
      </c>
    </row>
    <row r="31" spans="1:25" x14ac:dyDescent="0.2">
      <c r="A31" s="213" t="str">
        <f t="shared" si="8"/>
        <v>KRISS</v>
      </c>
      <c r="B31" s="213" t="str">
        <f t="shared" si="0"/>
        <v>M55 5715</v>
      </c>
      <c r="C31" s="570">
        <f t="shared" si="0"/>
        <v>5.0194000000000001</v>
      </c>
      <c r="D31" s="570">
        <f t="shared" ref="D31:E31" si="45">F60</f>
        <v>1.04E-2</v>
      </c>
      <c r="E31" s="570">
        <f t="shared" si="45"/>
        <v>5.0110000000000001</v>
      </c>
      <c r="F31" s="213">
        <f t="shared" si="10"/>
        <v>2E-3</v>
      </c>
      <c r="G31" s="570">
        <f t="shared" si="11"/>
        <v>-8.3999999999999995E-3</v>
      </c>
      <c r="H31" s="570">
        <f t="shared" si="12"/>
        <v>2.1299999999999999E-2</v>
      </c>
      <c r="I31" s="155">
        <f t="shared" si="28"/>
        <v>0</v>
      </c>
      <c r="J31" s="155">
        <f t="shared" si="29"/>
        <v>0</v>
      </c>
      <c r="K31" s="155">
        <f t="shared" si="30"/>
        <v>4.0000000000000001E-3</v>
      </c>
      <c r="L31" s="155">
        <f t="shared" si="31"/>
        <v>10</v>
      </c>
      <c r="M31" s="156">
        <f t="shared" si="32"/>
        <v>0.04</v>
      </c>
      <c r="N31" s="157">
        <f t="shared" si="33"/>
        <v>4.0000000000000001E-3</v>
      </c>
      <c r="O31" s="155">
        <f t="shared" si="34"/>
        <v>100</v>
      </c>
      <c r="P31" s="250">
        <v>1</v>
      </c>
      <c r="Q31" s="250">
        <v>1000</v>
      </c>
      <c r="R31" s="148">
        <f t="shared" si="15"/>
        <v>0.4</v>
      </c>
      <c r="S31" s="148">
        <f t="shared" si="16"/>
        <v>0.04</v>
      </c>
      <c r="T31" s="148">
        <f t="shared" si="36"/>
        <v>4.0000000000000001E-3</v>
      </c>
      <c r="U31" s="148">
        <f t="shared" si="37"/>
        <v>0.4</v>
      </c>
      <c r="V31" s="7">
        <f t="shared" si="38"/>
        <v>1000</v>
      </c>
      <c r="W31" s="7">
        <f t="shared" si="39"/>
        <v>1000000</v>
      </c>
      <c r="X31" s="1345">
        <f t="shared" si="40"/>
        <v>4</v>
      </c>
      <c r="Y31" s="1345">
        <f t="shared" si="41"/>
        <v>400</v>
      </c>
    </row>
    <row r="32" spans="1:25" x14ac:dyDescent="0.2">
      <c r="A32" s="213" t="str">
        <f t="shared" si="8"/>
        <v>LNE</v>
      </c>
      <c r="B32" s="213" t="str">
        <f t="shared" si="0"/>
        <v>M55 5708</v>
      </c>
      <c r="C32" s="570">
        <f t="shared" si="0"/>
        <v>5.0227000000000004</v>
      </c>
      <c r="D32" s="570">
        <f t="shared" ref="D32:E32" si="46">F61</f>
        <v>1.04E-2</v>
      </c>
      <c r="E32" s="570">
        <f t="shared" si="46"/>
        <v>4.9939999999999998</v>
      </c>
      <c r="F32" s="213">
        <f t="shared" si="10"/>
        <v>1.0999999999999999E-2</v>
      </c>
      <c r="G32" s="570">
        <f t="shared" si="11"/>
        <v>-2.87E-2</v>
      </c>
      <c r="H32" s="570">
        <f t="shared" si="12"/>
        <v>3.0300000000000001E-2</v>
      </c>
      <c r="I32" s="155">
        <f t="shared" si="28"/>
        <v>0</v>
      </c>
      <c r="J32" s="155">
        <f t="shared" si="29"/>
        <v>0</v>
      </c>
      <c r="K32" s="155">
        <f t="shared" si="30"/>
        <v>2.1999999999999999E-2</v>
      </c>
      <c r="L32" s="155">
        <f t="shared" si="31"/>
        <v>10</v>
      </c>
      <c r="M32" s="156">
        <f t="shared" si="32"/>
        <v>0.21999999999999997</v>
      </c>
      <c r="N32" s="157">
        <f t="shared" si="33"/>
        <v>2.1999999999999999E-2</v>
      </c>
      <c r="O32" s="155">
        <f t="shared" si="34"/>
        <v>100</v>
      </c>
      <c r="P32" s="250">
        <v>1</v>
      </c>
      <c r="Q32" s="250">
        <v>1000</v>
      </c>
      <c r="R32" s="148">
        <f t="shared" si="15"/>
        <v>2.1999999999999997</v>
      </c>
      <c r="S32" s="148">
        <f t="shared" si="16"/>
        <v>0.21999999999999997</v>
      </c>
      <c r="T32" s="148">
        <f t="shared" si="36"/>
        <v>2.1999999999999999E-2</v>
      </c>
      <c r="U32" s="148">
        <f t="shared" si="37"/>
        <v>2.1999999999999997</v>
      </c>
      <c r="V32" s="7">
        <f t="shared" si="38"/>
        <v>1000</v>
      </c>
      <c r="W32" s="7">
        <f t="shared" si="39"/>
        <v>1000000</v>
      </c>
      <c r="X32" s="1345">
        <f t="shared" si="40"/>
        <v>22</v>
      </c>
      <c r="Y32" s="1345">
        <f t="shared" si="41"/>
        <v>2199.9999999999995</v>
      </c>
    </row>
    <row r="33" spans="1:26" x14ac:dyDescent="0.2">
      <c r="A33" s="213" t="str">
        <f t="shared" si="8"/>
        <v>METAS</v>
      </c>
      <c r="B33" s="213" t="str">
        <f t="shared" si="8"/>
        <v>M55 5697</v>
      </c>
      <c r="C33" s="570">
        <f t="shared" si="8"/>
        <v>5.0213999999999999</v>
      </c>
      <c r="D33" s="570">
        <f t="shared" ref="D33:E33" si="47">F62</f>
        <v>1.04E-2</v>
      </c>
      <c r="E33" s="570">
        <f t="shared" si="47"/>
        <v>5.0030000000000001</v>
      </c>
      <c r="F33" s="213">
        <f t="shared" si="10"/>
        <v>1.35E-2</v>
      </c>
      <c r="G33" s="570">
        <f t="shared" si="11"/>
        <v>-1.84E-2</v>
      </c>
      <c r="H33" s="570">
        <f t="shared" si="12"/>
        <v>3.4099999999999998E-2</v>
      </c>
      <c r="I33" s="155">
        <f t="shared" si="28"/>
        <v>0</v>
      </c>
      <c r="J33" s="155">
        <f t="shared" si="29"/>
        <v>0</v>
      </c>
      <c r="K33" s="155">
        <f t="shared" si="30"/>
        <v>2.7E-2</v>
      </c>
      <c r="L33" s="155">
        <f t="shared" si="31"/>
        <v>10</v>
      </c>
      <c r="M33" s="156">
        <f t="shared" si="32"/>
        <v>0.27</v>
      </c>
      <c r="N33" s="157">
        <f t="shared" si="33"/>
        <v>2.7000000000000003E-2</v>
      </c>
      <c r="O33" s="155">
        <f t="shared" si="34"/>
        <v>100</v>
      </c>
      <c r="P33" s="250">
        <v>1</v>
      </c>
      <c r="Q33" s="250">
        <v>1000</v>
      </c>
      <c r="R33" s="148">
        <f t="shared" si="15"/>
        <v>2.7</v>
      </c>
      <c r="S33" s="148">
        <f t="shared" si="16"/>
        <v>0.27</v>
      </c>
      <c r="T33" s="148">
        <f t="shared" si="36"/>
        <v>2.7000000000000003E-2</v>
      </c>
      <c r="U33" s="148">
        <f t="shared" si="37"/>
        <v>2.7</v>
      </c>
      <c r="V33" s="7">
        <f t="shared" si="38"/>
        <v>1000</v>
      </c>
      <c r="W33" s="7">
        <f t="shared" si="39"/>
        <v>1000000</v>
      </c>
      <c r="X33" s="1345">
        <f t="shared" si="40"/>
        <v>27.000000000000004</v>
      </c>
      <c r="Y33" s="1345">
        <f t="shared" si="41"/>
        <v>2700</v>
      </c>
    </row>
    <row r="34" spans="1:26" x14ac:dyDescent="0.2">
      <c r="A34" s="213" t="str">
        <f t="shared" ref="A34:C41" si="48">A63</f>
        <v>NIM</v>
      </c>
      <c r="B34" s="213" t="str">
        <f t="shared" si="48"/>
        <v>M55 5717</v>
      </c>
      <c r="C34" s="570">
        <f t="shared" si="48"/>
        <v>5.0216000000000003</v>
      </c>
      <c r="D34" s="570">
        <f t="shared" ref="D34:E34" si="49">F63</f>
        <v>1.04E-2</v>
      </c>
      <c r="E34" s="570">
        <f t="shared" si="49"/>
        <v>5.0179999999999998</v>
      </c>
      <c r="F34" s="213">
        <f t="shared" si="10"/>
        <v>8.9999999999999993E-3</v>
      </c>
      <c r="G34" s="570">
        <f t="shared" si="11"/>
        <v>-3.5999999999999999E-3</v>
      </c>
      <c r="H34" s="570">
        <f t="shared" si="12"/>
        <v>2.76E-2</v>
      </c>
      <c r="I34" s="155">
        <f t="shared" si="28"/>
        <v>0</v>
      </c>
      <c r="J34" s="155">
        <f t="shared" si="29"/>
        <v>0</v>
      </c>
      <c r="K34" s="155">
        <f t="shared" si="30"/>
        <v>1.7999999999999999E-2</v>
      </c>
      <c r="L34" s="155">
        <f t="shared" si="31"/>
        <v>10</v>
      </c>
      <c r="M34" s="156">
        <f t="shared" si="32"/>
        <v>0.18</v>
      </c>
      <c r="N34" s="157">
        <f t="shared" si="33"/>
        <v>1.7999999999999999E-2</v>
      </c>
      <c r="O34" s="155">
        <f t="shared" si="34"/>
        <v>100</v>
      </c>
      <c r="P34" s="250">
        <v>1</v>
      </c>
      <c r="Q34" s="250">
        <v>1000</v>
      </c>
      <c r="R34" s="148">
        <f t="shared" si="15"/>
        <v>1.7999999999999998</v>
      </c>
      <c r="S34" s="148">
        <f t="shared" si="16"/>
        <v>0.18</v>
      </c>
      <c r="T34" s="148">
        <f t="shared" si="36"/>
        <v>1.7999999999999999E-2</v>
      </c>
      <c r="U34" s="148">
        <f t="shared" si="37"/>
        <v>1.8</v>
      </c>
      <c r="V34" s="7">
        <f t="shared" si="38"/>
        <v>1000</v>
      </c>
      <c r="W34" s="7">
        <f t="shared" si="39"/>
        <v>1000000</v>
      </c>
      <c r="X34" s="1345">
        <f t="shared" si="40"/>
        <v>18</v>
      </c>
      <c r="Y34" s="1345">
        <f t="shared" si="41"/>
        <v>1800</v>
      </c>
    </row>
    <row r="35" spans="1:26" x14ac:dyDescent="0.2">
      <c r="A35" s="213" t="str">
        <f t="shared" ref="A35:A41" si="50">A64</f>
        <v>NIMT</v>
      </c>
      <c r="B35" s="213" t="str">
        <f t="shared" si="48"/>
        <v>M55 5695</v>
      </c>
      <c r="C35" s="570">
        <f t="shared" si="48"/>
        <v>5.0178000000000003</v>
      </c>
      <c r="D35" s="570">
        <f t="shared" ref="D35:E35" si="51">F64</f>
        <v>1.04E-2</v>
      </c>
      <c r="E35" s="570">
        <f t="shared" si="51"/>
        <v>5.0039999999999996</v>
      </c>
      <c r="F35" s="213">
        <f t="shared" si="10"/>
        <v>1.8249999999999999E-2</v>
      </c>
      <c r="G35" s="570">
        <f t="shared" si="11"/>
        <v>-1.38E-2</v>
      </c>
      <c r="H35" s="570">
        <f t="shared" si="12"/>
        <v>4.2099999999999999E-2</v>
      </c>
      <c r="I35" s="155">
        <f t="shared" si="28"/>
        <v>0</v>
      </c>
      <c r="J35" s="155">
        <f t="shared" si="29"/>
        <v>0</v>
      </c>
      <c r="K35" s="155">
        <f t="shared" si="30"/>
        <v>3.6499999999999998E-2</v>
      </c>
      <c r="L35" s="155">
        <f t="shared" si="31"/>
        <v>10</v>
      </c>
      <c r="M35" s="156">
        <f t="shared" si="32"/>
        <v>0.36499999999999994</v>
      </c>
      <c r="N35" s="157">
        <f t="shared" si="33"/>
        <v>3.6499999999999998E-2</v>
      </c>
      <c r="O35" s="155">
        <f t="shared" si="34"/>
        <v>100</v>
      </c>
      <c r="P35" s="250">
        <v>1</v>
      </c>
      <c r="Q35" s="250">
        <v>1000</v>
      </c>
      <c r="R35" s="148">
        <f t="shared" si="15"/>
        <v>3.6499999999999995</v>
      </c>
      <c r="S35" s="148">
        <f t="shared" si="16"/>
        <v>0.36499999999999994</v>
      </c>
      <c r="T35" s="148">
        <f t="shared" si="36"/>
        <v>3.6499999999999998E-2</v>
      </c>
      <c r="U35" s="148">
        <f t="shared" si="37"/>
        <v>3.6499999999999995</v>
      </c>
      <c r="V35" s="7">
        <f t="shared" si="38"/>
        <v>1000</v>
      </c>
      <c r="W35" s="7">
        <f t="shared" si="39"/>
        <v>1000000</v>
      </c>
      <c r="X35" s="1345">
        <f t="shared" si="40"/>
        <v>36.5</v>
      </c>
      <c r="Y35" s="1345">
        <f t="shared" si="41"/>
        <v>3649.9999999999995</v>
      </c>
    </row>
    <row r="36" spans="1:26" x14ac:dyDescent="0.2">
      <c r="A36" s="213" t="str">
        <f t="shared" si="50"/>
        <v>NIST</v>
      </c>
      <c r="B36" s="213" t="str">
        <f t="shared" si="48"/>
        <v>D95 8293</v>
      </c>
      <c r="C36" s="570">
        <f t="shared" si="48"/>
        <v>5.0109000000000004</v>
      </c>
      <c r="D36" s="570">
        <f t="shared" ref="D36:E36" si="52">F65</f>
        <v>1.04E-2</v>
      </c>
      <c r="E36" s="570">
        <f t="shared" si="52"/>
        <v>5.0110000000000001</v>
      </c>
      <c r="F36" s="213">
        <f t="shared" si="10"/>
        <v>7.4999999999999997E-3</v>
      </c>
      <c r="G36" s="570">
        <f t="shared" si="11"/>
        <v>1E-4</v>
      </c>
      <c r="H36" s="570">
        <f t="shared" si="12"/>
        <v>2.5700000000000001E-2</v>
      </c>
      <c r="I36" s="155">
        <f t="shared" si="28"/>
        <v>0</v>
      </c>
      <c r="J36" s="155">
        <f t="shared" si="29"/>
        <v>0</v>
      </c>
      <c r="K36" s="155">
        <f t="shared" si="30"/>
        <v>1.4999999999999999E-2</v>
      </c>
      <c r="L36" s="155">
        <f t="shared" si="31"/>
        <v>10</v>
      </c>
      <c r="M36" s="156">
        <f t="shared" si="32"/>
        <v>0.15</v>
      </c>
      <c r="N36" s="157">
        <f t="shared" si="33"/>
        <v>1.4999999999999999E-2</v>
      </c>
      <c r="O36" s="155">
        <f t="shared" si="34"/>
        <v>100</v>
      </c>
      <c r="P36" s="250">
        <v>1</v>
      </c>
      <c r="Q36" s="250">
        <v>1000</v>
      </c>
      <c r="R36" s="148">
        <f t="shared" si="15"/>
        <v>1.5</v>
      </c>
      <c r="S36" s="148">
        <f t="shared" si="16"/>
        <v>0.15</v>
      </c>
      <c r="T36" s="148">
        <f t="shared" si="36"/>
        <v>1.4999999999999999E-2</v>
      </c>
      <c r="U36" s="148">
        <f t="shared" si="37"/>
        <v>1.5</v>
      </c>
      <c r="V36" s="7">
        <f t="shared" si="38"/>
        <v>1000</v>
      </c>
      <c r="W36" s="7">
        <f t="shared" si="39"/>
        <v>1000000</v>
      </c>
      <c r="X36" s="1345">
        <f t="shared" si="40"/>
        <v>15</v>
      </c>
      <c r="Y36" s="1345">
        <f t="shared" si="41"/>
        <v>1500</v>
      </c>
    </row>
    <row r="37" spans="1:26" x14ac:dyDescent="0.2">
      <c r="A37" s="213" t="str">
        <f t="shared" si="50"/>
        <v>VSL</v>
      </c>
      <c r="B37" s="213" t="str">
        <f t="shared" si="48"/>
        <v>D95 8365</v>
      </c>
      <c r="C37" s="570">
        <f t="shared" si="48"/>
        <v>5.0119999999999996</v>
      </c>
      <c r="D37" s="570">
        <f t="shared" ref="D37:E37" si="53">F66</f>
        <v>1.04E-2</v>
      </c>
      <c r="E37" s="570">
        <f t="shared" si="53"/>
        <v>5.0140000000000002</v>
      </c>
      <c r="F37" s="213">
        <f t="shared" si="10"/>
        <v>1.2500000000000001E-2</v>
      </c>
      <c r="G37" s="570">
        <f t="shared" si="11"/>
        <v>2E-3</v>
      </c>
      <c r="H37" s="570">
        <f t="shared" si="12"/>
        <v>3.2599999999999997E-2</v>
      </c>
      <c r="I37" s="155">
        <f t="shared" si="28"/>
        <v>0</v>
      </c>
      <c r="J37" s="155">
        <f t="shared" si="29"/>
        <v>0</v>
      </c>
      <c r="K37" s="155">
        <f t="shared" si="30"/>
        <v>2.5000000000000001E-2</v>
      </c>
      <c r="L37" s="155">
        <f t="shared" si="31"/>
        <v>10</v>
      </c>
      <c r="M37" s="156">
        <f t="shared" si="32"/>
        <v>0.25</v>
      </c>
      <c r="N37" s="157">
        <f t="shared" si="33"/>
        <v>2.5000000000000001E-2</v>
      </c>
      <c r="O37" s="155">
        <f t="shared" si="34"/>
        <v>100</v>
      </c>
      <c r="P37" s="250">
        <v>1</v>
      </c>
      <c r="Q37" s="250">
        <v>1000</v>
      </c>
      <c r="R37" s="148">
        <f t="shared" si="15"/>
        <v>2.5</v>
      </c>
      <c r="S37" s="148">
        <f t="shared" si="16"/>
        <v>0.25</v>
      </c>
      <c r="T37" s="148">
        <f t="shared" si="36"/>
        <v>2.5000000000000001E-2</v>
      </c>
      <c r="U37" s="148">
        <f t="shared" si="37"/>
        <v>2.5</v>
      </c>
      <c r="V37" s="7">
        <f t="shared" si="38"/>
        <v>1000</v>
      </c>
      <c r="W37" s="7">
        <f t="shared" si="39"/>
        <v>1000000</v>
      </c>
      <c r="X37" s="1345">
        <f t="shared" si="40"/>
        <v>25</v>
      </c>
      <c r="Y37" s="1345">
        <f t="shared" si="41"/>
        <v>2500</v>
      </c>
    </row>
    <row r="38" spans="1:26" x14ac:dyDescent="0.2">
      <c r="A38" s="213" t="str">
        <f t="shared" si="50"/>
        <v>NPLI</v>
      </c>
      <c r="B38" s="213" t="str">
        <f t="shared" si="48"/>
        <v>D95 8294</v>
      </c>
      <c r="C38" s="570">
        <f t="shared" si="48"/>
        <v>5.0206999999999997</v>
      </c>
      <c r="D38" s="570">
        <f t="shared" ref="D38:E38" si="54">F67</f>
        <v>1.04E-2</v>
      </c>
      <c r="E38" s="570">
        <f t="shared" si="54"/>
        <v>5.1950000000000003</v>
      </c>
      <c r="F38" s="213">
        <f t="shared" si="10"/>
        <v>7.4999999999999997E-2</v>
      </c>
      <c r="G38" s="570">
        <f t="shared" si="11"/>
        <v>0.17430000000000001</v>
      </c>
      <c r="H38" s="570">
        <f t="shared" si="12"/>
        <v>0.15140000000000001</v>
      </c>
      <c r="I38" s="155">
        <f t="shared" si="28"/>
        <v>1</v>
      </c>
      <c r="J38" s="155">
        <f t="shared" si="29"/>
        <v>0.17430000000000057</v>
      </c>
      <c r="K38" s="155">
        <f t="shared" si="30"/>
        <v>0.37950225295774043</v>
      </c>
      <c r="L38" s="155">
        <f t="shared" si="31"/>
        <v>10</v>
      </c>
      <c r="M38" s="156">
        <f t="shared" si="32"/>
        <v>3.795022529577404</v>
      </c>
      <c r="N38" s="157">
        <f t="shared" si="33"/>
        <v>0.37950225295774037</v>
      </c>
      <c r="O38" s="155">
        <f t="shared" si="34"/>
        <v>100</v>
      </c>
      <c r="P38" s="250">
        <v>1</v>
      </c>
      <c r="Q38" s="250">
        <v>1000</v>
      </c>
      <c r="R38" s="148">
        <f t="shared" si="15"/>
        <v>37.95022529577404</v>
      </c>
      <c r="S38" s="148">
        <f t="shared" si="16"/>
        <v>3.795022529577404</v>
      </c>
      <c r="T38" s="148">
        <f t="shared" si="36"/>
        <v>0.37950225295774043</v>
      </c>
      <c r="U38" s="148">
        <f t="shared" si="37"/>
        <v>37.95022529577404</v>
      </c>
      <c r="V38" s="7">
        <f t="shared" si="38"/>
        <v>1000</v>
      </c>
      <c r="W38" s="7">
        <f t="shared" si="39"/>
        <v>1000000</v>
      </c>
      <c r="X38" s="1345">
        <f t="shared" si="40"/>
        <v>379.50225295774044</v>
      </c>
      <c r="Y38" s="1345">
        <f t="shared" si="41"/>
        <v>37950.225295774042</v>
      </c>
    </row>
    <row r="39" spans="1:26" x14ac:dyDescent="0.2">
      <c r="A39" s="213" t="str">
        <f t="shared" si="50"/>
        <v>UBA(A)</v>
      </c>
      <c r="B39" s="213" t="str">
        <f t="shared" si="48"/>
        <v>D95 8320</v>
      </c>
      <c r="C39" s="570">
        <f t="shared" si="48"/>
        <v>5.0258000000000003</v>
      </c>
      <c r="D39" s="570">
        <f t="shared" ref="D39:E39" si="55">F68</f>
        <v>1.04E-2</v>
      </c>
      <c r="E39" s="570">
        <f t="shared" si="55"/>
        <v>4.96</v>
      </c>
      <c r="F39" s="213">
        <f t="shared" si="10"/>
        <v>2.75E-2</v>
      </c>
      <c r="G39" s="570">
        <f t="shared" si="11"/>
        <v>0</v>
      </c>
      <c r="H39" s="570">
        <f t="shared" si="12"/>
        <v>0</v>
      </c>
      <c r="I39" s="155">
        <f t="shared" si="28"/>
        <v>0</v>
      </c>
      <c r="J39" s="155">
        <f t="shared" si="29"/>
        <v>0</v>
      </c>
      <c r="K39" s="155">
        <f t="shared" si="30"/>
        <v>5.5E-2</v>
      </c>
      <c r="L39" s="155">
        <f t="shared" si="31"/>
        <v>10</v>
      </c>
      <c r="M39" s="156">
        <f t="shared" si="32"/>
        <v>0.54999999999999993</v>
      </c>
      <c r="N39" s="157">
        <f t="shared" si="33"/>
        <v>5.4999999999999993E-2</v>
      </c>
      <c r="O39" s="155">
        <f t="shared" si="34"/>
        <v>100</v>
      </c>
      <c r="P39" s="250">
        <v>1</v>
      </c>
      <c r="Q39" s="250">
        <v>1000</v>
      </c>
      <c r="R39" s="148">
        <f t="shared" si="15"/>
        <v>5.4999999999999991</v>
      </c>
      <c r="S39" s="148">
        <f t="shared" si="16"/>
        <v>0.54999999999999993</v>
      </c>
      <c r="T39" s="148">
        <f t="shared" si="36"/>
        <v>5.4999999999999993E-2</v>
      </c>
      <c r="U39" s="148">
        <f t="shared" si="37"/>
        <v>5.4999999999999991</v>
      </c>
      <c r="V39" s="7">
        <f t="shared" si="38"/>
        <v>1000</v>
      </c>
      <c r="W39" s="7">
        <f t="shared" si="39"/>
        <v>1000000</v>
      </c>
      <c r="X39" s="1345">
        <f t="shared" si="40"/>
        <v>54.999999999999993</v>
      </c>
      <c r="Y39" s="1345">
        <f t="shared" si="41"/>
        <v>5499.9999999999991</v>
      </c>
    </row>
    <row r="40" spans="1:26" x14ac:dyDescent="0.2">
      <c r="A40" s="213" t="str">
        <f t="shared" si="50"/>
        <v>FMI</v>
      </c>
      <c r="B40" s="213" t="str">
        <f t="shared" si="48"/>
        <v>M55 5706</v>
      </c>
      <c r="C40" s="570">
        <f t="shared" si="48"/>
        <v>5.0258000000000003</v>
      </c>
      <c r="D40" s="570">
        <f t="shared" ref="D40:E40" si="56">F69</f>
        <v>1.04E-2</v>
      </c>
      <c r="E40" s="570">
        <f t="shared" si="56"/>
        <v>5.0199999999999996</v>
      </c>
      <c r="F40" s="213">
        <f t="shared" si="10"/>
        <v>2.76E-2</v>
      </c>
      <c r="G40" s="570">
        <f t="shared" si="11"/>
        <v>-5.7999999999999996E-3</v>
      </c>
      <c r="H40" s="570">
        <f t="shared" si="12"/>
        <v>5.8999999999999997E-2</v>
      </c>
      <c r="I40" s="155">
        <f t="shared" si="28"/>
        <v>0</v>
      </c>
      <c r="J40" s="155">
        <f t="shared" si="29"/>
        <v>0</v>
      </c>
      <c r="K40" s="155">
        <f t="shared" si="30"/>
        <v>5.5199999999999999E-2</v>
      </c>
      <c r="L40" s="155">
        <f t="shared" si="31"/>
        <v>10</v>
      </c>
      <c r="M40" s="156">
        <f t="shared" si="32"/>
        <v>0.55199999999999994</v>
      </c>
      <c r="N40" s="157">
        <f t="shared" si="33"/>
        <v>5.5199999999999999E-2</v>
      </c>
      <c r="O40" s="155">
        <f t="shared" si="34"/>
        <v>100</v>
      </c>
      <c r="P40" s="250">
        <v>1</v>
      </c>
      <c r="Q40" s="250">
        <v>1000</v>
      </c>
      <c r="R40" s="148">
        <f t="shared" si="15"/>
        <v>5.52</v>
      </c>
      <c r="S40" s="148">
        <f t="shared" si="16"/>
        <v>0.55199999999999994</v>
      </c>
      <c r="T40" s="148">
        <f t="shared" si="36"/>
        <v>5.5199999999999999E-2</v>
      </c>
      <c r="U40" s="148">
        <f t="shared" si="37"/>
        <v>5.5199999999999987</v>
      </c>
      <c r="V40" s="7">
        <f t="shared" si="38"/>
        <v>1000</v>
      </c>
      <c r="W40" s="7">
        <f t="shared" si="39"/>
        <v>1000000</v>
      </c>
      <c r="X40" s="1345">
        <f t="shared" si="40"/>
        <v>55.199999999999996</v>
      </c>
      <c r="Y40" s="1345">
        <f t="shared" si="41"/>
        <v>5519.9999999999991</v>
      </c>
    </row>
    <row r="41" spans="1:26" x14ac:dyDescent="0.2">
      <c r="A41" s="213" t="str">
        <f t="shared" si="50"/>
        <v>NMIA</v>
      </c>
      <c r="B41" s="213" t="str">
        <f t="shared" si="48"/>
        <v>M55 5726</v>
      </c>
      <c r="C41" s="570">
        <f t="shared" si="48"/>
        <v>5.0134999999999996</v>
      </c>
      <c r="D41" s="570">
        <f t="shared" ref="D41:E41" si="57">F70</f>
        <v>1.04E-2</v>
      </c>
      <c r="E41" s="570">
        <f t="shared" si="57"/>
        <v>5.008</v>
      </c>
      <c r="F41" s="213">
        <f t="shared" si="10"/>
        <v>1.2999999999999999E-2</v>
      </c>
      <c r="G41" s="570">
        <f t="shared" si="11"/>
        <v>-5.4999999999999997E-3</v>
      </c>
      <c r="H41" s="570">
        <f t="shared" si="12"/>
        <v>3.3300000000000003E-2</v>
      </c>
      <c r="I41" s="155">
        <f t="shared" si="28"/>
        <v>0</v>
      </c>
      <c r="J41" s="155">
        <f t="shared" si="29"/>
        <v>0</v>
      </c>
      <c r="K41" s="155">
        <f t="shared" si="30"/>
        <v>2.5999999999999999E-2</v>
      </c>
      <c r="L41" s="155">
        <f t="shared" si="31"/>
        <v>10</v>
      </c>
      <c r="M41" s="156">
        <f t="shared" si="32"/>
        <v>0.26</v>
      </c>
      <c r="N41" s="157">
        <f t="shared" si="33"/>
        <v>2.6000000000000002E-2</v>
      </c>
      <c r="O41" s="155">
        <f t="shared" si="34"/>
        <v>100</v>
      </c>
      <c r="P41" s="250">
        <v>1</v>
      </c>
      <c r="Q41" s="250">
        <v>1000</v>
      </c>
      <c r="R41" s="148">
        <f t="shared" si="15"/>
        <v>2.6</v>
      </c>
      <c r="S41" s="148">
        <f t="shared" si="16"/>
        <v>0.26</v>
      </c>
      <c r="T41" s="148">
        <f t="shared" si="36"/>
        <v>2.6000000000000002E-2</v>
      </c>
      <c r="U41" s="148">
        <f t="shared" si="37"/>
        <v>2.6</v>
      </c>
      <c r="V41" s="7">
        <f t="shared" si="38"/>
        <v>1000</v>
      </c>
      <c r="W41" s="7">
        <f t="shared" si="39"/>
        <v>1000000</v>
      </c>
      <c r="X41" s="1345">
        <f t="shared" si="40"/>
        <v>26.000000000000004</v>
      </c>
      <c r="Y41" s="1345">
        <f t="shared" si="41"/>
        <v>2600</v>
      </c>
    </row>
    <row r="42" spans="1:26" ht="14.25" x14ac:dyDescent="0.2">
      <c r="H42" s="9"/>
      <c r="U42" s="152"/>
      <c r="V42" s="21"/>
      <c r="W42" s="21"/>
      <c r="X42" s="21"/>
      <c r="Y42" s="21"/>
      <c r="Z42" s="21"/>
    </row>
    <row r="43" spans="1:26" ht="14.25" x14ac:dyDescent="0.2">
      <c r="H43" s="9"/>
      <c r="U43" s="152"/>
      <c r="V43" s="21"/>
      <c r="W43" s="21"/>
      <c r="X43" s="21"/>
      <c r="Y43" s="21"/>
      <c r="Z43" s="21"/>
    </row>
    <row r="44" spans="1:26" s="226" customFormat="1" x14ac:dyDescent="0.2">
      <c r="C44" s="226" t="s">
        <v>437</v>
      </c>
      <c r="O44" s="420" t="s">
        <v>438</v>
      </c>
    </row>
    <row r="45" spans="1:26" s="226" customFormat="1" ht="38.25" x14ac:dyDescent="0.2">
      <c r="A45" s="528" t="s">
        <v>439</v>
      </c>
      <c r="B45" s="529" t="s">
        <v>1</v>
      </c>
      <c r="C45" s="530" t="s">
        <v>440</v>
      </c>
      <c r="D45" s="531" t="s">
        <v>441</v>
      </c>
      <c r="E45" s="531" t="s">
        <v>442</v>
      </c>
      <c r="F45" s="532" t="s">
        <v>443</v>
      </c>
      <c r="G45" s="530" t="s">
        <v>444</v>
      </c>
      <c r="H45" s="531" t="s">
        <v>445</v>
      </c>
      <c r="I45" s="532" t="s">
        <v>446</v>
      </c>
      <c r="J45" s="533" t="s">
        <v>447</v>
      </c>
      <c r="K45" s="424" t="s">
        <v>131</v>
      </c>
      <c r="L45" s="534" t="s">
        <v>448</v>
      </c>
      <c r="O45" s="535" t="s">
        <v>449</v>
      </c>
      <c r="P45" s="535" t="s">
        <v>450</v>
      </c>
      <c r="Q45" s="1379" t="s">
        <v>451</v>
      </c>
      <c r="R45" s="1379"/>
      <c r="S45" s="1379"/>
      <c r="T45" s="1379"/>
      <c r="U45" s="1379"/>
      <c r="V45" s="1379"/>
    </row>
    <row r="46" spans="1:26" s="226" customFormat="1" ht="25.5" x14ac:dyDescent="0.2">
      <c r="A46" s="536" t="s">
        <v>452</v>
      </c>
      <c r="B46" s="536" t="s">
        <v>453</v>
      </c>
      <c r="C46" s="537">
        <v>5.0204000000000004</v>
      </c>
      <c r="D46" s="538">
        <v>3.0000000000000001E-3</v>
      </c>
      <c r="E46" s="539">
        <v>0.01</v>
      </c>
      <c r="F46" s="540">
        <v>1.04E-2</v>
      </c>
      <c r="G46" s="537">
        <v>4.9897</v>
      </c>
      <c r="H46" s="541">
        <v>9.1000000000000004E-3</v>
      </c>
      <c r="I46" s="542">
        <v>2</v>
      </c>
      <c r="J46" s="537">
        <v>-3.0700000000000002E-2</v>
      </c>
      <c r="K46" s="543">
        <v>2</v>
      </c>
      <c r="L46" s="544">
        <v>2.2800000000000001E-2</v>
      </c>
      <c r="M46" s="545"/>
      <c r="O46" s="546" t="s">
        <v>378</v>
      </c>
      <c r="P46" s="546" t="s">
        <v>454</v>
      </c>
      <c r="Q46" s="1378" t="s">
        <v>455</v>
      </c>
      <c r="R46" s="1378"/>
      <c r="S46" s="1378"/>
      <c r="T46" s="1378"/>
      <c r="U46" s="1378"/>
      <c r="V46" s="1378"/>
    </row>
    <row r="47" spans="1:26" s="226" customFormat="1" x14ac:dyDescent="0.2">
      <c r="A47" s="547" t="s">
        <v>15</v>
      </c>
      <c r="B47" s="547" t="s">
        <v>456</v>
      </c>
      <c r="C47" s="548">
        <v>5.0053999999999998</v>
      </c>
      <c r="D47" s="549">
        <v>3.0000000000000001E-3</v>
      </c>
      <c r="E47" s="550">
        <v>0.01</v>
      </c>
      <c r="F47" s="551">
        <v>1.04E-2</v>
      </c>
      <c r="G47" s="548">
        <v>5.0107999999999997</v>
      </c>
      <c r="H47" s="552">
        <v>2.7300000000000001E-2</v>
      </c>
      <c r="I47" s="553">
        <v>2</v>
      </c>
      <c r="J47" s="548">
        <v>5.4000000000000003E-3</v>
      </c>
      <c r="K47" s="554">
        <v>2</v>
      </c>
      <c r="L47" s="555">
        <v>3.44E-2</v>
      </c>
      <c r="M47" s="545"/>
      <c r="O47" s="546" t="s">
        <v>452</v>
      </c>
      <c r="P47" s="546" t="s">
        <v>457</v>
      </c>
      <c r="Q47" s="1378" t="s">
        <v>458</v>
      </c>
      <c r="R47" s="1378"/>
      <c r="S47" s="1378"/>
      <c r="T47" s="1378"/>
      <c r="U47" s="1378"/>
      <c r="V47" s="1378"/>
    </row>
    <row r="48" spans="1:26" s="226" customFormat="1" x14ac:dyDescent="0.2">
      <c r="A48" s="547" t="s">
        <v>378</v>
      </c>
      <c r="B48" s="547" t="s">
        <v>459</v>
      </c>
      <c r="C48" s="548">
        <v>5.0145999999999997</v>
      </c>
      <c r="D48" s="549">
        <v>3.0000000000000001E-3</v>
      </c>
      <c r="E48" s="550">
        <v>0.01</v>
      </c>
      <c r="F48" s="551">
        <v>1.04E-2</v>
      </c>
      <c r="G48" s="548">
        <v>5.0739999999999998</v>
      </c>
      <c r="H48" s="552">
        <v>0.06</v>
      </c>
      <c r="I48" s="553">
        <v>2</v>
      </c>
      <c r="J48" s="548">
        <v>5.9400000000000001E-2</v>
      </c>
      <c r="K48" s="554">
        <v>2</v>
      </c>
      <c r="L48" s="555">
        <v>6.3500000000000001E-2</v>
      </c>
      <c r="M48" s="545"/>
      <c r="O48" s="546" t="s">
        <v>175</v>
      </c>
      <c r="P48" s="546" t="s">
        <v>457</v>
      </c>
      <c r="Q48" s="1378" t="s">
        <v>460</v>
      </c>
      <c r="R48" s="1378"/>
      <c r="S48" s="1378"/>
      <c r="T48" s="1378"/>
      <c r="U48" s="1378"/>
      <c r="V48" s="1378"/>
    </row>
    <row r="49" spans="1:22" s="226" customFormat="1" x14ac:dyDescent="0.2">
      <c r="A49" s="547" t="s">
        <v>2</v>
      </c>
      <c r="B49" s="547" t="s">
        <v>461</v>
      </c>
      <c r="C49" s="548">
        <v>5.0194999999999999</v>
      </c>
      <c r="D49" s="549">
        <v>3.0000000000000001E-3</v>
      </c>
      <c r="E49" s="550">
        <v>0.01</v>
      </c>
      <c r="F49" s="551">
        <v>1.04E-2</v>
      </c>
      <c r="G49" s="548">
        <v>5.0410000000000004</v>
      </c>
      <c r="H49" s="552">
        <v>2.4E-2</v>
      </c>
      <c r="I49" s="553">
        <v>2</v>
      </c>
      <c r="J49" s="548">
        <v>2.1499999999999998E-2</v>
      </c>
      <c r="K49" s="554">
        <v>2</v>
      </c>
      <c r="L49" s="555">
        <v>3.1800000000000002E-2</v>
      </c>
      <c r="M49" s="545"/>
      <c r="O49" s="546" t="s">
        <v>21</v>
      </c>
      <c r="P49" s="546" t="s">
        <v>462</v>
      </c>
      <c r="Q49" s="1378" t="s">
        <v>463</v>
      </c>
      <c r="R49" s="1378"/>
      <c r="S49" s="1378"/>
      <c r="T49" s="1378"/>
      <c r="U49" s="1378"/>
      <c r="V49" s="1378"/>
    </row>
    <row r="50" spans="1:22" s="226" customFormat="1" x14ac:dyDescent="0.2">
      <c r="A50" s="547" t="s">
        <v>464</v>
      </c>
      <c r="B50" s="547" t="s">
        <v>465</v>
      </c>
      <c r="C50" s="548">
        <v>5.0133999999999999</v>
      </c>
      <c r="D50" s="549">
        <v>3.0000000000000001E-3</v>
      </c>
      <c r="E50" s="550">
        <v>0.01</v>
      </c>
      <c r="F50" s="551">
        <v>1.04E-2</v>
      </c>
      <c r="G50" s="548">
        <v>5.0030000000000001</v>
      </c>
      <c r="H50" s="552">
        <v>4.2999999999999997E-2</v>
      </c>
      <c r="I50" s="553">
        <v>2</v>
      </c>
      <c r="J50" s="548">
        <v>-1.04E-2</v>
      </c>
      <c r="K50" s="554">
        <v>2</v>
      </c>
      <c r="L50" s="556">
        <v>4.7800000000000002E-2</v>
      </c>
      <c r="M50" s="557"/>
      <c r="O50" s="546" t="s">
        <v>20</v>
      </c>
      <c r="P50" s="546" t="s">
        <v>466</v>
      </c>
      <c r="Q50" s="1378" t="s">
        <v>467</v>
      </c>
      <c r="R50" s="1378"/>
      <c r="S50" s="1378"/>
      <c r="T50" s="1378"/>
      <c r="U50" s="1378"/>
      <c r="V50" s="1378"/>
    </row>
    <row r="51" spans="1:22" s="226" customFormat="1" ht="25.5" x14ac:dyDescent="0.2">
      <c r="A51" s="547" t="s">
        <v>16</v>
      </c>
      <c r="B51" s="547" t="s">
        <v>468</v>
      </c>
      <c r="C51" s="548">
        <v>5.0171999999999999</v>
      </c>
      <c r="D51" s="549">
        <v>3.0000000000000001E-3</v>
      </c>
      <c r="E51" s="550">
        <v>0.01</v>
      </c>
      <c r="F51" s="551">
        <v>1.04E-2</v>
      </c>
      <c r="G51" s="548">
        <v>5.0209999999999999</v>
      </c>
      <c r="H51" s="552">
        <v>1.2999999999999999E-2</v>
      </c>
      <c r="I51" s="553">
        <v>2</v>
      </c>
      <c r="J51" s="548">
        <v>3.8E-3</v>
      </c>
      <c r="K51" s="554">
        <v>2</v>
      </c>
      <c r="L51" s="556">
        <v>2.46E-2</v>
      </c>
      <c r="M51" s="557"/>
      <c r="O51" s="546" t="s">
        <v>469</v>
      </c>
      <c r="P51" s="546" t="s">
        <v>470</v>
      </c>
      <c r="Q51" s="1378" t="s">
        <v>471</v>
      </c>
      <c r="R51" s="1378"/>
      <c r="S51" s="1378"/>
      <c r="T51" s="1378"/>
      <c r="U51" s="1378"/>
      <c r="V51" s="1378"/>
    </row>
    <row r="52" spans="1:22" s="226" customFormat="1" ht="25.5" x14ac:dyDescent="0.2">
      <c r="A52" s="547" t="s">
        <v>175</v>
      </c>
      <c r="B52" s="547" t="s">
        <v>472</v>
      </c>
      <c r="C52" s="548">
        <v>5.0191999999999997</v>
      </c>
      <c r="D52" s="549">
        <v>3.0000000000000001E-3</v>
      </c>
      <c r="E52" s="550">
        <v>0.01</v>
      </c>
      <c r="F52" s="551">
        <v>1.04E-2</v>
      </c>
      <c r="G52" s="548">
        <v>4.9980000000000002</v>
      </c>
      <c r="H52" s="552">
        <v>1.7999999999999999E-2</v>
      </c>
      <c r="I52" s="553">
        <v>2</v>
      </c>
      <c r="J52" s="548">
        <v>-2.12E-2</v>
      </c>
      <c r="K52" s="554">
        <v>2</v>
      </c>
      <c r="L52" s="556">
        <v>2.76E-2</v>
      </c>
      <c r="M52" s="557"/>
      <c r="O52" s="546" t="s">
        <v>473</v>
      </c>
      <c r="P52" s="546" t="s">
        <v>474</v>
      </c>
      <c r="Q52" s="1378" t="s">
        <v>475</v>
      </c>
      <c r="R52" s="1378"/>
      <c r="S52" s="1378"/>
      <c r="T52" s="1378"/>
      <c r="U52" s="1378"/>
      <c r="V52" s="1378"/>
    </row>
    <row r="53" spans="1:22" s="226" customFormat="1" x14ac:dyDescent="0.2">
      <c r="A53" s="547" t="s">
        <v>476</v>
      </c>
      <c r="B53" s="547" t="s">
        <v>477</v>
      </c>
      <c r="C53" s="548">
        <v>5.0183</v>
      </c>
      <c r="D53" s="549">
        <v>3.0000000000000001E-3</v>
      </c>
      <c r="E53" s="550">
        <v>0.01</v>
      </c>
      <c r="F53" s="551">
        <v>1.04E-2</v>
      </c>
      <c r="G53" s="548">
        <v>4.9880000000000004</v>
      </c>
      <c r="H53" s="552">
        <v>4.99E-2</v>
      </c>
      <c r="I53" s="553">
        <v>2</v>
      </c>
      <c r="J53" s="548">
        <v>-3.0300000000000001E-2</v>
      </c>
      <c r="K53" s="554">
        <v>2</v>
      </c>
      <c r="L53" s="556">
        <v>5.4100000000000002E-2</v>
      </c>
      <c r="M53" s="557"/>
      <c r="O53" s="546" t="s">
        <v>16</v>
      </c>
      <c r="P53" s="546" t="s">
        <v>478</v>
      </c>
      <c r="Q53" s="1378" t="s">
        <v>479</v>
      </c>
      <c r="R53" s="1378"/>
      <c r="S53" s="1378"/>
      <c r="T53" s="1378"/>
      <c r="U53" s="1378"/>
      <c r="V53" s="1378"/>
    </row>
    <row r="54" spans="1:22" s="226" customFormat="1" x14ac:dyDescent="0.2">
      <c r="A54" s="547" t="s">
        <v>480</v>
      </c>
      <c r="B54" s="547" t="s">
        <v>481</v>
      </c>
      <c r="C54" s="548">
        <v>5.0163000000000002</v>
      </c>
      <c r="D54" s="549">
        <v>3.0000000000000001E-3</v>
      </c>
      <c r="E54" s="550">
        <v>0.01</v>
      </c>
      <c r="F54" s="551">
        <v>1.04E-2</v>
      </c>
      <c r="G54" s="548">
        <v>5.05</v>
      </c>
      <c r="H54" s="552">
        <v>7.9000000000000001E-2</v>
      </c>
      <c r="I54" s="553">
        <v>2</v>
      </c>
      <c r="J54" s="548">
        <v>3.3700000000000001E-2</v>
      </c>
      <c r="K54" s="554">
        <v>2</v>
      </c>
      <c r="L54" s="556">
        <v>8.1699999999999995E-2</v>
      </c>
      <c r="M54" s="557"/>
      <c r="O54" s="546" t="s">
        <v>482</v>
      </c>
      <c r="P54" s="546" t="s">
        <v>483</v>
      </c>
      <c r="Q54" s="1378" t="s">
        <v>484</v>
      </c>
      <c r="R54" s="1378"/>
      <c r="S54" s="1378"/>
      <c r="T54" s="1378"/>
      <c r="U54" s="1378"/>
      <c r="V54" s="1378"/>
    </row>
    <row r="55" spans="1:22" s="226" customFormat="1" x14ac:dyDescent="0.2">
      <c r="A55" s="547" t="s">
        <v>373</v>
      </c>
      <c r="B55" s="547" t="s">
        <v>485</v>
      </c>
      <c r="C55" s="548">
        <v>5.0209999999999999</v>
      </c>
      <c r="D55" s="549">
        <v>3.0000000000000001E-3</v>
      </c>
      <c r="E55" s="550">
        <v>0.01</v>
      </c>
      <c r="F55" s="551">
        <v>1.04E-2</v>
      </c>
      <c r="G55" s="548">
        <v>5.0860000000000003</v>
      </c>
      <c r="H55" s="552">
        <v>3.3000000000000002E-2</v>
      </c>
      <c r="I55" s="553">
        <v>2</v>
      </c>
      <c r="J55" s="548">
        <v>6.5000000000000002E-2</v>
      </c>
      <c r="K55" s="554">
        <v>2</v>
      </c>
      <c r="L55" s="556">
        <v>3.9100000000000003E-2</v>
      </c>
      <c r="M55" s="557"/>
      <c r="O55" s="546" t="s">
        <v>15</v>
      </c>
      <c r="P55" s="546" t="s">
        <v>486</v>
      </c>
      <c r="Q55" s="1378" t="s">
        <v>487</v>
      </c>
      <c r="R55" s="1378"/>
      <c r="S55" s="1378"/>
      <c r="T55" s="1378"/>
      <c r="U55" s="1378"/>
      <c r="V55" s="1378"/>
    </row>
    <row r="56" spans="1:22" s="226" customFormat="1" x14ac:dyDescent="0.2">
      <c r="A56" s="547" t="s">
        <v>174</v>
      </c>
      <c r="B56" s="547" t="s">
        <v>488</v>
      </c>
      <c r="C56" s="548">
        <v>5.0216000000000003</v>
      </c>
      <c r="D56" s="549">
        <v>3.0000000000000001E-3</v>
      </c>
      <c r="E56" s="550">
        <v>0.01</v>
      </c>
      <c r="F56" s="551">
        <v>1.04E-2</v>
      </c>
      <c r="G56" s="548">
        <v>5.0199999999999996</v>
      </c>
      <c r="H56" s="552">
        <v>0.03</v>
      </c>
      <c r="I56" s="553">
        <v>2</v>
      </c>
      <c r="J56" s="548">
        <v>-1.6000000000000001E-3</v>
      </c>
      <c r="K56" s="554">
        <v>2</v>
      </c>
      <c r="L56" s="556">
        <v>3.6600000000000001E-2</v>
      </c>
      <c r="M56" s="557"/>
      <c r="O56" s="546" t="s">
        <v>489</v>
      </c>
      <c r="P56" s="546" t="s">
        <v>490</v>
      </c>
      <c r="Q56" s="1378" t="s">
        <v>491</v>
      </c>
      <c r="R56" s="1378"/>
      <c r="S56" s="1378"/>
      <c r="T56" s="1378"/>
      <c r="U56" s="1378"/>
      <c r="V56" s="1378"/>
    </row>
    <row r="57" spans="1:22" s="226" customFormat="1" ht="15" customHeight="1" x14ac:dyDescent="0.2">
      <c r="A57" s="547" t="s">
        <v>473</v>
      </c>
      <c r="B57" s="547" t="s">
        <v>492</v>
      </c>
      <c r="C57" s="548">
        <v>5.0214999999999996</v>
      </c>
      <c r="D57" s="549">
        <v>3.0000000000000001E-3</v>
      </c>
      <c r="E57" s="550">
        <v>0.01</v>
      </c>
      <c r="F57" s="551">
        <v>1.04E-2</v>
      </c>
      <c r="G57" s="548">
        <v>5.0810000000000004</v>
      </c>
      <c r="H57" s="552">
        <v>8.3000000000000004E-2</v>
      </c>
      <c r="I57" s="553">
        <v>2</v>
      </c>
      <c r="J57" s="548">
        <v>5.9499999999999997E-2</v>
      </c>
      <c r="K57" s="554">
        <v>2</v>
      </c>
      <c r="L57" s="556">
        <v>8.5599999999999996E-2</v>
      </c>
      <c r="M57" s="557"/>
      <c r="O57" s="546" t="s">
        <v>18</v>
      </c>
      <c r="P57" s="546" t="s">
        <v>493</v>
      </c>
      <c r="Q57" s="1378" t="s">
        <v>494</v>
      </c>
      <c r="R57" s="1378"/>
      <c r="S57" s="1378"/>
      <c r="T57" s="1378"/>
      <c r="U57" s="1378"/>
      <c r="V57" s="1378"/>
    </row>
    <row r="58" spans="1:22" s="226" customFormat="1" ht="25.5" x14ac:dyDescent="0.2">
      <c r="A58" s="547" t="s">
        <v>418</v>
      </c>
      <c r="B58" s="547" t="s">
        <v>495</v>
      </c>
      <c r="C58" s="548">
        <v>5.0194999999999999</v>
      </c>
      <c r="D58" s="549">
        <v>3.0000000000000001E-3</v>
      </c>
      <c r="E58" s="550">
        <v>0.01</v>
      </c>
      <c r="F58" s="551">
        <v>1.04E-2</v>
      </c>
      <c r="G58" s="548">
        <v>5.0999999999999996</v>
      </c>
      <c r="H58" s="552">
        <v>4.3999999999999997E-2</v>
      </c>
      <c r="I58" s="553">
        <v>2</v>
      </c>
      <c r="J58" s="548">
        <v>8.0500000000000002E-2</v>
      </c>
      <c r="K58" s="554">
        <v>2</v>
      </c>
      <c r="L58" s="556">
        <v>4.87E-2</v>
      </c>
      <c r="M58" s="557"/>
      <c r="O58" s="546" t="s">
        <v>496</v>
      </c>
      <c r="P58" s="546" t="s">
        <v>497</v>
      </c>
      <c r="Q58" s="1378" t="s">
        <v>498</v>
      </c>
      <c r="R58" s="1378"/>
      <c r="S58" s="1378"/>
      <c r="T58" s="1378"/>
      <c r="U58" s="1378"/>
      <c r="V58" s="1378"/>
    </row>
    <row r="59" spans="1:22" s="226" customFormat="1" x14ac:dyDescent="0.2">
      <c r="A59" s="547" t="s">
        <v>376</v>
      </c>
      <c r="B59" s="547" t="s">
        <v>499</v>
      </c>
      <c r="C59" s="548">
        <v>5.024</v>
      </c>
      <c r="D59" s="549">
        <v>3.0000000000000001E-3</v>
      </c>
      <c r="E59" s="550">
        <v>0.01</v>
      </c>
      <c r="F59" s="551">
        <v>1.04E-2</v>
      </c>
      <c r="G59" s="548">
        <v>5.0190000000000001</v>
      </c>
      <c r="H59" s="552">
        <v>3.4000000000000002E-2</v>
      </c>
      <c r="I59" s="553">
        <v>2</v>
      </c>
      <c r="J59" s="548">
        <v>-5.0000000000000001E-3</v>
      </c>
      <c r="K59" s="554">
        <v>2</v>
      </c>
      <c r="L59" s="556">
        <v>3.9899999999999998E-2</v>
      </c>
      <c r="M59" s="557"/>
      <c r="O59" s="546" t="s">
        <v>375</v>
      </c>
      <c r="P59" s="546" t="s">
        <v>500</v>
      </c>
      <c r="Q59" s="1378" t="s">
        <v>501</v>
      </c>
      <c r="R59" s="1378"/>
      <c r="S59" s="1378"/>
      <c r="T59" s="1378"/>
      <c r="U59" s="1378"/>
      <c r="V59" s="1378"/>
    </row>
    <row r="60" spans="1:22" s="226" customFormat="1" ht="25.5" x14ac:dyDescent="0.2">
      <c r="A60" s="547" t="s">
        <v>17</v>
      </c>
      <c r="B60" s="547" t="s">
        <v>502</v>
      </c>
      <c r="C60" s="548">
        <v>5.0194000000000001</v>
      </c>
      <c r="D60" s="549">
        <v>3.0000000000000001E-3</v>
      </c>
      <c r="E60" s="550">
        <v>0.01</v>
      </c>
      <c r="F60" s="551">
        <v>1.04E-2</v>
      </c>
      <c r="G60" s="548">
        <v>5.0110000000000001</v>
      </c>
      <c r="H60" s="552">
        <v>4.0000000000000001E-3</v>
      </c>
      <c r="I60" s="553">
        <v>2</v>
      </c>
      <c r="J60" s="548">
        <v>-8.3999999999999995E-3</v>
      </c>
      <c r="K60" s="554">
        <v>2</v>
      </c>
      <c r="L60" s="556">
        <v>2.1299999999999999E-2</v>
      </c>
      <c r="M60" s="557"/>
      <c r="O60" s="546" t="s">
        <v>503</v>
      </c>
      <c r="P60" s="546" t="s">
        <v>504</v>
      </c>
      <c r="Q60" s="1378" t="s">
        <v>505</v>
      </c>
      <c r="R60" s="1378"/>
      <c r="S60" s="1378"/>
      <c r="T60" s="1378"/>
      <c r="U60" s="1378"/>
      <c r="V60" s="1378"/>
    </row>
    <row r="61" spans="1:22" s="226" customFormat="1" ht="25.5" x14ac:dyDescent="0.2">
      <c r="A61" s="547" t="s">
        <v>18</v>
      </c>
      <c r="B61" s="547" t="s">
        <v>506</v>
      </c>
      <c r="C61" s="548">
        <v>5.0227000000000004</v>
      </c>
      <c r="D61" s="549">
        <v>3.0000000000000001E-3</v>
      </c>
      <c r="E61" s="550">
        <v>0.01</v>
      </c>
      <c r="F61" s="551">
        <v>1.04E-2</v>
      </c>
      <c r="G61" s="548">
        <v>4.9939999999999998</v>
      </c>
      <c r="H61" s="552">
        <v>2.1999999999999999E-2</v>
      </c>
      <c r="I61" s="553">
        <v>2</v>
      </c>
      <c r="J61" s="548">
        <v>-2.87E-2</v>
      </c>
      <c r="K61" s="554">
        <v>2</v>
      </c>
      <c r="L61" s="556">
        <v>3.0300000000000001E-2</v>
      </c>
      <c r="M61" s="557"/>
      <c r="O61" s="546" t="s">
        <v>19</v>
      </c>
      <c r="P61" s="546" t="s">
        <v>507</v>
      </c>
      <c r="Q61" s="1378" t="s">
        <v>508</v>
      </c>
      <c r="R61" s="1378"/>
      <c r="S61" s="1378"/>
      <c r="T61" s="1378"/>
      <c r="U61" s="1378"/>
      <c r="V61" s="1378"/>
    </row>
    <row r="62" spans="1:22" s="226" customFormat="1" x14ac:dyDescent="0.2">
      <c r="A62" s="547" t="s">
        <v>19</v>
      </c>
      <c r="B62" s="547" t="s">
        <v>509</v>
      </c>
      <c r="C62" s="548">
        <v>5.0213999999999999</v>
      </c>
      <c r="D62" s="549">
        <v>3.0000000000000001E-3</v>
      </c>
      <c r="E62" s="550">
        <v>0.01</v>
      </c>
      <c r="F62" s="551">
        <v>1.04E-2</v>
      </c>
      <c r="G62" s="548">
        <v>5.0030000000000001</v>
      </c>
      <c r="H62" s="552">
        <v>2.7E-2</v>
      </c>
      <c r="I62" s="553">
        <v>2</v>
      </c>
      <c r="J62" s="548">
        <v>-1.84E-2</v>
      </c>
      <c r="K62" s="554">
        <v>2</v>
      </c>
      <c r="L62" s="556">
        <v>3.4099999999999998E-2</v>
      </c>
      <c r="M62" s="557"/>
      <c r="O62" s="546" t="s">
        <v>172</v>
      </c>
      <c r="P62" s="546" t="s">
        <v>510</v>
      </c>
      <c r="Q62" s="1378" t="s">
        <v>511</v>
      </c>
      <c r="R62" s="1378"/>
      <c r="S62" s="1378"/>
      <c r="T62" s="1378"/>
      <c r="U62" s="1378"/>
      <c r="V62" s="1378"/>
    </row>
    <row r="63" spans="1:22" s="226" customFormat="1" x14ac:dyDescent="0.2">
      <c r="A63" s="547" t="s">
        <v>173</v>
      </c>
      <c r="B63" s="547" t="s">
        <v>512</v>
      </c>
      <c r="C63" s="548">
        <v>5.0216000000000003</v>
      </c>
      <c r="D63" s="549">
        <v>3.0000000000000001E-3</v>
      </c>
      <c r="E63" s="550">
        <v>0.01</v>
      </c>
      <c r="F63" s="551">
        <v>1.04E-2</v>
      </c>
      <c r="G63" s="548">
        <v>5.0179999999999998</v>
      </c>
      <c r="H63" s="552">
        <v>1.7999999999999999E-2</v>
      </c>
      <c r="I63" s="553">
        <v>2</v>
      </c>
      <c r="J63" s="548">
        <v>-3.5999999999999999E-3</v>
      </c>
      <c r="K63" s="554">
        <v>2</v>
      </c>
      <c r="L63" s="556">
        <v>2.76E-2</v>
      </c>
      <c r="M63" s="557"/>
      <c r="O63" s="546" t="s">
        <v>480</v>
      </c>
      <c r="P63" s="546" t="s">
        <v>513</v>
      </c>
      <c r="Q63" s="1378" t="s">
        <v>514</v>
      </c>
      <c r="R63" s="1378"/>
      <c r="S63" s="1378"/>
      <c r="T63" s="1378"/>
      <c r="U63" s="1378"/>
      <c r="V63" s="1378"/>
    </row>
    <row r="64" spans="1:22" s="226" customFormat="1" x14ac:dyDescent="0.2">
      <c r="A64" s="547" t="s">
        <v>320</v>
      </c>
      <c r="B64" s="547" t="s">
        <v>515</v>
      </c>
      <c r="C64" s="548">
        <v>5.0178000000000003</v>
      </c>
      <c r="D64" s="549">
        <v>3.0000000000000001E-3</v>
      </c>
      <c r="E64" s="550">
        <v>0.01</v>
      </c>
      <c r="F64" s="551">
        <v>1.04E-2</v>
      </c>
      <c r="G64" s="548">
        <v>5.0039999999999996</v>
      </c>
      <c r="H64" s="552">
        <v>3.6499999999999998E-2</v>
      </c>
      <c r="I64" s="553">
        <v>2</v>
      </c>
      <c r="J64" s="548">
        <v>-1.38E-2</v>
      </c>
      <c r="K64" s="554">
        <v>2</v>
      </c>
      <c r="L64" s="556">
        <v>4.2099999999999999E-2</v>
      </c>
      <c r="M64" s="557"/>
      <c r="O64" s="546" t="s">
        <v>17</v>
      </c>
      <c r="P64" s="546" t="s">
        <v>516</v>
      </c>
      <c r="Q64" s="1378" t="s">
        <v>517</v>
      </c>
      <c r="R64" s="1378"/>
      <c r="S64" s="1378"/>
      <c r="T64" s="1378"/>
      <c r="U64" s="1378"/>
      <c r="V64" s="1378"/>
    </row>
    <row r="65" spans="1:26" s="226" customFormat="1" x14ac:dyDescent="0.2">
      <c r="A65" s="547" t="s">
        <v>20</v>
      </c>
      <c r="B65" s="547" t="s">
        <v>518</v>
      </c>
      <c r="C65" s="548">
        <v>5.0109000000000004</v>
      </c>
      <c r="D65" s="549">
        <v>3.0000000000000001E-3</v>
      </c>
      <c r="E65" s="550">
        <v>0.01</v>
      </c>
      <c r="F65" s="551">
        <v>1.04E-2</v>
      </c>
      <c r="G65" s="548">
        <v>5.0110000000000001</v>
      </c>
      <c r="H65" s="552">
        <v>1.4999999999999999E-2</v>
      </c>
      <c r="I65" s="553">
        <v>2</v>
      </c>
      <c r="J65" s="548">
        <v>1E-4</v>
      </c>
      <c r="K65" s="554">
        <v>2</v>
      </c>
      <c r="L65" s="556">
        <v>2.5700000000000001E-2</v>
      </c>
      <c r="M65" s="557"/>
      <c r="O65" s="546" t="s">
        <v>464</v>
      </c>
      <c r="P65" s="546" t="s">
        <v>519</v>
      </c>
      <c r="Q65" s="1378" t="s">
        <v>520</v>
      </c>
      <c r="R65" s="1378"/>
      <c r="S65" s="1378"/>
      <c r="T65" s="1378"/>
      <c r="U65" s="1378"/>
      <c r="V65" s="1378"/>
    </row>
    <row r="66" spans="1:26" s="226" customFormat="1" x14ac:dyDescent="0.2">
      <c r="A66" s="547" t="s">
        <v>21</v>
      </c>
      <c r="B66" s="547" t="s">
        <v>521</v>
      </c>
      <c r="C66" s="548">
        <v>5.0119999999999996</v>
      </c>
      <c r="D66" s="549">
        <v>3.0000000000000001E-3</v>
      </c>
      <c r="E66" s="550">
        <v>0.01</v>
      </c>
      <c r="F66" s="551">
        <v>1.04E-2</v>
      </c>
      <c r="G66" s="548">
        <v>5.0140000000000002</v>
      </c>
      <c r="H66" s="552">
        <v>2.5000000000000001E-2</v>
      </c>
      <c r="I66" s="553">
        <v>2</v>
      </c>
      <c r="J66" s="548">
        <v>2E-3</v>
      </c>
      <c r="K66" s="554">
        <v>2</v>
      </c>
      <c r="L66" s="556">
        <v>3.2599999999999997E-2</v>
      </c>
      <c r="M66" s="557"/>
      <c r="O66" s="546" t="s">
        <v>174</v>
      </c>
      <c r="P66" s="546" t="s">
        <v>522</v>
      </c>
      <c r="Q66" s="1378" t="s">
        <v>523</v>
      </c>
      <c r="R66" s="1378"/>
      <c r="S66" s="1378"/>
      <c r="T66" s="1378"/>
      <c r="U66" s="1378"/>
      <c r="V66" s="1378"/>
    </row>
    <row r="67" spans="1:26" s="226" customFormat="1" x14ac:dyDescent="0.2">
      <c r="A67" s="547" t="s">
        <v>319</v>
      </c>
      <c r="B67" s="547" t="s">
        <v>524</v>
      </c>
      <c r="C67" s="548">
        <v>5.0206999999999997</v>
      </c>
      <c r="D67" s="549">
        <v>3.0000000000000001E-3</v>
      </c>
      <c r="E67" s="550">
        <v>0.01</v>
      </c>
      <c r="F67" s="551">
        <v>1.04E-2</v>
      </c>
      <c r="G67" s="548">
        <v>5.1950000000000003</v>
      </c>
      <c r="H67" s="552">
        <v>0.15</v>
      </c>
      <c r="I67" s="553">
        <v>2</v>
      </c>
      <c r="J67" s="548">
        <v>0.17430000000000001</v>
      </c>
      <c r="K67" s="554">
        <v>2</v>
      </c>
      <c r="L67" s="556">
        <v>0.15140000000000001</v>
      </c>
      <c r="M67" s="557"/>
      <c r="O67" s="546" t="s">
        <v>173</v>
      </c>
      <c r="P67" s="546" t="s">
        <v>525</v>
      </c>
      <c r="Q67" s="1378" t="s">
        <v>526</v>
      </c>
      <c r="R67" s="1378"/>
      <c r="S67" s="1378"/>
      <c r="T67" s="1378"/>
      <c r="U67" s="1378"/>
      <c r="V67" s="1378"/>
    </row>
    <row r="68" spans="1:26" s="226" customFormat="1" x14ac:dyDescent="0.2">
      <c r="A68" s="547" t="s">
        <v>404</v>
      </c>
      <c r="B68" s="547" t="s">
        <v>527</v>
      </c>
      <c r="C68" s="548">
        <v>5.0258000000000003</v>
      </c>
      <c r="D68" s="549">
        <v>3.0000000000000001E-3</v>
      </c>
      <c r="E68" s="550">
        <v>0.01</v>
      </c>
      <c r="F68" s="551">
        <v>1.04E-2</v>
      </c>
      <c r="G68" s="548">
        <v>4.96</v>
      </c>
      <c r="H68" s="552">
        <v>5.5E-2</v>
      </c>
      <c r="I68" s="553">
        <v>2</v>
      </c>
      <c r="J68" s="558"/>
      <c r="K68" s="559"/>
      <c r="L68" s="412"/>
      <c r="M68" s="560"/>
      <c r="O68" s="546" t="s">
        <v>320</v>
      </c>
      <c r="P68" s="546" t="s">
        <v>528</v>
      </c>
      <c r="Q68" s="1378" t="s">
        <v>529</v>
      </c>
      <c r="R68" s="1378"/>
      <c r="S68" s="1378"/>
      <c r="T68" s="1378"/>
      <c r="U68" s="1378"/>
      <c r="V68" s="1378"/>
    </row>
    <row r="69" spans="1:26" s="226" customFormat="1" ht="25.5" x14ac:dyDescent="0.2">
      <c r="A69" s="547" t="s">
        <v>375</v>
      </c>
      <c r="B69" s="547" t="s">
        <v>530</v>
      </c>
      <c r="C69" s="548">
        <v>5.0258000000000003</v>
      </c>
      <c r="D69" s="549">
        <v>3.0000000000000001E-3</v>
      </c>
      <c r="E69" s="550">
        <v>0.01</v>
      </c>
      <c r="F69" s="551">
        <v>1.04E-2</v>
      </c>
      <c r="G69" s="548">
        <v>5.0199999999999996</v>
      </c>
      <c r="H69" s="552">
        <v>5.5199999999999999E-2</v>
      </c>
      <c r="I69" s="553">
        <v>2</v>
      </c>
      <c r="J69" s="548">
        <v>-5.7999999999999996E-3</v>
      </c>
      <c r="K69" s="554">
        <v>2</v>
      </c>
      <c r="L69" s="556">
        <v>5.8999999999999997E-2</v>
      </c>
      <c r="M69" s="557"/>
      <c r="O69" s="546" t="s">
        <v>531</v>
      </c>
      <c r="P69" s="546" t="s">
        <v>532</v>
      </c>
      <c r="Q69" s="1378" t="s">
        <v>533</v>
      </c>
      <c r="R69" s="1378"/>
      <c r="S69" s="1378"/>
      <c r="T69" s="1378"/>
      <c r="U69" s="1378"/>
      <c r="V69" s="1378"/>
    </row>
    <row r="70" spans="1:26" s="226" customFormat="1" x14ac:dyDescent="0.2">
      <c r="A70" s="561" t="s">
        <v>172</v>
      </c>
      <c r="B70" s="561" t="s">
        <v>534</v>
      </c>
      <c r="C70" s="562">
        <v>5.0134999999999996</v>
      </c>
      <c r="D70" s="563">
        <v>3.0000000000000001E-3</v>
      </c>
      <c r="E70" s="564">
        <v>0.01</v>
      </c>
      <c r="F70" s="565">
        <v>1.04E-2</v>
      </c>
      <c r="G70" s="562">
        <v>5.008</v>
      </c>
      <c r="H70" s="566">
        <v>2.5999999999999999E-2</v>
      </c>
      <c r="I70" s="567">
        <v>2</v>
      </c>
      <c r="J70" s="562">
        <v>-5.4999999999999997E-3</v>
      </c>
      <c r="K70" s="568">
        <v>2</v>
      </c>
      <c r="L70" s="569">
        <v>3.3300000000000003E-2</v>
      </c>
      <c r="M70" s="557"/>
      <c r="O70" s="546" t="s">
        <v>476</v>
      </c>
      <c r="P70" s="546" t="s">
        <v>454</v>
      </c>
      <c r="Q70" s="1378" t="s">
        <v>535</v>
      </c>
      <c r="R70" s="1378"/>
      <c r="S70" s="1378"/>
      <c r="T70" s="1378"/>
      <c r="U70" s="1378"/>
      <c r="V70" s="1378"/>
    </row>
    <row r="71" spans="1:26" ht="14.25" x14ac:dyDescent="0.2">
      <c r="H71" s="9"/>
      <c r="U71" s="152"/>
      <c r="V71" s="21"/>
      <c r="W71" s="21"/>
      <c r="X71" s="21"/>
      <c r="Y71" s="21"/>
      <c r="Z71" s="21"/>
    </row>
    <row r="72" spans="1:26" ht="14.25" x14ac:dyDescent="0.2">
      <c r="H72" s="9"/>
      <c r="U72" s="152"/>
      <c r="V72" s="21"/>
      <c r="W72" s="21"/>
      <c r="X72" s="21"/>
      <c r="Y72" s="21"/>
      <c r="Z72" s="21"/>
    </row>
    <row r="73" spans="1:26" ht="14.25" x14ac:dyDescent="0.2">
      <c r="H73" s="9"/>
      <c r="U73" s="152"/>
      <c r="V73" s="21"/>
      <c r="W73" s="21"/>
      <c r="X73" s="21"/>
      <c r="Y73" s="21"/>
      <c r="Z73" s="21"/>
    </row>
    <row r="74" spans="1:26" ht="14.25" x14ac:dyDescent="0.2">
      <c r="H74" s="9"/>
      <c r="U74" s="152"/>
      <c r="V74" s="21"/>
      <c r="W74" s="21"/>
      <c r="X74" s="21"/>
      <c r="Y74" s="21"/>
      <c r="Z74" s="21"/>
    </row>
    <row r="75" spans="1:26" ht="14.25" x14ac:dyDescent="0.2">
      <c r="H75" s="9"/>
      <c r="U75" s="152"/>
      <c r="V75" s="21"/>
      <c r="W75" s="21"/>
      <c r="X75" s="21"/>
      <c r="Y75" s="21"/>
      <c r="Z75" s="21"/>
    </row>
    <row r="76" spans="1:26" ht="14.25" x14ac:dyDescent="0.2">
      <c r="H76" s="9"/>
      <c r="U76" s="152"/>
      <c r="V76" s="21"/>
      <c r="W76" s="21"/>
      <c r="X76" s="21"/>
      <c r="Y76" s="21"/>
      <c r="Z76" s="21"/>
    </row>
    <row r="77" spans="1:26" ht="14.25" x14ac:dyDescent="0.2">
      <c r="H77" s="9"/>
      <c r="U77" s="152"/>
      <c r="V77" s="21"/>
      <c r="W77" s="21"/>
      <c r="X77" s="21"/>
      <c r="Y77" s="21"/>
      <c r="Z77" s="21"/>
    </row>
    <row r="78" spans="1:26" ht="14.25" x14ac:dyDescent="0.2">
      <c r="H78" s="9"/>
      <c r="U78" s="152"/>
      <c r="V78" s="21"/>
      <c r="W78" s="21"/>
      <c r="X78" s="21"/>
      <c r="Y78" s="21"/>
      <c r="Z78" s="21"/>
    </row>
    <row r="79" spans="1:26" ht="14.25" x14ac:dyDescent="0.2">
      <c r="H79" s="9"/>
      <c r="U79" s="152"/>
      <c r="V79" s="21"/>
      <c r="W79" s="21"/>
      <c r="X79" s="21"/>
      <c r="Y79" s="21"/>
      <c r="Z79" s="21"/>
    </row>
    <row r="80" spans="1:26" ht="14.25" x14ac:dyDescent="0.2">
      <c r="H80" s="9"/>
      <c r="U80" s="152"/>
      <c r="V80" s="21"/>
      <c r="W80" s="21"/>
      <c r="X80" s="21"/>
      <c r="Y80" s="21"/>
      <c r="Z80" s="21"/>
    </row>
    <row r="81" spans="8:26" ht="14.25" x14ac:dyDescent="0.2">
      <c r="H81" s="9"/>
      <c r="U81" s="152"/>
      <c r="V81" s="21"/>
      <c r="W81" s="21"/>
      <c r="X81" s="21"/>
      <c r="Y81" s="21"/>
      <c r="Z81" s="21"/>
    </row>
    <row r="82" spans="8:26" ht="14.25" x14ac:dyDescent="0.2">
      <c r="H82" s="9"/>
      <c r="U82" s="152"/>
      <c r="V82" s="21"/>
      <c r="W82" s="21"/>
      <c r="X82" s="21"/>
      <c r="Y82" s="21"/>
      <c r="Z82" s="21"/>
    </row>
    <row r="83" spans="8:26" ht="14.25" x14ac:dyDescent="0.2">
      <c r="H83" s="9"/>
      <c r="U83" s="152"/>
      <c r="V83" s="21"/>
      <c r="W83" s="21"/>
      <c r="X83" s="21"/>
      <c r="Y83" s="21"/>
      <c r="Z83" s="21"/>
    </row>
    <row r="84" spans="8:26" ht="14.25" x14ac:dyDescent="0.2">
      <c r="H84" s="9"/>
      <c r="U84" s="152"/>
      <c r="V84" s="21"/>
      <c r="W84" s="21"/>
      <c r="X84" s="21"/>
      <c r="Y84" s="21"/>
      <c r="Z84" s="21"/>
    </row>
    <row r="85" spans="8:26" ht="14.25" x14ac:dyDescent="0.2">
      <c r="H85" s="9"/>
      <c r="U85" s="152"/>
      <c r="V85" s="21"/>
      <c r="W85" s="21"/>
      <c r="X85" s="21"/>
      <c r="Y85" s="21"/>
      <c r="Z85" s="21"/>
    </row>
    <row r="86" spans="8:26" ht="14.25" x14ac:dyDescent="0.2">
      <c r="H86" s="9"/>
      <c r="U86" s="152"/>
      <c r="V86" s="21"/>
      <c r="W86" s="21"/>
      <c r="X86" s="21"/>
      <c r="Y86" s="21"/>
      <c r="Z86" s="21"/>
    </row>
    <row r="87" spans="8:26" ht="14.25" x14ac:dyDescent="0.2">
      <c r="H87" s="9"/>
      <c r="U87" s="152"/>
      <c r="V87" s="21"/>
      <c r="W87" s="21"/>
      <c r="X87" s="21"/>
      <c r="Y87" s="21"/>
      <c r="Z87" s="21"/>
    </row>
    <row r="88" spans="8:26" ht="14.25" x14ac:dyDescent="0.2">
      <c r="H88" s="9"/>
      <c r="U88" s="152"/>
      <c r="V88" s="21"/>
      <c r="W88" s="21"/>
      <c r="X88" s="21"/>
      <c r="Y88" s="21"/>
      <c r="Z88" s="21"/>
    </row>
    <row r="89" spans="8:26" ht="14.25" x14ac:dyDescent="0.2">
      <c r="U89" s="152"/>
      <c r="V89" s="21"/>
      <c r="W89" s="21"/>
      <c r="X89" s="21"/>
      <c r="Y89" s="21"/>
      <c r="Z89" s="21"/>
    </row>
    <row r="90" spans="8:26" ht="14.25" x14ac:dyDescent="0.2">
      <c r="H90" s="9"/>
      <c r="U90" s="152"/>
      <c r="V90" s="21"/>
      <c r="W90" s="21"/>
      <c r="X90" s="21"/>
      <c r="Y90" s="21"/>
      <c r="Z90" s="21"/>
    </row>
    <row r="91" spans="8:26" ht="14.25" x14ac:dyDescent="0.2">
      <c r="H91" s="9"/>
      <c r="U91" s="152"/>
      <c r="V91" s="21"/>
      <c r="W91" s="21"/>
      <c r="X91" s="21"/>
      <c r="Y91" s="21"/>
      <c r="Z91" s="21"/>
    </row>
    <row r="92" spans="8:26" ht="14.25" x14ac:dyDescent="0.2">
      <c r="H92" s="9"/>
      <c r="U92" s="152"/>
      <c r="V92" s="21"/>
      <c r="W92" s="21"/>
      <c r="X92" s="21"/>
      <c r="Y92" s="21"/>
      <c r="Z92" s="21"/>
    </row>
    <row r="93" spans="8:26" ht="14.25" x14ac:dyDescent="0.2">
      <c r="H93" s="9"/>
      <c r="U93" s="152"/>
      <c r="V93" s="21"/>
      <c r="W93" s="21"/>
      <c r="X93" s="21"/>
      <c r="Y93" s="21"/>
      <c r="Z93" s="21"/>
    </row>
    <row r="94" spans="8:26" ht="14.25" x14ac:dyDescent="0.2">
      <c r="H94" s="9"/>
      <c r="U94" s="152"/>
      <c r="V94" s="21"/>
      <c r="W94" s="21"/>
      <c r="X94" s="21"/>
      <c r="Y94" s="21"/>
      <c r="Z94" s="21"/>
    </row>
    <row r="95" spans="8:26" ht="14.25" x14ac:dyDescent="0.2">
      <c r="H95" s="9"/>
      <c r="U95" s="152"/>
      <c r="V95" s="21"/>
      <c r="W95" s="21"/>
      <c r="X95" s="21"/>
      <c r="Y95" s="21"/>
      <c r="Z95" s="21"/>
    </row>
    <row r="96" spans="8:26" ht="14.25" x14ac:dyDescent="0.2">
      <c r="U96" s="152"/>
      <c r="V96" s="21"/>
      <c r="W96" s="21"/>
      <c r="X96" s="21"/>
      <c r="Y96" s="21"/>
      <c r="Z96" s="21"/>
    </row>
    <row r="97" spans="1:26" ht="14.25" x14ac:dyDescent="0.2">
      <c r="U97" s="152"/>
      <c r="V97" s="21"/>
      <c r="W97" s="21"/>
      <c r="X97" s="21"/>
      <c r="Y97" s="21"/>
      <c r="Z97" s="21"/>
    </row>
    <row r="98" spans="1:26" ht="14.25" x14ac:dyDescent="0.2">
      <c r="U98" s="152"/>
      <c r="V98" s="21"/>
      <c r="W98" s="21"/>
      <c r="X98" s="21"/>
      <c r="Y98" s="21"/>
      <c r="Z98" s="21"/>
    </row>
    <row r="99" spans="1:26" ht="14.25" x14ac:dyDescent="0.2">
      <c r="U99" s="152"/>
      <c r="V99" s="21"/>
      <c r="W99" s="21"/>
      <c r="X99" s="21"/>
      <c r="Y99" s="21"/>
      <c r="Z99" s="21"/>
    </row>
    <row r="100" spans="1:26" ht="14.25" x14ac:dyDescent="0.2">
      <c r="U100" s="152"/>
      <c r="V100" s="21"/>
      <c r="W100" s="21"/>
      <c r="X100" s="21"/>
      <c r="Y100" s="21"/>
      <c r="Z100" s="21"/>
    </row>
    <row r="101" spans="1:26" ht="14.25" x14ac:dyDescent="0.2">
      <c r="U101" s="152"/>
      <c r="V101" s="21"/>
      <c r="W101" s="21"/>
      <c r="X101" s="21"/>
      <c r="Y101" s="21"/>
      <c r="Z101" s="21"/>
    </row>
    <row r="102" spans="1:26" ht="14.25" x14ac:dyDescent="0.2">
      <c r="A102" s="23"/>
      <c r="B102" s="23"/>
      <c r="C102" s="23"/>
      <c r="D102" s="23"/>
      <c r="T102" s="151"/>
      <c r="U102" s="152"/>
      <c r="V102" s="21"/>
      <c r="W102" s="21"/>
      <c r="X102" s="21"/>
      <c r="Y102" s="21"/>
      <c r="Z102" s="21"/>
    </row>
    <row r="103" spans="1:26" ht="14.25" x14ac:dyDescent="0.2">
      <c r="T103" s="151"/>
      <c r="U103" s="152"/>
      <c r="V103" s="21"/>
      <c r="W103" s="21"/>
      <c r="X103" s="21"/>
      <c r="Y103" s="21"/>
      <c r="Z103" s="21"/>
    </row>
    <row r="104" spans="1:26" ht="14.25" x14ac:dyDescent="0.2">
      <c r="T104" s="151"/>
      <c r="U104" s="152"/>
      <c r="V104" s="21"/>
      <c r="W104" s="21"/>
      <c r="X104" s="21"/>
      <c r="Y104" s="21"/>
      <c r="Z104" s="21"/>
    </row>
    <row r="105" spans="1:26" ht="14.25" x14ac:dyDescent="0.2">
      <c r="T105" s="151"/>
      <c r="U105" s="152"/>
      <c r="V105" s="21"/>
      <c r="W105" s="21"/>
      <c r="X105" s="21"/>
      <c r="Y105" s="21"/>
      <c r="Z105" s="21"/>
    </row>
    <row r="106" spans="1:26" ht="14.25" x14ac:dyDescent="0.2">
      <c r="T106" s="151"/>
      <c r="U106" s="152"/>
      <c r="V106" s="21"/>
      <c r="W106" s="21"/>
      <c r="X106" s="21"/>
      <c r="Y106" s="21"/>
      <c r="Z106" s="21"/>
    </row>
    <row r="107" spans="1:26" ht="14.25" x14ac:dyDescent="0.2">
      <c r="T107" s="151"/>
      <c r="U107" s="152"/>
      <c r="V107" s="21"/>
      <c r="W107" s="21"/>
      <c r="X107" s="21"/>
      <c r="Y107" s="21"/>
      <c r="Z107" s="21"/>
    </row>
    <row r="108" spans="1:26" ht="14.25" x14ac:dyDescent="0.2">
      <c r="T108" s="151"/>
      <c r="U108" s="152"/>
      <c r="V108" s="21"/>
      <c r="W108" s="21"/>
      <c r="X108" s="21"/>
      <c r="Y108" s="21"/>
      <c r="Z108" s="21"/>
    </row>
    <row r="109" spans="1:26" ht="14.25" x14ac:dyDescent="0.2">
      <c r="T109" s="151"/>
      <c r="U109" s="152"/>
      <c r="V109" s="21"/>
      <c r="W109" s="21"/>
      <c r="X109" s="21"/>
      <c r="Y109" s="21"/>
      <c r="Z109" s="21"/>
    </row>
    <row r="110" spans="1:26" ht="14.25" x14ac:dyDescent="0.2">
      <c r="T110" s="151"/>
      <c r="U110" s="152"/>
      <c r="V110" s="21"/>
      <c r="W110" s="21"/>
      <c r="X110" s="21"/>
      <c r="Y110" s="21"/>
      <c r="Z110" s="21"/>
    </row>
    <row r="111" spans="1:26" ht="14.25" x14ac:dyDescent="0.2">
      <c r="T111" s="151"/>
      <c r="U111" s="152"/>
      <c r="V111" s="21"/>
      <c r="W111" s="21"/>
      <c r="X111" s="21"/>
      <c r="Y111" s="21"/>
      <c r="Z111" s="21"/>
    </row>
    <row r="112" spans="1:26" ht="14.25" x14ac:dyDescent="0.2">
      <c r="T112" s="151"/>
      <c r="U112" s="152"/>
      <c r="V112" s="21"/>
      <c r="W112" s="21"/>
      <c r="X112" s="21"/>
      <c r="Y112" s="21"/>
      <c r="Z112" s="21"/>
    </row>
    <row r="113" spans="1:26" ht="14.25" x14ac:dyDescent="0.2">
      <c r="T113" s="151"/>
      <c r="U113" s="152"/>
      <c r="V113" s="21"/>
      <c r="W113" s="21"/>
      <c r="X113" s="21"/>
      <c r="Y113" s="21"/>
      <c r="Z113" s="21"/>
    </row>
    <row r="114" spans="1:26" ht="14.25" x14ac:dyDescent="0.2">
      <c r="T114" s="151"/>
      <c r="U114" s="152"/>
      <c r="V114" s="21"/>
      <c r="W114" s="21"/>
      <c r="X114" s="21"/>
      <c r="Y114" s="21"/>
      <c r="Z114" s="21"/>
    </row>
    <row r="115" spans="1:26" ht="14.25" x14ac:dyDescent="0.2">
      <c r="A115" s="23"/>
      <c r="B115" s="23"/>
      <c r="C115" s="23"/>
      <c r="D115" s="23"/>
      <c r="T115" s="151"/>
      <c r="U115" s="152"/>
      <c r="V115" s="21"/>
      <c r="W115" s="21"/>
      <c r="X115" s="21"/>
      <c r="Y115" s="21"/>
      <c r="Z115" s="21"/>
    </row>
    <row r="116" spans="1:26" ht="14.25" x14ac:dyDescent="0.2">
      <c r="A116" s="23"/>
      <c r="B116" s="23"/>
      <c r="C116" s="23"/>
      <c r="D116" s="23"/>
      <c r="T116" s="151"/>
      <c r="U116" s="152"/>
      <c r="V116" s="21"/>
      <c r="W116" s="21"/>
      <c r="X116" s="21"/>
      <c r="Y116" s="21"/>
      <c r="Z116" s="21"/>
    </row>
    <row r="117" spans="1:26" ht="14.25" x14ac:dyDescent="0.2">
      <c r="A117" s="23"/>
      <c r="B117" s="23"/>
      <c r="C117" s="23"/>
      <c r="D117" s="23"/>
      <c r="T117" s="151"/>
      <c r="U117" s="152"/>
      <c r="V117" s="21"/>
      <c r="W117" s="21"/>
      <c r="X117" s="21"/>
      <c r="Y117" s="21"/>
      <c r="Z117" s="21"/>
    </row>
    <row r="118" spans="1:26" ht="14.25" x14ac:dyDescent="0.2">
      <c r="A118" s="23"/>
      <c r="B118" s="23"/>
      <c r="C118" s="23"/>
      <c r="D118" s="23"/>
      <c r="T118" s="151"/>
      <c r="U118" s="152"/>
      <c r="V118" s="21"/>
      <c r="W118" s="21"/>
      <c r="X118" s="21"/>
      <c r="Y118" s="21"/>
      <c r="Z118" s="21"/>
    </row>
    <row r="119" spans="1:26" ht="14.25" x14ac:dyDescent="0.2">
      <c r="A119" s="23"/>
      <c r="B119" s="23"/>
      <c r="C119" s="23"/>
      <c r="D119" s="23"/>
      <c r="T119" s="151"/>
      <c r="U119" s="152"/>
      <c r="V119" s="21"/>
      <c r="W119" s="21"/>
      <c r="X119" s="21"/>
      <c r="Y119" s="21"/>
      <c r="Z119" s="21"/>
    </row>
    <row r="120" spans="1:26" ht="14.25" x14ac:dyDescent="0.2">
      <c r="A120" s="23"/>
      <c r="B120" s="23"/>
      <c r="C120" s="23"/>
      <c r="D120" s="23"/>
      <c r="T120" s="151"/>
      <c r="U120" s="152"/>
      <c r="V120" s="21"/>
      <c r="W120" s="21"/>
      <c r="X120" s="21"/>
      <c r="Y120" s="21"/>
      <c r="Z120" s="21"/>
    </row>
    <row r="121" spans="1:26" ht="14.25" x14ac:dyDescent="0.2">
      <c r="A121" s="23"/>
      <c r="B121" s="23"/>
      <c r="C121" s="23"/>
      <c r="D121" s="23"/>
      <c r="T121" s="151"/>
      <c r="U121" s="152"/>
      <c r="V121" s="21"/>
      <c r="W121" s="21"/>
      <c r="X121" s="21"/>
      <c r="Y121" s="21"/>
      <c r="Z121" s="21"/>
    </row>
    <row r="122" spans="1:26" ht="14.25" x14ac:dyDescent="0.2">
      <c r="A122" s="23"/>
      <c r="B122" s="23"/>
      <c r="C122" s="23"/>
      <c r="D122" s="23"/>
      <c r="T122" s="151"/>
      <c r="U122" s="152"/>
      <c r="V122" s="21"/>
      <c r="W122" s="21"/>
      <c r="X122" s="21"/>
      <c r="Y122" s="21"/>
      <c r="Z122" s="21"/>
    </row>
    <row r="123" spans="1:26" ht="14.25" x14ac:dyDescent="0.2">
      <c r="A123" s="23"/>
      <c r="B123" s="23"/>
      <c r="C123" s="23"/>
      <c r="D123" s="23"/>
      <c r="T123" s="151"/>
      <c r="U123" s="152"/>
      <c r="V123" s="21"/>
      <c r="W123" s="21"/>
      <c r="X123" s="21"/>
      <c r="Y123" s="21"/>
      <c r="Z123" s="21"/>
    </row>
    <row r="124" spans="1:26" ht="14.25" x14ac:dyDescent="0.2">
      <c r="A124" s="23"/>
      <c r="B124" s="23"/>
      <c r="C124" s="23"/>
      <c r="D124" s="23"/>
      <c r="T124" s="151"/>
      <c r="U124" s="152"/>
      <c r="V124" s="21"/>
      <c r="W124" s="21"/>
      <c r="X124" s="21"/>
      <c r="Y124" s="21"/>
      <c r="Z124" s="21"/>
    </row>
    <row r="125" spans="1:26" ht="14.25" x14ac:dyDescent="0.2">
      <c r="A125" s="23"/>
      <c r="B125" s="23"/>
      <c r="C125" s="23"/>
      <c r="D125" s="23"/>
      <c r="T125" s="151"/>
      <c r="U125" s="152"/>
      <c r="V125" s="21"/>
      <c r="W125" s="21"/>
      <c r="X125" s="21"/>
      <c r="Y125" s="21"/>
      <c r="Z125" s="21"/>
    </row>
    <row r="126" spans="1:26" ht="14.25" x14ac:dyDescent="0.2">
      <c r="A126" s="23"/>
      <c r="B126" s="23"/>
      <c r="C126" s="23"/>
      <c r="D126" s="23"/>
      <c r="T126" s="151"/>
      <c r="U126" s="152"/>
      <c r="V126" s="21"/>
      <c r="W126" s="21"/>
      <c r="X126" s="21"/>
      <c r="Y126" s="21"/>
      <c r="Z126" s="21"/>
    </row>
    <row r="127" spans="1:26" ht="14.25" x14ac:dyDescent="0.2">
      <c r="A127" s="23"/>
      <c r="B127" s="23"/>
      <c r="C127" s="23"/>
      <c r="D127" s="23"/>
      <c r="T127" s="151"/>
      <c r="U127" s="152"/>
      <c r="V127" s="21"/>
      <c r="W127" s="21"/>
      <c r="X127" s="21"/>
      <c r="Y127" s="21"/>
      <c r="Z127" s="21"/>
    </row>
    <row r="128" spans="1:26" ht="14.25" x14ac:dyDescent="0.2">
      <c r="A128" s="23"/>
      <c r="B128" s="23"/>
      <c r="C128" s="23"/>
      <c r="D128" s="23"/>
      <c r="T128" s="151"/>
      <c r="U128" s="152"/>
      <c r="V128" s="21"/>
      <c r="W128" s="21"/>
      <c r="X128" s="21"/>
      <c r="Y128" s="21"/>
      <c r="Z128" s="21"/>
    </row>
    <row r="129" spans="1:26" ht="13.5" x14ac:dyDescent="0.2">
      <c r="A129" s="24"/>
      <c r="B129" s="24"/>
      <c r="T129" s="153"/>
      <c r="V129" s="21"/>
      <c r="W129" s="21"/>
      <c r="X129" s="21"/>
      <c r="Y129" s="21"/>
      <c r="Z129" s="21"/>
    </row>
    <row r="143" spans="1:26" ht="16.899999999999999" customHeight="1" x14ac:dyDescent="0.2">
      <c r="A143" s="25"/>
    </row>
    <row r="144" spans="1:26" ht="12" customHeight="1" x14ac:dyDescent="0.2">
      <c r="A144" s="4"/>
    </row>
    <row r="145" spans="1:26" ht="13.15" customHeight="1" x14ac:dyDescent="0.2"/>
    <row r="146" spans="1:26" ht="13.15" customHeight="1" x14ac:dyDescent="0.2"/>
    <row r="147" spans="1:26" ht="13.15" customHeight="1" x14ac:dyDescent="0.2"/>
    <row r="148" spans="1:26" s="149" customFormat="1" ht="13.15" customHeight="1" x14ac:dyDescent="0.2">
      <c r="A148" s="1"/>
      <c r="B148" s="1"/>
      <c r="C148" s="1"/>
      <c r="D148" s="1"/>
      <c r="E148" s="1"/>
      <c r="F148" s="1"/>
      <c r="G148" s="1"/>
      <c r="H148" s="1"/>
      <c r="P148" s="1"/>
      <c r="Q148" s="1"/>
      <c r="T148" s="150"/>
      <c r="U148" s="150"/>
      <c r="V148" s="1"/>
      <c r="W148" s="1"/>
      <c r="X148" s="1"/>
      <c r="Y148" s="1"/>
      <c r="Z148" s="1"/>
    </row>
    <row r="149" spans="1:26" s="149" customFormat="1" ht="13.15" customHeight="1" x14ac:dyDescent="0.2">
      <c r="A149" s="1"/>
      <c r="B149" s="1"/>
      <c r="C149" s="1"/>
      <c r="D149" s="1"/>
      <c r="E149" s="1"/>
      <c r="F149" s="1"/>
      <c r="G149" s="1"/>
      <c r="H149" s="1"/>
      <c r="P149" s="1"/>
      <c r="Q149" s="1"/>
      <c r="T149" s="150"/>
      <c r="U149" s="150"/>
      <c r="V149" s="1"/>
      <c r="W149" s="1"/>
      <c r="X149" s="1"/>
      <c r="Y149" s="1"/>
      <c r="Z149" s="1"/>
    </row>
    <row r="150" spans="1:26" s="149" customFormat="1" ht="13.15" customHeight="1" x14ac:dyDescent="0.2">
      <c r="A150" s="1"/>
      <c r="B150" s="1"/>
      <c r="C150" s="1"/>
      <c r="D150" s="1"/>
      <c r="E150" s="1"/>
      <c r="F150" s="1"/>
      <c r="G150" s="1"/>
      <c r="H150" s="1"/>
      <c r="P150" s="1"/>
      <c r="Q150" s="1"/>
      <c r="T150" s="150"/>
      <c r="U150" s="150"/>
      <c r="V150" s="1"/>
      <c r="W150" s="1"/>
      <c r="X150" s="1"/>
      <c r="Y150" s="1"/>
      <c r="Z150" s="1"/>
    </row>
    <row r="151" spans="1:26" s="149" customFormat="1" ht="12" customHeight="1" x14ac:dyDescent="0.2">
      <c r="A151" s="1"/>
      <c r="B151" s="1"/>
      <c r="C151" s="1"/>
      <c r="D151" s="1"/>
      <c r="E151" s="1"/>
      <c r="F151" s="1"/>
      <c r="G151" s="1"/>
      <c r="H151" s="1"/>
      <c r="P151" s="1"/>
      <c r="Q151" s="1"/>
      <c r="T151" s="150"/>
      <c r="U151" s="150"/>
      <c r="V151" s="1"/>
      <c r="W151" s="1"/>
      <c r="X151" s="1"/>
      <c r="Y151" s="1"/>
      <c r="Z151" s="1"/>
    </row>
    <row r="152" spans="1:26" s="149" customFormat="1" ht="12" customHeight="1" x14ac:dyDescent="0.2">
      <c r="A152" s="1"/>
      <c r="B152" s="1"/>
      <c r="C152" s="1"/>
      <c r="D152" s="1"/>
      <c r="E152" s="1"/>
      <c r="F152" s="1"/>
      <c r="G152" s="1"/>
      <c r="H152" s="1"/>
      <c r="P152" s="1"/>
      <c r="Q152" s="1"/>
      <c r="T152" s="150"/>
      <c r="U152" s="150"/>
      <c r="V152" s="1"/>
      <c r="W152" s="1"/>
      <c r="X152" s="1"/>
      <c r="Y152" s="1"/>
      <c r="Z152" s="1"/>
    </row>
    <row r="153" spans="1:26" s="149" customFormat="1" ht="15" customHeight="1" x14ac:dyDescent="0.2">
      <c r="A153" s="1"/>
      <c r="B153" s="1"/>
      <c r="C153" s="1"/>
      <c r="D153" s="1"/>
      <c r="E153" s="1"/>
      <c r="F153" s="1"/>
      <c r="G153" s="1"/>
      <c r="H153" s="1"/>
      <c r="P153" s="1"/>
      <c r="Q153" s="1"/>
      <c r="T153" s="150"/>
      <c r="U153" s="150"/>
      <c r="V153" s="1"/>
      <c r="W153" s="1"/>
      <c r="X153" s="1"/>
      <c r="Y153" s="1"/>
      <c r="Z153" s="1"/>
    </row>
    <row r="154" spans="1:26" s="149" customFormat="1" ht="15" customHeight="1" x14ac:dyDescent="0.2">
      <c r="A154" s="1"/>
      <c r="B154" s="1"/>
      <c r="C154" s="1"/>
      <c r="D154" s="1"/>
      <c r="E154" s="1"/>
      <c r="F154" s="1"/>
      <c r="G154" s="1"/>
      <c r="H154" s="1"/>
      <c r="P154" s="1"/>
      <c r="Q154" s="1"/>
      <c r="T154" s="150"/>
      <c r="U154" s="150"/>
      <c r="V154" s="1"/>
      <c r="W154" s="1"/>
      <c r="X154" s="1"/>
      <c r="Y154" s="1"/>
      <c r="Z154" s="1"/>
    </row>
  </sheetData>
  <sheetProtection sheet="1" formatCells="0" formatColumns="0" formatRows="0"/>
  <mergeCells count="26">
    <mergeCell ref="Q50:V50"/>
    <mergeCell ref="Q45:V45"/>
    <mergeCell ref="Q46:V46"/>
    <mergeCell ref="Q47:V47"/>
    <mergeCell ref="Q48:V48"/>
    <mergeCell ref="Q49:V49"/>
    <mergeCell ref="Q62:V62"/>
    <mergeCell ref="Q51:V51"/>
    <mergeCell ref="Q52:V52"/>
    <mergeCell ref="Q53:V53"/>
    <mergeCell ref="Q54:V54"/>
    <mergeCell ref="Q55:V55"/>
    <mergeCell ref="Q56:V56"/>
    <mergeCell ref="Q57:V57"/>
    <mergeCell ref="Q58:V58"/>
    <mergeCell ref="Q59:V59"/>
    <mergeCell ref="Q60:V60"/>
    <mergeCell ref="Q61:V61"/>
    <mergeCell ref="Q69:V69"/>
    <mergeCell ref="Q70:V70"/>
    <mergeCell ref="Q63:V63"/>
    <mergeCell ref="Q64:V64"/>
    <mergeCell ref="Q65:V65"/>
    <mergeCell ref="Q66:V66"/>
    <mergeCell ref="Q67:V67"/>
    <mergeCell ref="Q68:V68"/>
  </mergeCells>
  <phoneticPr fontId="4"/>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05B7B-7160-4CA5-8265-C49EB31D4375}">
  <dimension ref="A1:Z150"/>
  <sheetViews>
    <sheetView zoomScale="160" zoomScaleNormal="160" workbookViewId="0">
      <selection activeCell="L9" sqref="L9"/>
    </sheetView>
  </sheetViews>
  <sheetFormatPr defaultColWidth="9.33203125" defaultRowHeight="12.75" x14ac:dyDescent="0.2"/>
  <cols>
    <col min="1" max="2" width="9.33203125" style="1"/>
    <col min="3" max="7" width="10.1640625" style="1" customWidth="1"/>
    <col min="8" max="8" width="9.33203125" style="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537</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538</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 customFormat="1" ht="15" x14ac:dyDescent="0.2">
      <c r="A6" s="574" t="s">
        <v>539</v>
      </c>
      <c r="B6" s="99"/>
      <c r="C6" s="99"/>
      <c r="D6" s="99"/>
      <c r="E6" s="99"/>
      <c r="F6" s="99"/>
      <c r="G6" s="99"/>
      <c r="H6" s="99"/>
      <c r="I6" s="113"/>
      <c r="J6" s="113"/>
      <c r="K6" s="113"/>
      <c r="L6" s="113"/>
      <c r="M6" s="113"/>
      <c r="N6" s="113"/>
      <c r="O6" s="113"/>
      <c r="R6" s="113"/>
      <c r="S6" s="113"/>
      <c r="T6" s="146"/>
      <c r="U6" s="146"/>
    </row>
    <row r="7" spans="1:25" s="2" customFormat="1" x14ac:dyDescent="0.2">
      <c r="A7" s="113"/>
      <c r="B7" s="99"/>
      <c r="C7" s="99"/>
      <c r="D7" s="99"/>
      <c r="E7" s="99"/>
      <c r="F7" s="99"/>
      <c r="G7" s="99"/>
      <c r="H7" s="99"/>
      <c r="I7" s="113"/>
      <c r="J7" s="113"/>
      <c r="K7" s="113"/>
      <c r="L7" s="113"/>
      <c r="M7" s="113"/>
      <c r="N7" s="113"/>
      <c r="O7" s="113"/>
      <c r="R7" s="113"/>
      <c r="S7" s="113"/>
      <c r="T7" s="146"/>
      <c r="U7" s="146"/>
    </row>
    <row r="8" spans="1:25" s="2" customFormat="1" x14ac:dyDescent="0.2">
      <c r="A8" s="99"/>
      <c r="B8" s="99"/>
      <c r="C8" s="99"/>
      <c r="D8" s="99"/>
      <c r="E8" s="99"/>
      <c r="F8" s="99"/>
      <c r="G8" s="99"/>
      <c r="H8" s="99"/>
      <c r="I8" s="113"/>
      <c r="J8" s="113"/>
      <c r="K8" s="113"/>
      <c r="L8" s="113"/>
      <c r="M8" s="113"/>
      <c r="N8" s="113"/>
      <c r="O8" s="113"/>
      <c r="R8" s="113"/>
      <c r="S8" s="113"/>
      <c r="T8" s="146"/>
      <c r="U8" s="146"/>
    </row>
    <row r="9" spans="1:25" s="2" customFormat="1" x14ac:dyDescent="0.2">
      <c r="A9" s="113"/>
      <c r="B9" s="99"/>
      <c r="C9" s="99"/>
      <c r="D9" s="99"/>
      <c r="E9" s="99"/>
      <c r="F9" s="99"/>
      <c r="G9" s="99"/>
      <c r="H9" s="99"/>
      <c r="I9" s="113"/>
      <c r="J9" s="113"/>
      <c r="K9" s="113"/>
      <c r="L9" s="113"/>
      <c r="M9" s="113"/>
      <c r="N9" s="113"/>
      <c r="O9" s="113"/>
      <c r="R9" s="113"/>
      <c r="S9" s="113"/>
      <c r="T9" s="146"/>
      <c r="U9" s="146"/>
    </row>
    <row r="10" spans="1:25" x14ac:dyDescent="0.2">
      <c r="A10" s="102"/>
      <c r="B10" s="97"/>
      <c r="C10" s="97"/>
      <c r="D10" s="97"/>
      <c r="E10" s="97"/>
      <c r="F10" s="97"/>
      <c r="G10" s="97"/>
      <c r="H10" s="97"/>
      <c r="I10" s="113"/>
      <c r="J10" s="113"/>
      <c r="K10" s="113"/>
      <c r="L10" s="113"/>
      <c r="M10" s="113"/>
      <c r="N10" s="113"/>
      <c r="O10" s="113"/>
      <c r="R10" s="113"/>
      <c r="S10" s="113"/>
      <c r="T10" s="146"/>
      <c r="U10" s="146"/>
    </row>
    <row r="11" spans="1:25" x14ac:dyDescent="0.2">
      <c r="A11" s="97"/>
      <c r="B11" s="97"/>
      <c r="C11" s="97"/>
      <c r="D11" s="97"/>
      <c r="E11" s="97"/>
      <c r="F11" s="97"/>
      <c r="G11" s="97"/>
      <c r="H11" s="97"/>
      <c r="I11" s="113"/>
      <c r="J11" s="113"/>
      <c r="K11" s="113"/>
      <c r="L11" s="113"/>
      <c r="M11" s="113"/>
      <c r="N11" s="113"/>
      <c r="O11" s="113"/>
      <c r="R11" s="113"/>
      <c r="S11" s="113"/>
      <c r="T11" s="146"/>
      <c r="U11" s="146"/>
    </row>
    <row r="12" spans="1:25" x14ac:dyDescent="0.2">
      <c r="A12" s="97"/>
      <c r="B12" s="97"/>
      <c r="C12" s="97"/>
      <c r="D12" s="97"/>
      <c r="E12" s="97"/>
      <c r="F12" s="97"/>
      <c r="G12" s="97"/>
      <c r="H12" s="97"/>
      <c r="I12" s="113"/>
      <c r="J12" s="113"/>
      <c r="K12" s="113"/>
      <c r="L12" s="113"/>
      <c r="M12" s="113"/>
      <c r="N12" s="113"/>
      <c r="O12" s="113"/>
      <c r="R12" s="113"/>
      <c r="S12" s="113"/>
      <c r="T12" s="146"/>
      <c r="U12" s="146"/>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
        <v>540</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12</v>
      </c>
      <c r="N16" s="104" t="s">
        <v>1058</v>
      </c>
      <c r="O16" s="104" t="s">
        <v>100</v>
      </c>
      <c r="P16" s="6" t="s">
        <v>105</v>
      </c>
      <c r="Q16" s="6" t="s">
        <v>106</v>
      </c>
      <c r="R16" s="104" t="s">
        <v>1051</v>
      </c>
      <c r="S16" s="104" t="s">
        <v>1052</v>
      </c>
      <c r="T16" s="147" t="s">
        <v>80</v>
      </c>
      <c r="U16" s="147" t="s">
        <v>81</v>
      </c>
      <c r="V16" s="5" t="s">
        <v>101</v>
      </c>
      <c r="W16" s="5" t="s">
        <v>102</v>
      </c>
      <c r="X16" s="112" t="s">
        <v>103</v>
      </c>
      <c r="Y16" s="112" t="s">
        <v>104</v>
      </c>
    </row>
    <row r="17" spans="1:25" x14ac:dyDescent="0.2">
      <c r="A17" s="213" t="str">
        <f>A42</f>
        <v>NMi VSL</v>
      </c>
      <c r="B17" s="213" t="str">
        <f t="shared" ref="B17:C17" si="0">B42</f>
        <v>D240036</v>
      </c>
      <c r="C17" s="213">
        <f t="shared" si="0"/>
        <v>364.3</v>
      </c>
      <c r="D17" s="214">
        <f>F42</f>
        <v>0.2</v>
      </c>
      <c r="E17" s="214">
        <f>G42</f>
        <v>364.13</v>
      </c>
      <c r="F17" s="214">
        <f>H42/I42</f>
        <v>0.18</v>
      </c>
      <c r="G17" s="214">
        <f>J42</f>
        <v>-0.17</v>
      </c>
      <c r="H17" s="214">
        <f>L42</f>
        <v>0.54</v>
      </c>
      <c r="I17" s="155">
        <f t="shared" ref="I17:I35" si="1">IF(ABS(G17)&gt;ABS(H17), 1, 0)</f>
        <v>0</v>
      </c>
      <c r="J17" s="155">
        <f t="shared" ref="J17:J35" si="2">I17*ABS(C17-E17)</f>
        <v>0</v>
      </c>
      <c r="K17" s="155">
        <f t="shared" ref="K17:K35" si="3">SQRT(SUMSQ(F17,J17))*2</f>
        <v>0.36</v>
      </c>
      <c r="L17" s="155">
        <f t="shared" ref="L17:L35" si="4">IF(C17&lt;$K$2, C17, $K$1)</f>
        <v>10</v>
      </c>
      <c r="M17" s="156">
        <f t="shared" ref="M17:M35" si="5">IF(AND(C17&lt;$K$1,C17&gt; $K$2), K17/L17*100, K17/C17*100)</f>
        <v>9.8819654131210535E-2</v>
      </c>
      <c r="N17" s="157">
        <f t="shared" ref="N17" si="6">M17*L17/100</f>
        <v>9.8819654131210525E-3</v>
      </c>
      <c r="O17" s="155">
        <f t="shared" ref="O17" si="7">N17/(M17*L17/100)*100</f>
        <v>100</v>
      </c>
      <c r="P17" s="250">
        <v>1</v>
      </c>
      <c r="Q17" s="250">
        <v>1000</v>
      </c>
      <c r="R17" s="148">
        <f>IF( IF(P17&lt;L17, M17*L17/P17, M17)&gt;100, "ERROR",  IF(P17&lt;L17, M17*L17/P17, M17))</f>
        <v>0.98819654131210533</v>
      </c>
      <c r="S17" s="148">
        <f>IF(IF(Q17&lt;L17, M17*L17/Q17, M17)&gt;100, "ERROR", IF(Q17&lt;L17, M17*L17/Q17, M17))</f>
        <v>9.8819654131210535E-2</v>
      </c>
      <c r="T17" s="148">
        <f>R17*P17*0.01</f>
        <v>9.8819654131210542E-3</v>
      </c>
      <c r="U17" s="148">
        <f>S17*Q17*0.01</f>
        <v>0.98819654131210544</v>
      </c>
      <c r="V17" s="7">
        <f>P17*1000</f>
        <v>1000</v>
      </c>
      <c r="W17" s="7">
        <f>Q17*1000</f>
        <v>1000000</v>
      </c>
      <c r="X17" s="1345">
        <f>T17*1000</f>
        <v>9.8819654131210548</v>
      </c>
      <c r="Y17" s="1345">
        <f>U17*1000</f>
        <v>988.19654131210541</v>
      </c>
    </row>
    <row r="18" spans="1:25" x14ac:dyDescent="0.2">
      <c r="A18" s="213" t="str">
        <f t="shared" ref="A18:C18" si="8">A43</f>
        <v>Inmetro</v>
      </c>
      <c r="B18" s="213" t="str">
        <f t="shared" si="8"/>
        <v>D752038</v>
      </c>
      <c r="C18" s="213">
        <f t="shared" si="8"/>
        <v>363.18</v>
      </c>
      <c r="D18" s="214">
        <f t="shared" ref="D18:E18" si="9">F43</f>
        <v>0.2</v>
      </c>
      <c r="E18" s="214">
        <f t="shared" si="9"/>
        <v>364</v>
      </c>
      <c r="F18" s="214">
        <f t="shared" ref="F18:F31" si="10">H43/I43</f>
        <v>1.8</v>
      </c>
      <c r="G18" s="214">
        <f t="shared" ref="G18:G31" si="11">J43</f>
        <v>0.82</v>
      </c>
      <c r="H18" s="214">
        <f t="shared" ref="H18:H31" si="12">L43</f>
        <v>3.6</v>
      </c>
      <c r="I18" s="155">
        <f t="shared" si="1"/>
        <v>0</v>
      </c>
      <c r="J18" s="155">
        <f t="shared" si="2"/>
        <v>0</v>
      </c>
      <c r="K18" s="155">
        <f t="shared" si="3"/>
        <v>3.6</v>
      </c>
      <c r="L18" s="155">
        <f t="shared" si="4"/>
        <v>10</v>
      </c>
      <c r="M18" s="156">
        <f t="shared" si="5"/>
        <v>0.99124401123409889</v>
      </c>
      <c r="N18" s="157">
        <f t="shared" ref="N18:N35" si="13">M18*L18/100</f>
        <v>9.912440112340988E-2</v>
      </c>
      <c r="O18" s="155">
        <f t="shared" ref="O18:O35" si="14">N18/(M18*L18/100)*100</f>
        <v>100</v>
      </c>
      <c r="P18" s="250">
        <v>1</v>
      </c>
      <c r="Q18" s="250">
        <v>1000</v>
      </c>
      <c r="R18" s="148">
        <f t="shared" ref="R18:R36" si="15">IF( IF(P18&lt;L18, M18*L18/P18, M18)&gt;100, "ERROR",  IF(P18&lt;L18, M18*L18/P18, M18))</f>
        <v>9.9124401123409882</v>
      </c>
      <c r="S18" s="148">
        <f t="shared" ref="S18:S36" si="16">IF(IF(Q18&lt;L18, M18*L18/Q18, M18)&gt;100, "ERROR", IF(Q18&lt;L18, M18*L18/Q18, M18))</f>
        <v>0.99124401123409889</v>
      </c>
      <c r="T18" s="148">
        <f t="shared" ref="T18:U33" si="17">R18*P18*0.01</f>
        <v>9.912440112340988E-2</v>
      </c>
      <c r="U18" s="148">
        <f t="shared" si="17"/>
        <v>9.91244011234099</v>
      </c>
      <c r="V18" s="7">
        <f t="shared" ref="V18:W33" si="18">P18*1000</f>
        <v>1000</v>
      </c>
      <c r="W18" s="7">
        <f t="shared" si="18"/>
        <v>1000000</v>
      </c>
      <c r="X18" s="1345">
        <f t="shared" ref="X18:Y33" si="19">T18*1000</f>
        <v>99.124401123409882</v>
      </c>
      <c r="Y18" s="1345">
        <f t="shared" si="19"/>
        <v>9912.4401123409898</v>
      </c>
    </row>
    <row r="19" spans="1:25" x14ac:dyDescent="0.2">
      <c r="A19" s="213" t="str">
        <f t="shared" ref="A19:C19" si="20">A44</f>
        <v>NMIA</v>
      </c>
      <c r="B19" s="213" t="str">
        <f t="shared" si="20"/>
        <v>D751922</v>
      </c>
      <c r="C19" s="213">
        <f t="shared" si="20"/>
        <v>363.31</v>
      </c>
      <c r="D19" s="214">
        <f t="shared" ref="D19:E19" si="21">F44</f>
        <v>0.2</v>
      </c>
      <c r="E19" s="214">
        <f t="shared" si="21"/>
        <v>363.09</v>
      </c>
      <c r="F19" s="214">
        <f t="shared" si="10"/>
        <v>0.32110091743119262</v>
      </c>
      <c r="G19" s="214">
        <f t="shared" si="11"/>
        <v>-0.22</v>
      </c>
      <c r="H19" s="214">
        <f t="shared" si="12"/>
        <v>0.75</v>
      </c>
      <c r="I19" s="155">
        <f t="shared" si="1"/>
        <v>0</v>
      </c>
      <c r="J19" s="155">
        <f t="shared" si="2"/>
        <v>0</v>
      </c>
      <c r="K19" s="155">
        <f t="shared" si="3"/>
        <v>0.64220183486238525</v>
      </c>
      <c r="L19" s="155">
        <f t="shared" si="4"/>
        <v>10</v>
      </c>
      <c r="M19" s="156">
        <f t="shared" si="5"/>
        <v>0.17676415041215085</v>
      </c>
      <c r="N19" s="157">
        <f t="shared" si="13"/>
        <v>1.7676415041215084E-2</v>
      </c>
      <c r="O19" s="155">
        <f t="shared" si="14"/>
        <v>100</v>
      </c>
      <c r="P19" s="250">
        <v>1</v>
      </c>
      <c r="Q19" s="250">
        <v>1000</v>
      </c>
      <c r="R19" s="148">
        <f t="shared" si="15"/>
        <v>1.7676415041215086</v>
      </c>
      <c r="S19" s="148">
        <f t="shared" si="16"/>
        <v>0.17676415041215085</v>
      </c>
      <c r="T19" s="148">
        <f t="shared" si="17"/>
        <v>1.7676415041215084E-2</v>
      </c>
      <c r="U19" s="148">
        <f t="shared" si="17"/>
        <v>1.7676415041215086</v>
      </c>
      <c r="V19" s="7">
        <f t="shared" si="18"/>
        <v>1000</v>
      </c>
      <c r="W19" s="7">
        <f t="shared" si="18"/>
        <v>1000000</v>
      </c>
      <c r="X19" s="1345">
        <f t="shared" si="19"/>
        <v>17.676415041215083</v>
      </c>
      <c r="Y19" s="1345">
        <f t="shared" si="19"/>
        <v>1767.6415041215087</v>
      </c>
    </row>
    <row r="20" spans="1:25" x14ac:dyDescent="0.2">
      <c r="A20" s="213" t="str">
        <f t="shared" ref="A20:C20" si="22">A45</f>
        <v>CEM</v>
      </c>
      <c r="B20" s="213" t="str">
        <f t="shared" si="22"/>
        <v>D751928</v>
      </c>
      <c r="C20" s="213">
        <f t="shared" si="22"/>
        <v>363.67</v>
      </c>
      <c r="D20" s="214">
        <f t="shared" ref="D20:E20" si="23">F45</f>
        <v>0.2</v>
      </c>
      <c r="E20" s="214">
        <f t="shared" si="23"/>
        <v>363.38</v>
      </c>
      <c r="F20" s="214">
        <f t="shared" si="10"/>
        <v>0.36499999999999999</v>
      </c>
      <c r="G20" s="214">
        <f t="shared" si="11"/>
        <v>-0.28999999999999998</v>
      </c>
      <c r="H20" s="214">
        <f t="shared" si="12"/>
        <v>0.8</v>
      </c>
      <c r="I20" s="155">
        <f t="shared" si="1"/>
        <v>0</v>
      </c>
      <c r="J20" s="155">
        <f t="shared" si="2"/>
        <v>0</v>
      </c>
      <c r="K20" s="155">
        <f t="shared" si="3"/>
        <v>0.73</v>
      </c>
      <c r="L20" s="155">
        <f t="shared" si="4"/>
        <v>10</v>
      </c>
      <c r="M20" s="156">
        <f t="shared" si="5"/>
        <v>0.20073143234250831</v>
      </c>
      <c r="N20" s="157">
        <f t="shared" si="13"/>
        <v>2.0073143234250832E-2</v>
      </c>
      <c r="O20" s="155">
        <f t="shared" si="14"/>
        <v>100</v>
      </c>
      <c r="P20" s="250">
        <v>1</v>
      </c>
      <c r="Q20" s="250">
        <v>1000</v>
      </c>
      <c r="R20" s="148">
        <f t="shared" si="15"/>
        <v>2.0073143234250832</v>
      </c>
      <c r="S20" s="148">
        <f t="shared" si="16"/>
        <v>0.20073143234250831</v>
      </c>
      <c r="T20" s="148">
        <f t="shared" si="17"/>
        <v>2.0073143234250832E-2</v>
      </c>
      <c r="U20" s="148">
        <f t="shared" si="17"/>
        <v>2.0073143234250832</v>
      </c>
      <c r="V20" s="7">
        <f t="shared" si="18"/>
        <v>1000</v>
      </c>
      <c r="W20" s="7">
        <f t="shared" si="18"/>
        <v>1000000</v>
      </c>
      <c r="X20" s="1345">
        <f t="shared" si="19"/>
        <v>20.073143234250832</v>
      </c>
      <c r="Y20" s="1345">
        <f t="shared" si="19"/>
        <v>2007.3143234250831</v>
      </c>
    </row>
    <row r="21" spans="1:25" x14ac:dyDescent="0.2">
      <c r="A21" s="213" t="str">
        <f t="shared" ref="A21:C21" si="24">A46</f>
        <v>NPL</v>
      </c>
      <c r="B21" s="213" t="str">
        <f t="shared" si="24"/>
        <v>D751947</v>
      </c>
      <c r="C21" s="213">
        <f t="shared" si="24"/>
        <v>364.15</v>
      </c>
      <c r="D21" s="214">
        <f t="shared" ref="D21:E21" si="25">F46</f>
        <v>0.2</v>
      </c>
      <c r="E21" s="214">
        <f t="shared" si="25"/>
        <v>364.36</v>
      </c>
      <c r="F21" s="214">
        <f t="shared" si="10"/>
        <v>0.22</v>
      </c>
      <c r="G21" s="214">
        <f t="shared" si="11"/>
        <v>0.21</v>
      </c>
      <c r="H21" s="214">
        <f t="shared" si="12"/>
        <v>0.59</v>
      </c>
      <c r="I21" s="155">
        <f t="shared" si="1"/>
        <v>0</v>
      </c>
      <c r="J21" s="155">
        <f t="shared" si="2"/>
        <v>0</v>
      </c>
      <c r="K21" s="155">
        <f t="shared" si="3"/>
        <v>0.44</v>
      </c>
      <c r="L21" s="155">
        <f t="shared" si="4"/>
        <v>10</v>
      </c>
      <c r="M21" s="156">
        <f t="shared" si="5"/>
        <v>0.1208293285733901</v>
      </c>
      <c r="N21" s="157">
        <f t="shared" si="13"/>
        <v>1.208293285733901E-2</v>
      </c>
      <c r="O21" s="155">
        <f t="shared" si="14"/>
        <v>100</v>
      </c>
      <c r="P21" s="250">
        <v>1</v>
      </c>
      <c r="Q21" s="250">
        <v>1000</v>
      </c>
      <c r="R21" s="148">
        <f t="shared" si="15"/>
        <v>1.208293285733901</v>
      </c>
      <c r="S21" s="148">
        <f t="shared" si="16"/>
        <v>0.1208293285733901</v>
      </c>
      <c r="T21" s="148">
        <f t="shared" si="17"/>
        <v>1.208293285733901E-2</v>
      </c>
      <c r="U21" s="148">
        <f t="shared" si="17"/>
        <v>1.208293285733901</v>
      </c>
      <c r="V21" s="7">
        <f t="shared" si="18"/>
        <v>1000</v>
      </c>
      <c r="W21" s="7">
        <f t="shared" si="18"/>
        <v>1000000</v>
      </c>
      <c r="X21" s="1345">
        <f t="shared" si="19"/>
        <v>12.08293285733901</v>
      </c>
      <c r="Y21" s="1345">
        <f t="shared" si="19"/>
        <v>1208.293285733901</v>
      </c>
    </row>
    <row r="22" spans="1:25" x14ac:dyDescent="0.2">
      <c r="A22" s="213" t="str">
        <f t="shared" ref="A22:C22" si="26">A47</f>
        <v>SMU</v>
      </c>
      <c r="B22" s="213" t="str">
        <f t="shared" si="26"/>
        <v>D751961</v>
      </c>
      <c r="C22" s="213">
        <f t="shared" si="26"/>
        <v>363.86</v>
      </c>
      <c r="D22" s="214">
        <f t="shared" ref="D22:E22" si="27">F47</f>
        <v>0.2</v>
      </c>
      <c r="E22" s="214">
        <f t="shared" si="27"/>
        <v>364.6</v>
      </c>
      <c r="F22" s="214">
        <f t="shared" si="10"/>
        <v>0.6</v>
      </c>
      <c r="G22" s="214">
        <f t="shared" si="11"/>
        <v>0.74</v>
      </c>
      <c r="H22" s="214">
        <f t="shared" si="12"/>
        <v>1.3</v>
      </c>
      <c r="I22" s="155">
        <f t="shared" si="1"/>
        <v>0</v>
      </c>
      <c r="J22" s="155">
        <f t="shared" si="2"/>
        <v>0</v>
      </c>
      <c r="K22" s="155">
        <f t="shared" si="3"/>
        <v>1.2</v>
      </c>
      <c r="L22" s="155">
        <f t="shared" si="4"/>
        <v>10</v>
      </c>
      <c r="M22" s="156">
        <f t="shared" si="5"/>
        <v>0.32979717473753639</v>
      </c>
      <c r="N22" s="157">
        <f t="shared" si="13"/>
        <v>3.2979717473753639E-2</v>
      </c>
      <c r="O22" s="155">
        <f t="shared" si="14"/>
        <v>100</v>
      </c>
      <c r="P22" s="250">
        <v>1</v>
      </c>
      <c r="Q22" s="250">
        <v>1000</v>
      </c>
      <c r="R22" s="148">
        <f t="shared" si="15"/>
        <v>3.2979717473753638</v>
      </c>
      <c r="S22" s="148">
        <f t="shared" si="16"/>
        <v>0.32979717473753639</v>
      </c>
      <c r="T22" s="148">
        <f t="shared" si="17"/>
        <v>3.2979717473753639E-2</v>
      </c>
      <c r="U22" s="148">
        <f t="shared" si="17"/>
        <v>3.2979717473753642</v>
      </c>
      <c r="V22" s="7">
        <f t="shared" si="18"/>
        <v>1000</v>
      </c>
      <c r="W22" s="7">
        <f t="shared" si="18"/>
        <v>1000000</v>
      </c>
      <c r="X22" s="1345">
        <f t="shared" si="19"/>
        <v>32.979717473753638</v>
      </c>
      <c r="Y22" s="1345">
        <f t="shared" si="19"/>
        <v>3297.9717473753644</v>
      </c>
    </row>
    <row r="23" spans="1:25" x14ac:dyDescent="0.2">
      <c r="A23" s="213" t="str">
        <f t="shared" ref="A23:C23" si="28">A48</f>
        <v>NMIJ</v>
      </c>
      <c r="B23" s="213" t="str">
        <f t="shared" si="28"/>
        <v>D751944</v>
      </c>
      <c r="C23" s="213">
        <f t="shared" si="28"/>
        <v>363.88</v>
      </c>
      <c r="D23" s="214">
        <f t="shared" ref="D23:E23" si="29">F48</f>
        <v>0.2</v>
      </c>
      <c r="E23" s="214">
        <f t="shared" si="29"/>
        <v>364.08</v>
      </c>
      <c r="F23" s="214">
        <f t="shared" si="10"/>
        <v>0.24</v>
      </c>
      <c r="G23" s="214">
        <f t="shared" si="11"/>
        <v>0.2</v>
      </c>
      <c r="H23" s="214">
        <f t="shared" si="12"/>
        <v>0.62</v>
      </c>
      <c r="I23" s="155">
        <f t="shared" si="1"/>
        <v>0</v>
      </c>
      <c r="J23" s="155">
        <f t="shared" si="2"/>
        <v>0</v>
      </c>
      <c r="K23" s="155">
        <f t="shared" si="3"/>
        <v>0.48</v>
      </c>
      <c r="L23" s="155">
        <f t="shared" si="4"/>
        <v>10</v>
      </c>
      <c r="M23" s="156">
        <f t="shared" si="5"/>
        <v>0.13191161921512587</v>
      </c>
      <c r="N23" s="157">
        <f t="shared" si="13"/>
        <v>1.3191161921512587E-2</v>
      </c>
      <c r="O23" s="155">
        <f t="shared" si="14"/>
        <v>100</v>
      </c>
      <c r="P23" s="250">
        <v>1</v>
      </c>
      <c r="Q23" s="250">
        <v>1000</v>
      </c>
      <c r="R23" s="148">
        <f t="shared" si="15"/>
        <v>1.3191161921512586</v>
      </c>
      <c r="S23" s="148">
        <f t="shared" si="16"/>
        <v>0.13191161921512587</v>
      </c>
      <c r="T23" s="148">
        <f t="shared" si="17"/>
        <v>1.3191161921512587E-2</v>
      </c>
      <c r="U23" s="148">
        <f t="shared" si="17"/>
        <v>1.3191161921512589</v>
      </c>
      <c r="V23" s="7">
        <f t="shared" si="18"/>
        <v>1000</v>
      </c>
      <c r="W23" s="7">
        <f t="shared" si="18"/>
        <v>1000000</v>
      </c>
      <c r="X23" s="1345">
        <f t="shared" si="19"/>
        <v>13.191161921512586</v>
      </c>
      <c r="Y23" s="1345">
        <f t="shared" si="19"/>
        <v>1319.1161921512589</v>
      </c>
    </row>
    <row r="24" spans="1:25" x14ac:dyDescent="0.2">
      <c r="A24" s="213" t="str">
        <f t="shared" ref="A24:C24" si="30">A49</f>
        <v>CERI</v>
      </c>
      <c r="B24" s="213" t="str">
        <f t="shared" si="30"/>
        <v>D751923</v>
      </c>
      <c r="C24" s="213">
        <f t="shared" si="30"/>
        <v>363.89</v>
      </c>
      <c r="D24" s="214">
        <f t="shared" ref="D24:E24" si="31">F49</f>
        <v>0.2</v>
      </c>
      <c r="E24" s="214">
        <f t="shared" si="31"/>
        <v>363.42</v>
      </c>
      <c r="F24" s="214">
        <f t="shared" si="10"/>
        <v>0.30499999999999999</v>
      </c>
      <c r="G24" s="214">
        <f t="shared" si="11"/>
        <v>-0.47</v>
      </c>
      <c r="H24" s="214">
        <f t="shared" si="12"/>
        <v>0.73</v>
      </c>
      <c r="I24" s="155">
        <f t="shared" si="1"/>
        <v>0</v>
      </c>
      <c r="J24" s="155">
        <f t="shared" si="2"/>
        <v>0</v>
      </c>
      <c r="K24" s="155">
        <f t="shared" si="3"/>
        <v>0.61</v>
      </c>
      <c r="L24" s="155">
        <f t="shared" si="4"/>
        <v>10</v>
      </c>
      <c r="M24" s="156">
        <f t="shared" si="5"/>
        <v>0.16763307592953916</v>
      </c>
      <c r="N24" s="157">
        <f t="shared" si="13"/>
        <v>1.6763307592953917E-2</v>
      </c>
      <c r="O24" s="155">
        <f t="shared" si="14"/>
        <v>100</v>
      </c>
      <c r="P24" s="250">
        <v>1</v>
      </c>
      <c r="Q24" s="250">
        <v>1000</v>
      </c>
      <c r="R24" s="148">
        <f t="shared" si="15"/>
        <v>1.6763307592953915</v>
      </c>
      <c r="S24" s="148">
        <f t="shared" si="16"/>
        <v>0.16763307592953916</v>
      </c>
      <c r="T24" s="148">
        <f t="shared" si="17"/>
        <v>1.6763307592953917E-2</v>
      </c>
      <c r="U24" s="148">
        <f t="shared" si="17"/>
        <v>1.6763307592953915</v>
      </c>
      <c r="V24" s="7">
        <f t="shared" si="18"/>
        <v>1000</v>
      </c>
      <c r="W24" s="7">
        <f t="shared" si="18"/>
        <v>1000000</v>
      </c>
      <c r="X24" s="1345">
        <f t="shared" si="19"/>
        <v>16.763307592953918</v>
      </c>
      <c r="Y24" s="1345">
        <f t="shared" si="19"/>
        <v>1676.3307592953915</v>
      </c>
    </row>
    <row r="25" spans="1:25" x14ac:dyDescent="0.2">
      <c r="A25" s="213" t="str">
        <f t="shared" ref="A25:C25" si="32">A50</f>
        <v>CENAM6</v>
      </c>
      <c r="B25" s="213" t="str">
        <f t="shared" si="32"/>
        <v>D751924</v>
      </c>
      <c r="C25" s="213">
        <f t="shared" si="32"/>
        <v>363.91</v>
      </c>
      <c r="D25" s="214">
        <f t="shared" ref="D25:E25" si="33">F50</f>
        <v>0.2</v>
      </c>
      <c r="E25" s="214">
        <f t="shared" si="33"/>
        <v>361.6</v>
      </c>
      <c r="F25" s="214">
        <f t="shared" si="10"/>
        <v>1.1000000000000001</v>
      </c>
      <c r="G25" s="214">
        <f t="shared" si="11"/>
        <v>-2.31</v>
      </c>
      <c r="H25" s="214">
        <f t="shared" si="12"/>
        <v>2.2000000000000002</v>
      </c>
      <c r="I25" s="155">
        <f t="shared" si="1"/>
        <v>1</v>
      </c>
      <c r="J25" s="155">
        <f t="shared" si="2"/>
        <v>2.3100000000000023</v>
      </c>
      <c r="K25" s="155">
        <f t="shared" si="3"/>
        <v>5.1170694738297273</v>
      </c>
      <c r="L25" s="155">
        <f t="shared" si="4"/>
        <v>10</v>
      </c>
      <c r="M25" s="156">
        <f t="shared" si="5"/>
        <v>1.4061359879722257</v>
      </c>
      <c r="N25" s="157">
        <f t="shared" si="13"/>
        <v>0.14061359879722257</v>
      </c>
      <c r="O25" s="155">
        <f t="shared" si="14"/>
        <v>100</v>
      </c>
      <c r="P25" s="250">
        <v>1</v>
      </c>
      <c r="Q25" s="250">
        <v>1000</v>
      </c>
      <c r="R25" s="148">
        <f t="shared" si="15"/>
        <v>14.061359879722257</v>
      </c>
      <c r="S25" s="148">
        <f t="shared" si="16"/>
        <v>1.4061359879722257</v>
      </c>
      <c r="T25" s="148">
        <f t="shared" si="17"/>
        <v>0.14061359879722257</v>
      </c>
      <c r="U25" s="148">
        <f t="shared" si="17"/>
        <v>14.061359879722257</v>
      </c>
      <c r="V25" s="7">
        <f t="shared" si="18"/>
        <v>1000</v>
      </c>
      <c r="W25" s="7">
        <f t="shared" si="18"/>
        <v>1000000</v>
      </c>
      <c r="X25" s="1345">
        <f t="shared" si="19"/>
        <v>140.61359879722258</v>
      </c>
      <c r="Y25" s="1345">
        <f t="shared" si="19"/>
        <v>14061.359879722257</v>
      </c>
    </row>
    <row r="26" spans="1:25" x14ac:dyDescent="0.2">
      <c r="A26" s="213" t="str">
        <f t="shared" ref="A26:C26" si="34">A51</f>
        <v>NMI-SA</v>
      </c>
      <c r="B26" s="213" t="str">
        <f t="shared" si="34"/>
        <v>D751918</v>
      </c>
      <c r="C26" s="213">
        <f t="shared" si="34"/>
        <v>364</v>
      </c>
      <c r="D26" s="214">
        <f t="shared" ref="D26:E26" si="35">F51</f>
        <v>0.2</v>
      </c>
      <c r="E26" s="214">
        <f t="shared" si="35"/>
        <v>364.9</v>
      </c>
      <c r="F26" s="214">
        <f t="shared" si="10"/>
        <v>1.9415</v>
      </c>
      <c r="G26" s="214">
        <f t="shared" si="11"/>
        <v>0.9</v>
      </c>
      <c r="H26" s="214">
        <f t="shared" si="12"/>
        <v>3.9</v>
      </c>
      <c r="I26" s="155">
        <f t="shared" si="1"/>
        <v>0</v>
      </c>
      <c r="J26" s="155">
        <f t="shared" si="2"/>
        <v>0</v>
      </c>
      <c r="K26" s="155">
        <f t="shared" si="3"/>
        <v>3.883</v>
      </c>
      <c r="L26" s="155">
        <f t="shared" si="4"/>
        <v>10</v>
      </c>
      <c r="M26" s="156">
        <f t="shared" si="5"/>
        <v>1.0667582417582417</v>
      </c>
      <c r="N26" s="157">
        <f t="shared" si="13"/>
        <v>0.10667582417582418</v>
      </c>
      <c r="O26" s="155">
        <f t="shared" si="14"/>
        <v>100</v>
      </c>
      <c r="P26" s="250">
        <v>1</v>
      </c>
      <c r="Q26" s="250">
        <v>1000</v>
      </c>
      <c r="R26" s="148">
        <f t="shared" si="15"/>
        <v>10.667582417582418</v>
      </c>
      <c r="S26" s="148">
        <f t="shared" si="16"/>
        <v>1.0667582417582417</v>
      </c>
      <c r="T26" s="148">
        <f t="shared" si="17"/>
        <v>0.10667582417582418</v>
      </c>
      <c r="U26" s="148">
        <f t="shared" si="17"/>
        <v>10.667582417582416</v>
      </c>
      <c r="V26" s="7">
        <f t="shared" si="18"/>
        <v>1000</v>
      </c>
      <c r="W26" s="7">
        <f t="shared" si="18"/>
        <v>1000000</v>
      </c>
      <c r="X26" s="1345">
        <f t="shared" si="19"/>
        <v>106.67582417582418</v>
      </c>
      <c r="Y26" s="1345">
        <f t="shared" si="19"/>
        <v>10667.582417582416</v>
      </c>
    </row>
    <row r="27" spans="1:25" x14ac:dyDescent="0.2">
      <c r="A27" s="213" t="str">
        <f t="shared" ref="A27:C27" si="36">A52</f>
        <v>NIST</v>
      </c>
      <c r="B27" s="213" t="str">
        <f t="shared" si="36"/>
        <v>D751954</v>
      </c>
      <c r="C27" s="213">
        <f t="shared" si="36"/>
        <v>364.03</v>
      </c>
      <c r="D27" s="214">
        <f t="shared" ref="D27:E27" si="37">F52</f>
        <v>0.2</v>
      </c>
      <c r="E27" s="214">
        <f t="shared" si="37"/>
        <v>363.72</v>
      </c>
      <c r="F27" s="214">
        <f t="shared" si="10"/>
        <v>0.17</v>
      </c>
      <c r="G27" s="214">
        <f t="shared" si="11"/>
        <v>-0.31</v>
      </c>
      <c r="H27" s="214">
        <f t="shared" si="12"/>
        <v>0.52</v>
      </c>
      <c r="I27" s="155">
        <f t="shared" si="1"/>
        <v>0</v>
      </c>
      <c r="J27" s="155">
        <f t="shared" si="2"/>
        <v>0</v>
      </c>
      <c r="K27" s="155">
        <f t="shared" si="3"/>
        <v>0.34</v>
      </c>
      <c r="L27" s="155">
        <f t="shared" si="4"/>
        <v>10</v>
      </c>
      <c r="M27" s="156">
        <f t="shared" si="5"/>
        <v>9.3398895695409725E-2</v>
      </c>
      <c r="N27" s="157">
        <f t="shared" si="13"/>
        <v>9.3398895695409722E-3</v>
      </c>
      <c r="O27" s="155">
        <f t="shared" si="14"/>
        <v>100</v>
      </c>
      <c r="P27" s="250">
        <v>1</v>
      </c>
      <c r="Q27" s="250">
        <v>1000</v>
      </c>
      <c r="R27" s="148">
        <f t="shared" si="15"/>
        <v>0.93398895695409723</v>
      </c>
      <c r="S27" s="148">
        <f t="shared" si="16"/>
        <v>9.3398895695409725E-2</v>
      </c>
      <c r="T27" s="148">
        <f t="shared" si="17"/>
        <v>9.3398895695409722E-3</v>
      </c>
      <c r="U27" s="148">
        <f t="shared" si="17"/>
        <v>0.93398895695409723</v>
      </c>
      <c r="V27" s="7">
        <f t="shared" si="18"/>
        <v>1000</v>
      </c>
      <c r="W27" s="7">
        <f t="shared" si="18"/>
        <v>1000000</v>
      </c>
      <c r="X27" s="1345">
        <f t="shared" si="19"/>
        <v>9.339889569540972</v>
      </c>
      <c r="Y27" s="1345">
        <f t="shared" si="19"/>
        <v>933.98895695409726</v>
      </c>
    </row>
    <row r="28" spans="1:25" x14ac:dyDescent="0.2">
      <c r="A28" s="213" t="str">
        <f t="shared" ref="A28:C28" si="38">A53</f>
        <v>INRiM</v>
      </c>
      <c r="B28" s="213" t="str">
        <f t="shared" si="38"/>
        <v>D751935</v>
      </c>
      <c r="C28" s="213">
        <f t="shared" si="38"/>
        <v>364.05</v>
      </c>
      <c r="D28" s="214">
        <f t="shared" ref="D28:E28" si="39">F53</f>
        <v>0.2</v>
      </c>
      <c r="E28" s="214">
        <f t="shared" si="39"/>
        <v>364.62</v>
      </c>
      <c r="F28" s="214">
        <f t="shared" si="10"/>
        <v>0.45</v>
      </c>
      <c r="G28" s="214">
        <f t="shared" si="11"/>
        <v>0.56999999999999995</v>
      </c>
      <c r="H28" s="214">
        <f t="shared" si="12"/>
        <v>1</v>
      </c>
      <c r="I28" s="155">
        <f t="shared" si="1"/>
        <v>0</v>
      </c>
      <c r="J28" s="155">
        <f t="shared" si="2"/>
        <v>0</v>
      </c>
      <c r="K28" s="155">
        <f t="shared" si="3"/>
        <v>0.9</v>
      </c>
      <c r="L28" s="155">
        <f t="shared" si="4"/>
        <v>10</v>
      </c>
      <c r="M28" s="156">
        <f t="shared" si="5"/>
        <v>0.2472187886279357</v>
      </c>
      <c r="N28" s="157">
        <f t="shared" si="13"/>
        <v>2.4721878862793568E-2</v>
      </c>
      <c r="O28" s="155">
        <f t="shared" si="14"/>
        <v>100</v>
      </c>
      <c r="P28" s="250">
        <v>1</v>
      </c>
      <c r="Q28" s="250">
        <v>1000</v>
      </c>
      <c r="R28" s="148">
        <f t="shared" si="15"/>
        <v>2.4721878862793569</v>
      </c>
      <c r="S28" s="148">
        <f t="shared" si="16"/>
        <v>0.2472187886279357</v>
      </c>
      <c r="T28" s="148">
        <f t="shared" si="17"/>
        <v>2.4721878862793568E-2</v>
      </c>
      <c r="U28" s="148">
        <f t="shared" si="17"/>
        <v>2.4721878862793569</v>
      </c>
      <c r="V28" s="7">
        <f t="shared" si="18"/>
        <v>1000</v>
      </c>
      <c r="W28" s="7">
        <f t="shared" si="18"/>
        <v>1000000</v>
      </c>
      <c r="X28" s="1345">
        <f t="shared" si="19"/>
        <v>24.72187886279357</v>
      </c>
      <c r="Y28" s="1345">
        <f t="shared" si="19"/>
        <v>2472.1878862793569</v>
      </c>
    </row>
    <row r="29" spans="1:25" x14ac:dyDescent="0.2">
      <c r="A29" s="213" t="str">
        <f t="shared" ref="A29:C29" si="40">A54</f>
        <v>NPLI</v>
      </c>
      <c r="B29" s="213" t="str">
        <f t="shared" si="40"/>
        <v>D751950</v>
      </c>
      <c r="C29" s="213">
        <f t="shared" si="40"/>
        <v>364.14</v>
      </c>
      <c r="D29" s="214">
        <f t="shared" ref="D29:E29" si="41">F54</f>
        <v>0.2</v>
      </c>
      <c r="E29" s="214">
        <f t="shared" si="41"/>
        <v>358.1</v>
      </c>
      <c r="F29" s="214">
        <f t="shared" si="10"/>
        <v>6.8</v>
      </c>
      <c r="G29" s="214">
        <f t="shared" si="11"/>
        <v>-6.04</v>
      </c>
      <c r="H29" s="214">
        <f t="shared" si="12"/>
        <v>14</v>
      </c>
      <c r="I29" s="155">
        <f t="shared" si="1"/>
        <v>0</v>
      </c>
      <c r="J29" s="155">
        <f t="shared" si="2"/>
        <v>0</v>
      </c>
      <c r="K29" s="155">
        <f t="shared" si="3"/>
        <v>13.6</v>
      </c>
      <c r="L29" s="155">
        <f t="shared" si="4"/>
        <v>10</v>
      </c>
      <c r="M29" s="156">
        <f t="shared" si="5"/>
        <v>3.734827264239029</v>
      </c>
      <c r="N29" s="157">
        <f t="shared" si="13"/>
        <v>0.3734827264239029</v>
      </c>
      <c r="O29" s="155">
        <f t="shared" si="14"/>
        <v>100</v>
      </c>
      <c r="P29" s="250">
        <v>1</v>
      </c>
      <c r="Q29" s="250">
        <v>1000</v>
      </c>
      <c r="R29" s="148">
        <f t="shared" si="15"/>
        <v>37.348272642390292</v>
      </c>
      <c r="S29" s="148">
        <f t="shared" si="16"/>
        <v>3.734827264239029</v>
      </c>
      <c r="T29" s="148">
        <f t="shared" si="17"/>
        <v>0.3734827264239029</v>
      </c>
      <c r="U29" s="148">
        <f t="shared" si="17"/>
        <v>37.348272642390292</v>
      </c>
      <c r="V29" s="7">
        <f t="shared" si="18"/>
        <v>1000</v>
      </c>
      <c r="W29" s="7">
        <f t="shared" si="18"/>
        <v>1000000</v>
      </c>
      <c r="X29" s="1345">
        <f t="shared" si="19"/>
        <v>373.48272642390288</v>
      </c>
      <c r="Y29" s="1345">
        <f t="shared" si="19"/>
        <v>37348.272642390293</v>
      </c>
    </row>
    <row r="30" spans="1:25" x14ac:dyDescent="0.2">
      <c r="A30" s="213" t="str">
        <f t="shared" ref="A30:C30" si="42">A55</f>
        <v>CSIRO-17</v>
      </c>
      <c r="B30" s="213" t="str">
        <f t="shared" si="42"/>
        <v>D751926</v>
      </c>
      <c r="C30" s="213">
        <f t="shared" si="42"/>
        <v>364.15</v>
      </c>
      <c r="D30" s="214">
        <f t="shared" ref="D30:E30" si="43">F55</f>
        <v>0.2</v>
      </c>
      <c r="E30" s="214">
        <f t="shared" si="43"/>
        <v>364.07</v>
      </c>
      <c r="F30" s="214">
        <f t="shared" si="10"/>
        <v>0.125</v>
      </c>
      <c r="G30" s="214">
        <f t="shared" si="11"/>
        <v>0</v>
      </c>
      <c r="H30" s="214">
        <f t="shared" si="12"/>
        <v>0</v>
      </c>
      <c r="I30" s="155">
        <f t="shared" si="1"/>
        <v>0</v>
      </c>
      <c r="J30" s="155">
        <f t="shared" si="2"/>
        <v>0</v>
      </c>
      <c r="K30" s="155">
        <f t="shared" si="3"/>
        <v>0.25</v>
      </c>
      <c r="L30" s="155">
        <f t="shared" si="4"/>
        <v>10</v>
      </c>
      <c r="M30" s="156">
        <f t="shared" si="5"/>
        <v>6.8653027598517102E-2</v>
      </c>
      <c r="N30" s="157">
        <f t="shared" si="13"/>
        <v>6.8653027598517104E-3</v>
      </c>
      <c r="O30" s="155">
        <f t="shared" si="14"/>
        <v>100</v>
      </c>
      <c r="P30" s="250">
        <v>1</v>
      </c>
      <c r="Q30" s="250">
        <v>1000</v>
      </c>
      <c r="R30" s="148">
        <f t="shared" si="15"/>
        <v>0.68653027598517102</v>
      </c>
      <c r="S30" s="148">
        <f t="shared" si="16"/>
        <v>6.8653027598517102E-2</v>
      </c>
      <c r="T30" s="148">
        <f t="shared" si="17"/>
        <v>6.8653027598517104E-3</v>
      </c>
      <c r="U30" s="148">
        <f t="shared" si="17"/>
        <v>0.68653027598517102</v>
      </c>
      <c r="V30" s="7">
        <f t="shared" si="18"/>
        <v>1000</v>
      </c>
      <c r="W30" s="7">
        <f t="shared" si="18"/>
        <v>1000000</v>
      </c>
      <c r="X30" s="1345">
        <f t="shared" si="19"/>
        <v>6.8653027598517102</v>
      </c>
      <c r="Y30" s="1345">
        <f t="shared" si="19"/>
        <v>686.53027598517099</v>
      </c>
    </row>
    <row r="31" spans="1:25" x14ac:dyDescent="0.2">
      <c r="A31" s="213" t="str">
        <f t="shared" ref="A31:C31" si="44">A56</f>
        <v>CSIRO-27</v>
      </c>
      <c r="B31" s="213" t="str">
        <f t="shared" si="44"/>
        <v>D751926</v>
      </c>
      <c r="C31" s="213">
        <f t="shared" si="44"/>
        <v>364.15</v>
      </c>
      <c r="D31" s="214">
        <f t="shared" ref="D31:E31" si="45">F56</f>
        <v>0.2</v>
      </c>
      <c r="E31" s="214">
        <f t="shared" si="45"/>
        <v>364.11399999999998</v>
      </c>
      <c r="F31" s="214">
        <f t="shared" si="10"/>
        <v>5.5E-2</v>
      </c>
      <c r="G31" s="214">
        <f t="shared" si="11"/>
        <v>0</v>
      </c>
      <c r="H31" s="214">
        <f t="shared" si="12"/>
        <v>0</v>
      </c>
      <c r="I31" s="155">
        <f t="shared" si="1"/>
        <v>0</v>
      </c>
      <c r="J31" s="155">
        <f t="shared" si="2"/>
        <v>0</v>
      </c>
      <c r="K31" s="155">
        <f t="shared" si="3"/>
        <v>0.11</v>
      </c>
      <c r="L31" s="155">
        <f t="shared" si="4"/>
        <v>10</v>
      </c>
      <c r="M31" s="156">
        <f t="shared" si="5"/>
        <v>3.0207332143347525E-2</v>
      </c>
      <c r="N31" s="157">
        <f t="shared" si="13"/>
        <v>3.0207332143347525E-3</v>
      </c>
      <c r="O31" s="155">
        <f t="shared" si="14"/>
        <v>100</v>
      </c>
      <c r="P31" s="250">
        <v>1</v>
      </c>
      <c r="Q31" s="250">
        <v>1000</v>
      </c>
      <c r="R31" s="148">
        <f t="shared" si="15"/>
        <v>0.30207332143347526</v>
      </c>
      <c r="S31" s="148">
        <f t="shared" si="16"/>
        <v>3.0207332143347525E-2</v>
      </c>
      <c r="T31" s="148">
        <f t="shared" si="17"/>
        <v>3.0207332143347525E-3</v>
      </c>
      <c r="U31" s="148">
        <f t="shared" si="17"/>
        <v>0.30207332143347526</v>
      </c>
      <c r="V31" s="7">
        <f t="shared" si="18"/>
        <v>1000</v>
      </c>
      <c r="W31" s="7">
        <f t="shared" si="18"/>
        <v>1000000</v>
      </c>
      <c r="X31" s="1345">
        <f t="shared" si="19"/>
        <v>3.0207332143347525</v>
      </c>
      <c r="Y31" s="1345">
        <f t="shared" si="19"/>
        <v>302.07332143347526</v>
      </c>
    </row>
    <row r="32" spans="1:25" x14ac:dyDescent="0.2">
      <c r="A32" s="213" t="str">
        <f>A57</f>
        <v>BAM</v>
      </c>
      <c r="B32" s="213" t="str">
        <f t="shared" ref="B32:C32" si="46">B57</f>
        <v>D751942</v>
      </c>
      <c r="C32" s="213">
        <f t="shared" si="46"/>
        <v>363.72</v>
      </c>
      <c r="D32" s="214">
        <f t="shared" ref="D32:E35" si="47">F57</f>
        <v>0.2</v>
      </c>
      <c r="E32" s="214">
        <f t="shared" si="47"/>
        <v>363.5</v>
      </c>
      <c r="F32" s="214">
        <f>H57/I57</f>
        <v>1.45</v>
      </c>
      <c r="G32" s="214">
        <f>J57</f>
        <v>-0.22</v>
      </c>
      <c r="H32" s="214">
        <f>L57</f>
        <v>2.9</v>
      </c>
      <c r="I32" s="155">
        <f t="shared" si="1"/>
        <v>0</v>
      </c>
      <c r="J32" s="155">
        <f t="shared" si="2"/>
        <v>0</v>
      </c>
      <c r="K32" s="155">
        <f t="shared" si="3"/>
        <v>2.9</v>
      </c>
      <c r="L32" s="155">
        <f t="shared" si="4"/>
        <v>10</v>
      </c>
      <c r="M32" s="156">
        <f t="shared" si="5"/>
        <v>0.79731661717804891</v>
      </c>
      <c r="N32" s="157">
        <f t="shared" si="13"/>
        <v>7.9731661717804894E-2</v>
      </c>
      <c r="O32" s="155">
        <f t="shared" si="14"/>
        <v>100</v>
      </c>
      <c r="P32" s="250">
        <v>1</v>
      </c>
      <c r="Q32" s="250">
        <v>1000</v>
      </c>
      <c r="R32" s="148">
        <f t="shared" si="15"/>
        <v>7.9731661717804894</v>
      </c>
      <c r="S32" s="148">
        <f t="shared" si="16"/>
        <v>0.79731661717804891</v>
      </c>
      <c r="T32" s="148">
        <f t="shared" si="17"/>
        <v>7.9731661717804894E-2</v>
      </c>
      <c r="U32" s="148">
        <f t="shared" si="17"/>
        <v>7.9731661717804894</v>
      </c>
      <c r="V32" s="7">
        <f t="shared" si="18"/>
        <v>1000</v>
      </c>
      <c r="W32" s="7">
        <f t="shared" si="18"/>
        <v>1000000</v>
      </c>
      <c r="X32" s="1345">
        <f t="shared" si="19"/>
        <v>79.731661717804897</v>
      </c>
      <c r="Y32" s="1345">
        <f t="shared" si="19"/>
        <v>7973.1661717804891</v>
      </c>
    </row>
    <row r="33" spans="1:26" x14ac:dyDescent="0.2">
      <c r="A33" s="213" t="str">
        <f t="shared" ref="A33:C33" si="48">A58</f>
        <v>VNIIM</v>
      </c>
      <c r="B33" s="213" t="str">
        <f t="shared" si="48"/>
        <v>D751937</v>
      </c>
      <c r="C33" s="213">
        <f t="shared" si="48"/>
        <v>364.19</v>
      </c>
      <c r="D33" s="214">
        <f t="shared" si="47"/>
        <v>0.2</v>
      </c>
      <c r="E33" s="214">
        <f t="shared" si="47"/>
        <v>364.1</v>
      </c>
      <c r="F33" s="214">
        <f>H58/I58</f>
        <v>0.35</v>
      </c>
      <c r="G33" s="214">
        <f>J58</f>
        <v>-0.09</v>
      </c>
      <c r="H33" s="214">
        <f>L58</f>
        <v>0.8</v>
      </c>
      <c r="I33" s="155">
        <f t="shared" si="1"/>
        <v>0</v>
      </c>
      <c r="J33" s="155">
        <f t="shared" si="2"/>
        <v>0</v>
      </c>
      <c r="K33" s="155">
        <f t="shared" si="3"/>
        <v>0.7</v>
      </c>
      <c r="L33" s="155">
        <f t="shared" si="4"/>
        <v>10</v>
      </c>
      <c r="M33" s="156">
        <f t="shared" si="5"/>
        <v>0.19220736428787172</v>
      </c>
      <c r="N33" s="157">
        <f t="shared" si="13"/>
        <v>1.9220736428787171E-2</v>
      </c>
      <c r="O33" s="155">
        <f t="shared" si="14"/>
        <v>100</v>
      </c>
      <c r="P33" s="250">
        <v>1</v>
      </c>
      <c r="Q33" s="250">
        <v>1000</v>
      </c>
      <c r="R33" s="148">
        <f t="shared" si="15"/>
        <v>1.9220736428787171</v>
      </c>
      <c r="S33" s="148">
        <f t="shared" si="16"/>
        <v>0.19220736428787172</v>
      </c>
      <c r="T33" s="148">
        <f t="shared" si="17"/>
        <v>1.9220736428787171E-2</v>
      </c>
      <c r="U33" s="148">
        <f t="shared" si="17"/>
        <v>1.9220736428787171</v>
      </c>
      <c r="V33" s="7">
        <f t="shared" si="18"/>
        <v>1000</v>
      </c>
      <c r="W33" s="7">
        <f t="shared" si="18"/>
        <v>1000000</v>
      </c>
      <c r="X33" s="1345">
        <f t="shared" si="19"/>
        <v>19.22073642878717</v>
      </c>
      <c r="Y33" s="1345">
        <f t="shared" si="19"/>
        <v>1922.073642878717</v>
      </c>
    </row>
    <row r="34" spans="1:26" x14ac:dyDescent="0.2">
      <c r="A34" s="213" t="str">
        <f t="shared" ref="A34:C34" si="49">A59</f>
        <v>LNE</v>
      </c>
      <c r="B34" s="213" t="str">
        <f t="shared" si="49"/>
        <v>D750235</v>
      </c>
      <c r="C34" s="213">
        <f t="shared" si="49"/>
        <v>364.21</v>
      </c>
      <c r="D34" s="214">
        <f t="shared" si="47"/>
        <v>0.2</v>
      </c>
      <c r="E34" s="214">
        <f t="shared" si="47"/>
        <v>363.63</v>
      </c>
      <c r="F34" s="214">
        <f>H59/I59</f>
        <v>0.57499999999999996</v>
      </c>
      <c r="G34" s="214">
        <f>J59</f>
        <v>-0.57999999999999996</v>
      </c>
      <c r="H34" s="214">
        <f>L59</f>
        <v>1.2</v>
      </c>
      <c r="I34" s="155">
        <f t="shared" si="1"/>
        <v>0</v>
      </c>
      <c r="J34" s="155">
        <f t="shared" si="2"/>
        <v>0</v>
      </c>
      <c r="K34" s="155">
        <f t="shared" si="3"/>
        <v>1.1499999999999999</v>
      </c>
      <c r="L34" s="155">
        <f t="shared" si="4"/>
        <v>10</v>
      </c>
      <c r="M34" s="156">
        <f t="shared" si="5"/>
        <v>0.31575190137558001</v>
      </c>
      <c r="N34" s="157">
        <f t="shared" si="13"/>
        <v>3.1575190137558003E-2</v>
      </c>
      <c r="O34" s="155">
        <f t="shared" si="14"/>
        <v>100</v>
      </c>
      <c r="P34" s="250">
        <v>1</v>
      </c>
      <c r="Q34" s="250">
        <v>1000</v>
      </c>
      <c r="R34" s="148">
        <f t="shared" si="15"/>
        <v>3.1575190137558002</v>
      </c>
      <c r="S34" s="148">
        <f t="shared" si="16"/>
        <v>0.31575190137558001</v>
      </c>
      <c r="T34" s="148">
        <f t="shared" ref="T34:U35" si="50">R34*P34*0.01</f>
        <v>3.1575190137558003E-2</v>
      </c>
      <c r="U34" s="148">
        <f t="shared" si="50"/>
        <v>3.1575190137558002</v>
      </c>
      <c r="V34" s="7">
        <f t="shared" ref="V34:W35" si="51">P34*1000</f>
        <v>1000</v>
      </c>
      <c r="W34" s="7">
        <f t="shared" si="51"/>
        <v>1000000</v>
      </c>
      <c r="X34" s="1345">
        <f t="shared" ref="X34:Y35" si="52">T34*1000</f>
        <v>31.575190137558003</v>
      </c>
      <c r="Y34" s="1345">
        <f t="shared" si="52"/>
        <v>3157.5190137558002</v>
      </c>
    </row>
    <row r="35" spans="1:26" x14ac:dyDescent="0.2">
      <c r="A35" s="213" t="str">
        <f t="shared" ref="A35:C35" si="53">A60</f>
        <v>NIM</v>
      </c>
      <c r="B35" s="213" t="str">
        <f t="shared" si="53"/>
        <v>D751943</v>
      </c>
      <c r="C35" s="213">
        <f t="shared" si="53"/>
        <v>364.34</v>
      </c>
      <c r="D35" s="214">
        <f t="shared" si="47"/>
        <v>0.2</v>
      </c>
      <c r="E35" s="214">
        <f t="shared" si="47"/>
        <v>364.6</v>
      </c>
      <c r="F35" s="214">
        <f>H60/I60</f>
        <v>0.55000000000000004</v>
      </c>
      <c r="G35" s="214">
        <f>J60</f>
        <v>0.26</v>
      </c>
      <c r="H35" s="214">
        <f>L60</f>
        <v>1.2</v>
      </c>
      <c r="I35" s="155">
        <f t="shared" si="1"/>
        <v>0</v>
      </c>
      <c r="J35" s="155">
        <f t="shared" si="2"/>
        <v>0</v>
      </c>
      <c r="K35" s="155">
        <f t="shared" si="3"/>
        <v>1.1000000000000001</v>
      </c>
      <c r="L35" s="155">
        <f t="shared" si="4"/>
        <v>10</v>
      </c>
      <c r="M35" s="156">
        <f t="shared" si="5"/>
        <v>0.3019157929406599</v>
      </c>
      <c r="N35" s="157">
        <f t="shared" si="13"/>
        <v>3.019157929406599E-2</v>
      </c>
      <c r="O35" s="155">
        <f t="shared" si="14"/>
        <v>100</v>
      </c>
      <c r="P35" s="250">
        <v>1</v>
      </c>
      <c r="Q35" s="250">
        <v>1000</v>
      </c>
      <c r="R35" s="148">
        <f t="shared" si="15"/>
        <v>3.0191579294065991</v>
      </c>
      <c r="S35" s="148">
        <f t="shared" si="16"/>
        <v>0.3019157929406599</v>
      </c>
      <c r="T35" s="148">
        <f t="shared" si="50"/>
        <v>3.0191579294065993E-2</v>
      </c>
      <c r="U35" s="148">
        <f t="shared" si="50"/>
        <v>3.0191579294065991</v>
      </c>
      <c r="V35" s="7">
        <f t="shared" si="51"/>
        <v>1000</v>
      </c>
      <c r="W35" s="7">
        <f t="shared" si="51"/>
        <v>1000000</v>
      </c>
      <c r="X35" s="1345">
        <f t="shared" si="52"/>
        <v>30.191579294065992</v>
      </c>
      <c r="Y35" s="1345">
        <f t="shared" si="52"/>
        <v>3019.1579294065991</v>
      </c>
    </row>
    <row r="36" spans="1:26" x14ac:dyDescent="0.2">
      <c r="A36" s="213" t="str">
        <f>A64</f>
        <v>KRISS</v>
      </c>
      <c r="B36" s="213" t="str">
        <f>B64</f>
        <v>D751977</v>
      </c>
      <c r="C36" s="213">
        <f>C64</f>
        <v>363.12</v>
      </c>
      <c r="D36" s="214">
        <f>F64</f>
        <v>0.2</v>
      </c>
      <c r="E36" s="214">
        <f>G64</f>
        <v>363.2</v>
      </c>
      <c r="F36" s="214">
        <f>H64/I64</f>
        <v>0.03</v>
      </c>
      <c r="G36" s="214">
        <f>J64</f>
        <v>0.08</v>
      </c>
      <c r="H36" s="214">
        <f>L64</f>
        <v>0.41</v>
      </c>
      <c r="I36" s="155">
        <f t="shared" ref="I36" si="54">IF(ABS(G36)&gt;ABS(H36), 1, 0)</f>
        <v>0</v>
      </c>
      <c r="J36" s="155">
        <f t="shared" ref="J36" si="55">I36*ABS(C36-E36)</f>
        <v>0</v>
      </c>
      <c r="K36" s="155">
        <f t="shared" ref="K36" si="56">SQRT(SUMSQ(F36,J36))*2</f>
        <v>0.06</v>
      </c>
      <c r="L36" s="155">
        <f t="shared" ref="L36" si="57">IF(C36&lt;$K$2, C36, $K$1)</f>
        <v>10</v>
      </c>
      <c r="M36" s="156">
        <f t="shared" ref="M36" si="58">IF(AND(C36&lt;$K$1,C36&gt; $K$2), K36/L36*100, K36/C36*100)</f>
        <v>1.6523463317911432E-2</v>
      </c>
      <c r="N36" s="157">
        <f t="shared" ref="N36" si="59">M36*L36/100</f>
        <v>1.6523463317911432E-3</v>
      </c>
      <c r="O36" s="155">
        <f t="shared" ref="O36" si="60">N36/(M36*L36/100)*100</f>
        <v>100</v>
      </c>
      <c r="P36" s="250">
        <v>1</v>
      </c>
      <c r="Q36" s="250">
        <v>1000</v>
      </c>
      <c r="R36" s="148">
        <f t="shared" si="15"/>
        <v>0.16523463317911433</v>
      </c>
      <c r="S36" s="148">
        <f t="shared" si="16"/>
        <v>1.6523463317911432E-2</v>
      </c>
      <c r="T36" s="148">
        <f t="shared" ref="T36" si="61">R36*P36*0.01</f>
        <v>1.6523463317911432E-3</v>
      </c>
      <c r="U36" s="148">
        <f t="shared" ref="U36" si="62">S36*Q36*0.01</f>
        <v>0.16523463317911433</v>
      </c>
      <c r="V36" s="7">
        <f t="shared" ref="V36" si="63">P36*1000</f>
        <v>1000</v>
      </c>
      <c r="W36" s="7">
        <f t="shared" ref="W36" si="64">Q36*1000</f>
        <v>1000000</v>
      </c>
      <c r="X36" s="1345">
        <f t="shared" ref="X36" si="65">T36*1000</f>
        <v>1.6523463317911433</v>
      </c>
      <c r="Y36" s="1345">
        <f t="shared" ref="Y36" si="66">U36*1000</f>
        <v>165.23463317911433</v>
      </c>
    </row>
    <row r="37" spans="1:26" x14ac:dyDescent="0.2">
      <c r="A37" s="631"/>
      <c r="B37" s="631"/>
      <c r="C37" s="631"/>
      <c r="D37" s="632"/>
      <c r="E37" s="632"/>
      <c r="F37" s="632"/>
      <c r="G37" s="632"/>
      <c r="H37" s="632"/>
      <c r="I37" s="158"/>
      <c r="J37" s="158"/>
      <c r="K37" s="158"/>
      <c r="L37" s="158"/>
      <c r="M37" s="159"/>
      <c r="N37" s="160"/>
      <c r="O37" s="158"/>
      <c r="P37" s="1232"/>
      <c r="Q37" s="1233"/>
      <c r="R37" s="633"/>
      <c r="S37" s="633"/>
      <c r="T37" s="633"/>
      <c r="U37" s="633"/>
      <c r="V37" s="634"/>
      <c r="W37" s="634"/>
      <c r="X37" s="635"/>
      <c r="Y37" s="636"/>
    </row>
    <row r="38" spans="1:26" x14ac:dyDescent="0.2">
      <c r="A38" s="631"/>
      <c r="B38" s="631"/>
      <c r="C38" s="631"/>
      <c r="D38" s="632"/>
      <c r="E38" s="632"/>
      <c r="F38" s="632"/>
      <c r="G38" s="632"/>
      <c r="H38" s="632"/>
      <c r="I38" s="158"/>
      <c r="J38" s="158"/>
      <c r="K38" s="158"/>
      <c r="L38" s="158"/>
      <c r="M38" s="159"/>
      <c r="N38" s="160"/>
      <c r="O38" s="158"/>
      <c r="P38" s="1232"/>
      <c r="Q38" s="1233"/>
      <c r="R38" s="633"/>
      <c r="S38" s="633"/>
      <c r="T38" s="633"/>
      <c r="U38" s="633"/>
      <c r="V38" s="634"/>
      <c r="W38" s="634"/>
      <c r="X38" s="635"/>
      <c r="Y38" s="636"/>
    </row>
    <row r="39" spans="1:26" ht="14.25" x14ac:dyDescent="0.2">
      <c r="U39" s="152"/>
      <c r="V39" s="21"/>
      <c r="W39" s="21"/>
      <c r="X39" s="21"/>
      <c r="Y39" s="21"/>
      <c r="Z39" s="21"/>
    </row>
    <row r="40" spans="1:26" ht="14.25" x14ac:dyDescent="0.2">
      <c r="H40" s="9"/>
      <c r="V40" s="21"/>
      <c r="W40" s="21"/>
      <c r="X40" s="21"/>
      <c r="Y40" s="21"/>
      <c r="Z40" s="21"/>
    </row>
    <row r="41" spans="1:26" s="227" customFormat="1" ht="24" customHeight="1" x14ac:dyDescent="0.2">
      <c r="A41" s="535" t="s">
        <v>541</v>
      </c>
      <c r="B41" s="529" t="s">
        <v>542</v>
      </c>
      <c r="C41" s="575" t="s">
        <v>543</v>
      </c>
      <c r="D41" s="576" t="s">
        <v>544</v>
      </c>
      <c r="E41" s="577" t="s">
        <v>545</v>
      </c>
      <c r="F41" s="578" t="s">
        <v>546</v>
      </c>
      <c r="G41" s="579" t="s">
        <v>547</v>
      </c>
      <c r="H41" s="580" t="s">
        <v>548</v>
      </c>
      <c r="I41" s="581" t="s">
        <v>549</v>
      </c>
      <c r="J41" s="582" t="s">
        <v>550</v>
      </c>
      <c r="K41" s="583" t="s">
        <v>551</v>
      </c>
      <c r="L41" s="584" t="s">
        <v>552</v>
      </c>
      <c r="O41" s="585" t="s">
        <v>553</v>
      </c>
      <c r="P41" s="585" t="s">
        <v>554</v>
      </c>
      <c r="Q41" s="585" t="s">
        <v>555</v>
      </c>
    </row>
    <row r="42" spans="1:26" s="227" customFormat="1" ht="17.100000000000001" customHeight="1" x14ac:dyDescent="0.2">
      <c r="A42" s="536" t="s">
        <v>556</v>
      </c>
      <c r="B42" s="536" t="s">
        <v>557</v>
      </c>
      <c r="C42" s="586">
        <v>364.3</v>
      </c>
      <c r="D42" s="587">
        <v>7.2999999999999995E-2</v>
      </c>
      <c r="E42" s="588">
        <v>0.18</v>
      </c>
      <c r="F42" s="589">
        <v>0.2</v>
      </c>
      <c r="G42" s="590">
        <v>364.13</v>
      </c>
      <c r="H42" s="591">
        <v>0.36</v>
      </c>
      <c r="I42" s="592">
        <v>2</v>
      </c>
      <c r="J42" s="586">
        <v>-0.17</v>
      </c>
      <c r="K42" s="593">
        <v>2</v>
      </c>
      <c r="L42" s="594">
        <v>0.54</v>
      </c>
      <c r="O42" s="595" t="s">
        <v>558</v>
      </c>
      <c r="P42" s="595" t="s">
        <v>559</v>
      </c>
      <c r="Q42" s="595" t="s">
        <v>560</v>
      </c>
    </row>
    <row r="43" spans="1:26" s="227" customFormat="1" ht="15" customHeight="1" x14ac:dyDescent="0.2">
      <c r="A43" s="547" t="s">
        <v>561</v>
      </c>
      <c r="B43" s="547" t="s">
        <v>562</v>
      </c>
      <c r="C43" s="596">
        <v>363.18</v>
      </c>
      <c r="D43" s="597">
        <v>7.2999999999999995E-2</v>
      </c>
      <c r="E43" s="598">
        <v>0.18</v>
      </c>
      <c r="F43" s="599">
        <v>0.2</v>
      </c>
      <c r="G43" s="600">
        <v>364</v>
      </c>
      <c r="H43" s="601">
        <v>3.6</v>
      </c>
      <c r="I43" s="602">
        <v>2</v>
      </c>
      <c r="J43" s="596">
        <v>0.82</v>
      </c>
      <c r="K43" s="603">
        <v>2</v>
      </c>
      <c r="L43" s="604">
        <v>3.6</v>
      </c>
      <c r="O43" s="595" t="s">
        <v>563</v>
      </c>
      <c r="P43" s="595" t="s">
        <v>559</v>
      </c>
      <c r="Q43" s="595" t="s">
        <v>564</v>
      </c>
    </row>
    <row r="44" spans="1:26" s="227" customFormat="1" ht="15" customHeight="1" x14ac:dyDescent="0.2">
      <c r="A44" s="547" t="s">
        <v>565</v>
      </c>
      <c r="B44" s="547" t="s">
        <v>566</v>
      </c>
      <c r="C44" s="596">
        <v>363.31</v>
      </c>
      <c r="D44" s="597">
        <v>7.2999999999999995E-2</v>
      </c>
      <c r="E44" s="598">
        <v>0.18</v>
      </c>
      <c r="F44" s="599">
        <v>0.2</v>
      </c>
      <c r="G44" s="605">
        <v>363.09</v>
      </c>
      <c r="H44" s="606">
        <v>0.7</v>
      </c>
      <c r="I44" s="607">
        <v>2.1800000000000002</v>
      </c>
      <c r="J44" s="596">
        <v>-0.22</v>
      </c>
      <c r="K44" s="603">
        <v>2</v>
      </c>
      <c r="L44" s="607">
        <v>0.75</v>
      </c>
      <c r="O44" s="595" t="s">
        <v>567</v>
      </c>
      <c r="P44" s="595" t="s">
        <v>568</v>
      </c>
      <c r="Q44" s="595" t="s">
        <v>569</v>
      </c>
    </row>
    <row r="45" spans="1:26" s="227" customFormat="1" ht="15" customHeight="1" x14ac:dyDescent="0.2">
      <c r="A45" s="547" t="s">
        <v>570</v>
      </c>
      <c r="B45" s="547" t="s">
        <v>571</v>
      </c>
      <c r="C45" s="596">
        <v>363.67</v>
      </c>
      <c r="D45" s="597">
        <v>7.2999999999999995E-2</v>
      </c>
      <c r="E45" s="598">
        <v>0.18</v>
      </c>
      <c r="F45" s="599">
        <v>0.2</v>
      </c>
      <c r="G45" s="605">
        <v>363.38</v>
      </c>
      <c r="H45" s="606">
        <v>0.73</v>
      </c>
      <c r="I45" s="602">
        <v>2</v>
      </c>
      <c r="J45" s="596">
        <v>-0.28999999999999998</v>
      </c>
      <c r="K45" s="603">
        <v>2</v>
      </c>
      <c r="L45" s="604">
        <v>0.8</v>
      </c>
      <c r="O45" s="595" t="s">
        <v>572</v>
      </c>
      <c r="P45" s="595" t="s">
        <v>573</v>
      </c>
      <c r="Q45" s="595" t="s">
        <v>574</v>
      </c>
    </row>
    <row r="46" spans="1:26" s="227" customFormat="1" ht="15" customHeight="1" x14ac:dyDescent="0.2">
      <c r="A46" s="547" t="s">
        <v>575</v>
      </c>
      <c r="B46" s="547" t="s">
        <v>576</v>
      </c>
      <c r="C46" s="596">
        <v>364.15</v>
      </c>
      <c r="D46" s="597">
        <v>7.2999999999999995E-2</v>
      </c>
      <c r="E46" s="598">
        <v>0.18</v>
      </c>
      <c r="F46" s="599">
        <v>0.2</v>
      </c>
      <c r="G46" s="605">
        <v>364.36</v>
      </c>
      <c r="H46" s="606">
        <v>0.44</v>
      </c>
      <c r="I46" s="602">
        <v>2</v>
      </c>
      <c r="J46" s="596">
        <v>0.21</v>
      </c>
      <c r="K46" s="603">
        <v>2</v>
      </c>
      <c r="L46" s="607">
        <v>0.59</v>
      </c>
      <c r="O46" s="595" t="s">
        <v>577</v>
      </c>
      <c r="P46" s="595" t="s">
        <v>578</v>
      </c>
      <c r="Q46" s="595" t="s">
        <v>579</v>
      </c>
    </row>
    <row r="47" spans="1:26" s="227" customFormat="1" ht="15" customHeight="1" x14ac:dyDescent="0.2">
      <c r="A47" s="547" t="s">
        <v>580</v>
      </c>
      <c r="B47" s="547" t="s">
        <v>581</v>
      </c>
      <c r="C47" s="596">
        <v>363.86</v>
      </c>
      <c r="D47" s="597">
        <v>7.2999999999999995E-2</v>
      </c>
      <c r="E47" s="598">
        <v>0.18</v>
      </c>
      <c r="F47" s="599">
        <v>0.2</v>
      </c>
      <c r="G47" s="600">
        <v>364.6</v>
      </c>
      <c r="H47" s="601">
        <v>1.2</v>
      </c>
      <c r="I47" s="602">
        <v>2</v>
      </c>
      <c r="J47" s="596">
        <v>0.74</v>
      </c>
      <c r="K47" s="603">
        <v>2</v>
      </c>
      <c r="L47" s="604">
        <v>1.3</v>
      </c>
      <c r="O47" s="595" t="s">
        <v>582</v>
      </c>
      <c r="P47" s="595" t="s">
        <v>583</v>
      </c>
      <c r="Q47" s="595" t="s">
        <v>584</v>
      </c>
    </row>
    <row r="48" spans="1:26" s="227" customFormat="1" ht="15" customHeight="1" x14ac:dyDescent="0.2">
      <c r="A48" s="547" t="s">
        <v>585</v>
      </c>
      <c r="B48" s="547" t="s">
        <v>586</v>
      </c>
      <c r="C48" s="596">
        <v>363.88</v>
      </c>
      <c r="D48" s="597">
        <v>7.2999999999999995E-2</v>
      </c>
      <c r="E48" s="598">
        <v>0.18</v>
      </c>
      <c r="F48" s="599">
        <v>0.2</v>
      </c>
      <c r="G48" s="605">
        <v>364.08</v>
      </c>
      <c r="H48" s="606">
        <v>0.48</v>
      </c>
      <c r="I48" s="602">
        <v>2</v>
      </c>
      <c r="J48" s="596">
        <v>0.2</v>
      </c>
      <c r="K48" s="603">
        <v>2</v>
      </c>
      <c r="L48" s="607">
        <v>0.62</v>
      </c>
      <c r="O48" s="595" t="s">
        <v>587</v>
      </c>
      <c r="P48" s="595" t="s">
        <v>588</v>
      </c>
      <c r="Q48" s="595" t="s">
        <v>589</v>
      </c>
    </row>
    <row r="49" spans="1:17" s="227" customFormat="1" ht="14.1" customHeight="1" x14ac:dyDescent="0.2">
      <c r="A49" s="547" t="s">
        <v>590</v>
      </c>
      <c r="B49" s="547" t="s">
        <v>591</v>
      </c>
      <c r="C49" s="596">
        <v>363.89</v>
      </c>
      <c r="D49" s="597">
        <v>7.2999999999999995E-2</v>
      </c>
      <c r="E49" s="598">
        <v>0.18</v>
      </c>
      <c r="F49" s="599">
        <v>0.2</v>
      </c>
      <c r="G49" s="605">
        <v>363.42</v>
      </c>
      <c r="H49" s="606">
        <v>0.61</v>
      </c>
      <c r="I49" s="602">
        <v>2</v>
      </c>
      <c r="J49" s="596">
        <v>-0.47</v>
      </c>
      <c r="K49" s="603">
        <v>2</v>
      </c>
      <c r="L49" s="607">
        <v>0.73</v>
      </c>
      <c r="O49" s="595" t="s">
        <v>592</v>
      </c>
      <c r="P49" s="595" t="s">
        <v>593</v>
      </c>
      <c r="Q49" s="595" t="s">
        <v>594</v>
      </c>
    </row>
    <row r="50" spans="1:17" s="227" customFormat="1" ht="15.95" customHeight="1" x14ac:dyDescent="0.2">
      <c r="A50" s="518" t="s">
        <v>595</v>
      </c>
      <c r="B50" s="547" t="s">
        <v>596</v>
      </c>
      <c r="C50" s="596">
        <v>363.91</v>
      </c>
      <c r="D50" s="597">
        <v>7.2999999999999995E-2</v>
      </c>
      <c r="E50" s="598">
        <v>0.18</v>
      </c>
      <c r="F50" s="599">
        <v>0.2</v>
      </c>
      <c r="G50" s="600">
        <v>361.6</v>
      </c>
      <c r="H50" s="601">
        <v>2.2000000000000002</v>
      </c>
      <c r="I50" s="602">
        <v>2</v>
      </c>
      <c r="J50" s="596">
        <v>-2.31</v>
      </c>
      <c r="K50" s="603">
        <v>2</v>
      </c>
      <c r="L50" s="604">
        <v>2.2000000000000002</v>
      </c>
      <c r="O50" s="595" t="s">
        <v>597</v>
      </c>
      <c r="P50" s="595" t="s">
        <v>598</v>
      </c>
      <c r="Q50" s="595" t="s">
        <v>599</v>
      </c>
    </row>
    <row r="51" spans="1:17" s="227" customFormat="1" ht="15" customHeight="1" x14ac:dyDescent="0.2">
      <c r="A51" s="547" t="s">
        <v>600</v>
      </c>
      <c r="B51" s="547" t="s">
        <v>601</v>
      </c>
      <c r="C51" s="596">
        <v>364</v>
      </c>
      <c r="D51" s="597">
        <v>7.2999999999999995E-2</v>
      </c>
      <c r="E51" s="598">
        <v>0.18</v>
      </c>
      <c r="F51" s="599">
        <v>0.2</v>
      </c>
      <c r="G51" s="600">
        <v>364.9</v>
      </c>
      <c r="H51" s="608">
        <v>3.883</v>
      </c>
      <c r="I51" s="602">
        <v>2</v>
      </c>
      <c r="J51" s="596">
        <v>0.9</v>
      </c>
      <c r="K51" s="603">
        <v>2</v>
      </c>
      <c r="L51" s="604">
        <v>3.9</v>
      </c>
      <c r="O51" s="595" t="s">
        <v>322</v>
      </c>
      <c r="P51" s="595" t="s">
        <v>602</v>
      </c>
      <c r="Q51" s="595" t="s">
        <v>603</v>
      </c>
    </row>
    <row r="52" spans="1:17" s="227" customFormat="1" ht="15" customHeight="1" x14ac:dyDescent="0.2">
      <c r="A52" s="547" t="s">
        <v>604</v>
      </c>
      <c r="B52" s="547" t="s">
        <v>605</v>
      </c>
      <c r="C52" s="596">
        <v>364.03</v>
      </c>
      <c r="D52" s="597">
        <v>7.2999999999999995E-2</v>
      </c>
      <c r="E52" s="598">
        <v>0.18</v>
      </c>
      <c r="F52" s="599">
        <v>0.2</v>
      </c>
      <c r="G52" s="605">
        <v>363.72</v>
      </c>
      <c r="H52" s="606">
        <v>0.34</v>
      </c>
      <c r="I52" s="602">
        <v>2</v>
      </c>
      <c r="J52" s="596">
        <v>-0.31</v>
      </c>
      <c r="K52" s="603">
        <v>2</v>
      </c>
      <c r="L52" s="607">
        <v>0.52</v>
      </c>
      <c r="O52" s="595" t="s">
        <v>325</v>
      </c>
      <c r="P52" s="595" t="s">
        <v>602</v>
      </c>
      <c r="Q52" s="595" t="s">
        <v>606</v>
      </c>
    </row>
    <row r="53" spans="1:17" s="227" customFormat="1" ht="15" customHeight="1" x14ac:dyDescent="0.2">
      <c r="A53" s="547" t="s">
        <v>607</v>
      </c>
      <c r="B53" s="547" t="s">
        <v>608</v>
      </c>
      <c r="C53" s="596">
        <v>364.05</v>
      </c>
      <c r="D53" s="597">
        <v>7.2999999999999995E-2</v>
      </c>
      <c r="E53" s="598">
        <v>0.18</v>
      </c>
      <c r="F53" s="599">
        <v>0.2</v>
      </c>
      <c r="G53" s="605">
        <v>364.62</v>
      </c>
      <c r="H53" s="606">
        <v>0.9</v>
      </c>
      <c r="I53" s="602">
        <v>2</v>
      </c>
      <c r="J53" s="596">
        <v>0.56999999999999995</v>
      </c>
      <c r="K53" s="603">
        <v>2</v>
      </c>
      <c r="L53" s="604">
        <v>1</v>
      </c>
      <c r="O53" s="595" t="s">
        <v>609</v>
      </c>
      <c r="P53" s="595" t="s">
        <v>610</v>
      </c>
      <c r="Q53" s="595" t="s">
        <v>611</v>
      </c>
    </row>
    <row r="54" spans="1:17" s="227" customFormat="1" ht="14.1" customHeight="1" x14ac:dyDescent="0.2">
      <c r="A54" s="547" t="s">
        <v>612</v>
      </c>
      <c r="B54" s="547" t="s">
        <v>613</v>
      </c>
      <c r="C54" s="596">
        <v>364.14</v>
      </c>
      <c r="D54" s="597">
        <v>7.2999999999999995E-2</v>
      </c>
      <c r="E54" s="598">
        <v>0.18</v>
      </c>
      <c r="F54" s="599">
        <v>0.2</v>
      </c>
      <c r="G54" s="600">
        <v>358.1</v>
      </c>
      <c r="H54" s="601">
        <v>13.6</v>
      </c>
      <c r="I54" s="602">
        <v>2</v>
      </c>
      <c r="J54" s="596">
        <v>-6.04</v>
      </c>
      <c r="K54" s="603">
        <v>2</v>
      </c>
      <c r="L54" s="602">
        <v>14</v>
      </c>
      <c r="O54" s="595" t="s">
        <v>614</v>
      </c>
      <c r="P54" s="595" t="s">
        <v>615</v>
      </c>
      <c r="Q54" s="595" t="s">
        <v>616</v>
      </c>
    </row>
    <row r="55" spans="1:17" s="227" customFormat="1" ht="15" customHeight="1" x14ac:dyDescent="0.2">
      <c r="A55" s="518" t="s">
        <v>617</v>
      </c>
      <c r="B55" s="547" t="s">
        <v>618</v>
      </c>
      <c r="C55" s="596">
        <v>364.15</v>
      </c>
      <c r="D55" s="597">
        <v>7.2999999999999995E-2</v>
      </c>
      <c r="E55" s="598">
        <v>0.18</v>
      </c>
      <c r="F55" s="599">
        <v>0.2</v>
      </c>
      <c r="G55" s="605">
        <v>364.07</v>
      </c>
      <c r="H55" s="606">
        <v>0.25</v>
      </c>
      <c r="I55" s="602">
        <v>2</v>
      </c>
      <c r="J55" s="609"/>
      <c r="K55" s="610"/>
      <c r="L55" s="611"/>
      <c r="O55" s="595" t="s">
        <v>619</v>
      </c>
      <c r="P55" s="595" t="s">
        <v>620</v>
      </c>
      <c r="Q55" s="595" t="s">
        <v>621</v>
      </c>
    </row>
    <row r="56" spans="1:17" s="227" customFormat="1" ht="15.95" customHeight="1" x14ac:dyDescent="0.2">
      <c r="A56" s="518" t="s">
        <v>622</v>
      </c>
      <c r="B56" s="547" t="s">
        <v>618</v>
      </c>
      <c r="C56" s="596">
        <v>364.15</v>
      </c>
      <c r="D56" s="597">
        <v>7.2999999999999995E-2</v>
      </c>
      <c r="E56" s="598">
        <v>0.18</v>
      </c>
      <c r="F56" s="599">
        <v>0.2</v>
      </c>
      <c r="G56" s="612">
        <v>364.11399999999998</v>
      </c>
      <c r="H56" s="606">
        <v>0.11</v>
      </c>
      <c r="I56" s="602">
        <v>2</v>
      </c>
      <c r="J56" s="609"/>
      <c r="K56" s="610"/>
      <c r="L56" s="611"/>
      <c r="O56" s="595" t="s">
        <v>623</v>
      </c>
      <c r="P56" s="595" t="s">
        <v>624</v>
      </c>
      <c r="Q56" s="595" t="s">
        <v>625</v>
      </c>
    </row>
    <row r="57" spans="1:17" s="227" customFormat="1" ht="15" customHeight="1" x14ac:dyDescent="0.2">
      <c r="A57" s="547" t="s">
        <v>626</v>
      </c>
      <c r="B57" s="547" t="s">
        <v>627</v>
      </c>
      <c r="C57" s="596">
        <v>363.72</v>
      </c>
      <c r="D57" s="597">
        <v>7.2999999999999995E-2</v>
      </c>
      <c r="E57" s="598">
        <v>0.18</v>
      </c>
      <c r="F57" s="599">
        <v>0.2</v>
      </c>
      <c r="G57" s="600">
        <v>363.5</v>
      </c>
      <c r="H57" s="601">
        <v>2.9</v>
      </c>
      <c r="I57" s="602">
        <v>2</v>
      </c>
      <c r="J57" s="596">
        <v>-0.22</v>
      </c>
      <c r="K57" s="603">
        <v>2</v>
      </c>
      <c r="L57" s="604">
        <v>2.9</v>
      </c>
      <c r="O57" s="595" t="s">
        <v>628</v>
      </c>
      <c r="P57" s="595" t="s">
        <v>629</v>
      </c>
      <c r="Q57" s="595" t="s">
        <v>630</v>
      </c>
    </row>
    <row r="58" spans="1:17" s="227" customFormat="1" ht="15" customHeight="1" x14ac:dyDescent="0.2">
      <c r="A58" s="547" t="s">
        <v>631</v>
      </c>
      <c r="B58" s="547" t="s">
        <v>632</v>
      </c>
      <c r="C58" s="596">
        <v>364.19</v>
      </c>
      <c r="D58" s="597">
        <v>7.2999999999999995E-2</v>
      </c>
      <c r="E58" s="598">
        <v>0.18</v>
      </c>
      <c r="F58" s="599">
        <v>0.2</v>
      </c>
      <c r="G58" s="600">
        <v>364.1</v>
      </c>
      <c r="H58" s="601">
        <v>0.7</v>
      </c>
      <c r="I58" s="602">
        <v>2</v>
      </c>
      <c r="J58" s="596">
        <v>-0.09</v>
      </c>
      <c r="K58" s="603">
        <v>2</v>
      </c>
      <c r="L58" s="604">
        <v>0.8</v>
      </c>
      <c r="O58" s="595" t="s">
        <v>633</v>
      </c>
      <c r="P58" s="595" t="s">
        <v>634</v>
      </c>
      <c r="Q58" s="595" t="s">
        <v>635</v>
      </c>
    </row>
    <row r="59" spans="1:17" s="227" customFormat="1" ht="15" customHeight="1" x14ac:dyDescent="0.2">
      <c r="A59" s="547" t="s">
        <v>636</v>
      </c>
      <c r="B59" s="547" t="s">
        <v>637</v>
      </c>
      <c r="C59" s="596">
        <v>364.21</v>
      </c>
      <c r="D59" s="597">
        <v>7.2999999999999995E-2</v>
      </c>
      <c r="E59" s="598">
        <v>0.18</v>
      </c>
      <c r="F59" s="599">
        <v>0.2</v>
      </c>
      <c r="G59" s="605">
        <v>363.63</v>
      </c>
      <c r="H59" s="606">
        <v>1.1499999999999999</v>
      </c>
      <c r="I59" s="602">
        <v>2</v>
      </c>
      <c r="J59" s="596">
        <v>-0.57999999999999996</v>
      </c>
      <c r="K59" s="603">
        <v>2</v>
      </c>
      <c r="L59" s="604">
        <v>1.2</v>
      </c>
      <c r="O59" s="595" t="s">
        <v>638</v>
      </c>
      <c r="P59" s="595" t="s">
        <v>639</v>
      </c>
      <c r="Q59" s="595" t="s">
        <v>640</v>
      </c>
    </row>
    <row r="60" spans="1:17" s="227" customFormat="1" ht="12.95" customHeight="1" x14ac:dyDescent="0.2">
      <c r="A60" s="561" t="s">
        <v>641</v>
      </c>
      <c r="B60" s="561" t="s">
        <v>642</v>
      </c>
      <c r="C60" s="613">
        <v>364.34</v>
      </c>
      <c r="D60" s="614">
        <v>7.2999999999999995E-2</v>
      </c>
      <c r="E60" s="615">
        <v>0.18</v>
      </c>
      <c r="F60" s="616">
        <v>0.2</v>
      </c>
      <c r="G60" s="617">
        <v>364.6</v>
      </c>
      <c r="H60" s="618">
        <v>1.1000000000000001</v>
      </c>
      <c r="I60" s="619">
        <v>2</v>
      </c>
      <c r="J60" s="613">
        <v>0.26</v>
      </c>
      <c r="K60" s="620">
        <v>2</v>
      </c>
      <c r="L60" s="621">
        <v>1.2</v>
      </c>
      <c r="O60" s="595" t="s">
        <v>643</v>
      </c>
      <c r="P60" s="595" t="s">
        <v>644</v>
      </c>
      <c r="Q60" s="595" t="s">
        <v>645</v>
      </c>
    </row>
    <row r="61" spans="1:17" s="227" customFormat="1" ht="12.95" customHeight="1" x14ac:dyDescent="0.2">
      <c r="A61" s="622"/>
      <c r="B61" s="622"/>
      <c r="C61" s="623"/>
      <c r="D61" s="597"/>
      <c r="E61" s="598"/>
      <c r="F61" s="606"/>
      <c r="G61" s="606"/>
      <c r="H61" s="601"/>
      <c r="I61" s="601"/>
      <c r="J61" s="603"/>
      <c r="K61" s="623"/>
      <c r="L61" s="603"/>
      <c r="M61" s="624"/>
    </row>
    <row r="62" spans="1:17" s="227" customFormat="1" ht="12.95" customHeight="1" x14ac:dyDescent="0.2">
      <c r="A62" s="622"/>
      <c r="B62" s="622"/>
      <c r="C62" s="623"/>
      <c r="D62" s="597"/>
      <c r="E62" s="598"/>
      <c r="F62" s="606"/>
      <c r="G62" s="606"/>
      <c r="H62" s="601"/>
      <c r="I62" s="601"/>
      <c r="J62" s="603"/>
      <c r="K62" s="623"/>
      <c r="L62" s="603"/>
      <c r="M62" s="624"/>
    </row>
    <row r="63" spans="1:17" s="227" customFormat="1" ht="12.95" customHeight="1" x14ac:dyDescent="0.2">
      <c r="A63" s="535" t="s">
        <v>646</v>
      </c>
      <c r="B63" s="535" t="s">
        <v>542</v>
      </c>
      <c r="C63" s="625" t="s">
        <v>647</v>
      </c>
      <c r="D63" s="626" t="s">
        <v>312</v>
      </c>
      <c r="E63" s="626" t="s">
        <v>313</v>
      </c>
      <c r="F63" s="627" t="s">
        <v>314</v>
      </c>
      <c r="G63" s="625" t="s">
        <v>315</v>
      </c>
      <c r="H63" s="626" t="s">
        <v>316</v>
      </c>
      <c r="I63" s="626" t="s">
        <v>317</v>
      </c>
      <c r="J63" s="582" t="s">
        <v>550</v>
      </c>
      <c r="K63" s="583" t="s">
        <v>551</v>
      </c>
      <c r="L63" s="584" t="s">
        <v>552</v>
      </c>
    </row>
    <row r="64" spans="1:17" s="227" customFormat="1" ht="12.95" customHeight="1" x14ac:dyDescent="0.2">
      <c r="A64" s="546" t="s">
        <v>648</v>
      </c>
      <c r="B64" s="546" t="s">
        <v>649</v>
      </c>
      <c r="C64" s="628">
        <v>363.12</v>
      </c>
      <c r="D64" s="629">
        <v>7.2999999999999995E-2</v>
      </c>
      <c r="E64" s="629">
        <v>0.18</v>
      </c>
      <c r="F64" s="630">
        <v>0.2</v>
      </c>
      <c r="G64" s="628">
        <v>363.2</v>
      </c>
      <c r="H64" s="629">
        <v>0.06</v>
      </c>
      <c r="I64" s="629">
        <v>2</v>
      </c>
      <c r="J64" s="628">
        <v>0.08</v>
      </c>
      <c r="K64" s="629">
        <v>2</v>
      </c>
      <c r="L64" s="630">
        <v>0.41</v>
      </c>
    </row>
    <row r="65" spans="8:26" ht="14.25" x14ac:dyDescent="0.2">
      <c r="H65" s="9"/>
      <c r="X65" s="21"/>
      <c r="Y65" s="21"/>
      <c r="Z65" s="21"/>
    </row>
    <row r="66" spans="8:26" ht="14.25" x14ac:dyDescent="0.2">
      <c r="H66" s="9"/>
      <c r="X66" s="21"/>
      <c r="Y66" s="21"/>
      <c r="Z66" s="21"/>
    </row>
    <row r="67" spans="8:26" ht="14.25" x14ac:dyDescent="0.2">
      <c r="H67" s="9"/>
      <c r="U67" s="152"/>
      <c r="V67" s="21"/>
      <c r="W67" s="21"/>
      <c r="X67" s="21"/>
      <c r="Y67" s="21"/>
      <c r="Z67" s="21"/>
    </row>
    <row r="68" spans="8:26" ht="14.25" x14ac:dyDescent="0.2">
      <c r="H68" s="9"/>
      <c r="U68" s="152"/>
      <c r="V68" s="21"/>
      <c r="W68" s="21"/>
      <c r="X68" s="21"/>
      <c r="Y68" s="21"/>
      <c r="Z68" s="21"/>
    </row>
    <row r="69" spans="8:26" ht="14.25" x14ac:dyDescent="0.2">
      <c r="H69" s="9"/>
      <c r="U69" s="152"/>
      <c r="V69" s="21"/>
      <c r="W69" s="21"/>
      <c r="X69" s="21"/>
      <c r="Y69" s="21"/>
      <c r="Z69" s="21"/>
    </row>
    <row r="70" spans="8:26" ht="14.25" x14ac:dyDescent="0.2">
      <c r="H70" s="9"/>
      <c r="U70" s="152"/>
      <c r="V70" s="21"/>
      <c r="W70" s="21"/>
      <c r="X70" s="21"/>
      <c r="Y70" s="21"/>
      <c r="Z70" s="21"/>
    </row>
    <row r="71" spans="8:26" ht="14.25" x14ac:dyDescent="0.2">
      <c r="H71" s="9"/>
      <c r="U71" s="152"/>
      <c r="V71" s="21"/>
      <c r="W71" s="21"/>
      <c r="X71" s="21"/>
      <c r="Y71" s="21"/>
      <c r="Z71" s="21"/>
    </row>
    <row r="72" spans="8:26" ht="14.25" x14ac:dyDescent="0.2">
      <c r="H72" s="9"/>
      <c r="U72" s="152"/>
      <c r="V72" s="21"/>
      <c r="W72" s="21"/>
      <c r="X72" s="21"/>
      <c r="Y72" s="21"/>
      <c r="Z72" s="21"/>
    </row>
    <row r="73" spans="8:26" ht="14.25" x14ac:dyDescent="0.2">
      <c r="H73" s="9"/>
      <c r="U73" s="152"/>
      <c r="V73" s="21"/>
      <c r="W73" s="21"/>
      <c r="X73" s="21"/>
      <c r="Y73" s="21"/>
      <c r="Z73" s="21"/>
    </row>
    <row r="74" spans="8:26" ht="14.25" x14ac:dyDescent="0.2">
      <c r="H74" s="9"/>
      <c r="U74" s="152"/>
      <c r="V74" s="21"/>
      <c r="W74" s="21"/>
      <c r="X74" s="21"/>
      <c r="Y74" s="21"/>
      <c r="Z74" s="21"/>
    </row>
    <row r="75" spans="8:26" ht="14.25" x14ac:dyDescent="0.2">
      <c r="H75" s="9"/>
      <c r="U75" s="152"/>
      <c r="V75" s="21"/>
      <c r="W75" s="21"/>
      <c r="X75" s="21"/>
      <c r="Y75" s="21"/>
      <c r="Z75" s="21"/>
    </row>
    <row r="76" spans="8:26" ht="14.25" x14ac:dyDescent="0.2">
      <c r="H76" s="9"/>
      <c r="U76" s="152"/>
      <c r="V76" s="21"/>
      <c r="W76" s="21"/>
      <c r="X76" s="21"/>
      <c r="Y76" s="21"/>
      <c r="Z76" s="21"/>
    </row>
    <row r="77" spans="8:26" ht="14.25" x14ac:dyDescent="0.2">
      <c r="H77" s="9"/>
      <c r="U77" s="152"/>
      <c r="V77" s="21"/>
      <c r="W77" s="21"/>
      <c r="X77" s="21"/>
      <c r="Y77" s="21"/>
      <c r="Z77" s="21"/>
    </row>
    <row r="78" spans="8:26" ht="14.25" x14ac:dyDescent="0.2">
      <c r="H78" s="9"/>
      <c r="U78" s="152"/>
      <c r="V78" s="21"/>
      <c r="W78" s="21"/>
      <c r="X78" s="21"/>
      <c r="Y78" s="21"/>
      <c r="Z78" s="21"/>
    </row>
    <row r="79" spans="8:26" ht="14.25" x14ac:dyDescent="0.2">
      <c r="H79" s="9"/>
      <c r="U79" s="152"/>
      <c r="V79" s="21"/>
      <c r="W79" s="21"/>
      <c r="X79" s="21"/>
      <c r="Y79" s="21"/>
      <c r="Z79" s="21"/>
    </row>
    <row r="80" spans="8:26" ht="14.25" x14ac:dyDescent="0.2">
      <c r="H80" s="9"/>
      <c r="U80" s="152"/>
      <c r="V80" s="21"/>
      <c r="W80" s="21"/>
      <c r="X80" s="21"/>
      <c r="Y80" s="21"/>
      <c r="Z80" s="21"/>
    </row>
    <row r="81" spans="8:26" ht="14.25" x14ac:dyDescent="0.2">
      <c r="H81" s="9"/>
      <c r="U81" s="152"/>
      <c r="V81" s="21"/>
      <c r="W81" s="21"/>
      <c r="X81" s="21"/>
      <c r="Y81" s="21"/>
      <c r="Z81" s="21"/>
    </row>
    <row r="82" spans="8:26" ht="14.25" x14ac:dyDescent="0.2">
      <c r="H82" s="9"/>
      <c r="U82" s="152"/>
      <c r="V82" s="21"/>
      <c r="W82" s="21"/>
      <c r="X82" s="21"/>
      <c r="Y82" s="21"/>
      <c r="Z82" s="21"/>
    </row>
    <row r="83" spans="8:26" ht="14.25" x14ac:dyDescent="0.2">
      <c r="H83" s="9"/>
      <c r="U83" s="152"/>
      <c r="V83" s="21"/>
      <c r="W83" s="21"/>
      <c r="X83" s="21"/>
      <c r="Y83" s="21"/>
      <c r="Z83" s="21"/>
    </row>
    <row r="84" spans="8:26" ht="14.25" x14ac:dyDescent="0.2">
      <c r="H84" s="9"/>
      <c r="U84" s="152"/>
      <c r="V84" s="21"/>
      <c r="W84" s="21"/>
      <c r="X84" s="21"/>
      <c r="Y84" s="21"/>
      <c r="Z84" s="21"/>
    </row>
    <row r="85" spans="8:26" ht="14.25" x14ac:dyDescent="0.2">
      <c r="U85" s="152"/>
      <c r="V85" s="21"/>
      <c r="W85" s="21"/>
      <c r="X85" s="21"/>
      <c r="Y85" s="21"/>
      <c r="Z85" s="21"/>
    </row>
    <row r="86" spans="8:26" ht="14.25" x14ac:dyDescent="0.2">
      <c r="H86" s="9"/>
      <c r="U86" s="152"/>
      <c r="V86" s="21"/>
      <c r="W86" s="21"/>
      <c r="X86" s="21"/>
      <c r="Y86" s="21"/>
      <c r="Z86" s="21"/>
    </row>
    <row r="87" spans="8:26" ht="14.25" x14ac:dyDescent="0.2">
      <c r="H87" s="9"/>
      <c r="U87" s="152"/>
      <c r="V87" s="21"/>
      <c r="W87" s="21"/>
      <c r="X87" s="21"/>
      <c r="Y87" s="21"/>
      <c r="Z87" s="21"/>
    </row>
    <row r="88" spans="8:26" ht="14.25" x14ac:dyDescent="0.2">
      <c r="H88" s="9"/>
      <c r="U88" s="152"/>
      <c r="V88" s="21"/>
      <c r="W88" s="21"/>
      <c r="X88" s="21"/>
      <c r="Y88" s="21"/>
      <c r="Z88" s="21"/>
    </row>
    <row r="89" spans="8:26" ht="14.25" x14ac:dyDescent="0.2">
      <c r="H89" s="9"/>
      <c r="U89" s="152"/>
      <c r="V89" s="21"/>
      <c r="W89" s="21"/>
      <c r="X89" s="21"/>
      <c r="Y89" s="21"/>
      <c r="Z89" s="21"/>
    </row>
    <row r="90" spans="8:26" ht="14.25" x14ac:dyDescent="0.2">
      <c r="H90" s="9"/>
      <c r="U90" s="152"/>
      <c r="V90" s="21"/>
      <c r="W90" s="21"/>
      <c r="X90" s="21"/>
      <c r="Y90" s="21"/>
      <c r="Z90" s="21"/>
    </row>
    <row r="91" spans="8:26" ht="14.25" x14ac:dyDescent="0.2">
      <c r="H91" s="9"/>
      <c r="U91" s="152"/>
      <c r="V91" s="21"/>
      <c r="W91" s="21"/>
      <c r="X91" s="21"/>
      <c r="Y91" s="21"/>
      <c r="Z91" s="21"/>
    </row>
    <row r="92" spans="8:26" ht="14.25" x14ac:dyDescent="0.2">
      <c r="U92" s="152"/>
      <c r="V92" s="21"/>
      <c r="W92" s="21"/>
      <c r="X92" s="21"/>
      <c r="Y92" s="21"/>
      <c r="Z92" s="21"/>
    </row>
    <row r="93" spans="8:26" ht="14.25" x14ac:dyDescent="0.2">
      <c r="U93" s="152"/>
      <c r="V93" s="21"/>
      <c r="W93" s="21"/>
      <c r="X93" s="21"/>
      <c r="Y93" s="21"/>
      <c r="Z93" s="21"/>
    </row>
    <row r="94" spans="8:26" ht="14.25" x14ac:dyDescent="0.2">
      <c r="U94" s="152"/>
      <c r="V94" s="21"/>
      <c r="W94" s="21"/>
      <c r="X94" s="21"/>
      <c r="Y94" s="21"/>
      <c r="Z94" s="21"/>
    </row>
    <row r="95" spans="8:26" ht="14.25" x14ac:dyDescent="0.2">
      <c r="U95" s="152"/>
      <c r="V95" s="21"/>
      <c r="W95" s="21"/>
      <c r="X95" s="21"/>
      <c r="Y95" s="21"/>
      <c r="Z95" s="21"/>
    </row>
    <row r="96" spans="8:26" ht="14.25" x14ac:dyDescent="0.2">
      <c r="U96" s="152"/>
      <c r="V96" s="21"/>
      <c r="W96" s="21"/>
      <c r="X96" s="21"/>
      <c r="Y96" s="21"/>
      <c r="Z96" s="21"/>
    </row>
    <row r="97" spans="1:26" ht="14.25" x14ac:dyDescent="0.2">
      <c r="U97" s="152"/>
      <c r="V97" s="21"/>
      <c r="W97" s="21"/>
      <c r="X97" s="21"/>
      <c r="Y97" s="21"/>
      <c r="Z97" s="21"/>
    </row>
    <row r="98" spans="1:26" ht="14.25" x14ac:dyDescent="0.2">
      <c r="A98" s="23"/>
      <c r="B98" s="23"/>
      <c r="C98" s="23"/>
      <c r="D98" s="23"/>
      <c r="T98" s="151"/>
      <c r="U98" s="152"/>
      <c r="V98" s="21"/>
      <c r="W98" s="21"/>
      <c r="X98" s="21"/>
      <c r="Y98" s="21"/>
      <c r="Z98" s="21"/>
    </row>
    <row r="99" spans="1:26" ht="14.25" x14ac:dyDescent="0.2">
      <c r="T99" s="151"/>
      <c r="U99" s="152"/>
      <c r="V99" s="21"/>
      <c r="W99" s="21"/>
      <c r="X99" s="21"/>
      <c r="Y99" s="21"/>
      <c r="Z99" s="21"/>
    </row>
    <row r="100" spans="1:26" ht="14.25" x14ac:dyDescent="0.2">
      <c r="T100" s="151"/>
      <c r="U100" s="152"/>
      <c r="V100" s="21"/>
      <c r="W100" s="21"/>
      <c r="X100" s="21"/>
      <c r="Y100" s="21"/>
      <c r="Z100" s="21"/>
    </row>
    <row r="101" spans="1:26" ht="14.25" x14ac:dyDescent="0.2">
      <c r="T101" s="151"/>
      <c r="U101" s="152"/>
      <c r="V101" s="21"/>
      <c r="W101" s="21"/>
      <c r="X101" s="21"/>
      <c r="Y101" s="21"/>
      <c r="Z101" s="21"/>
    </row>
    <row r="102" spans="1:26" ht="14.25" x14ac:dyDescent="0.2">
      <c r="T102" s="151"/>
      <c r="U102" s="152"/>
      <c r="V102" s="21"/>
      <c r="W102" s="21"/>
      <c r="X102" s="21"/>
      <c r="Y102" s="21"/>
      <c r="Z102" s="21"/>
    </row>
    <row r="103" spans="1:26" ht="14.25" x14ac:dyDescent="0.2">
      <c r="T103" s="151"/>
      <c r="U103" s="152"/>
      <c r="V103" s="21"/>
      <c r="W103" s="21"/>
      <c r="X103" s="21"/>
      <c r="Y103" s="21"/>
      <c r="Z103" s="21"/>
    </row>
    <row r="104" spans="1:26" ht="14.25" x14ac:dyDescent="0.2">
      <c r="T104" s="151"/>
      <c r="U104" s="152"/>
      <c r="V104" s="21"/>
      <c r="W104" s="21"/>
      <c r="X104" s="21"/>
      <c r="Y104" s="21"/>
      <c r="Z104" s="21"/>
    </row>
    <row r="105" spans="1:26" ht="14.25" x14ac:dyDescent="0.2">
      <c r="T105" s="151"/>
      <c r="U105" s="152"/>
      <c r="V105" s="21"/>
      <c r="W105" s="21"/>
      <c r="X105" s="21"/>
      <c r="Y105" s="21"/>
      <c r="Z105" s="21"/>
    </row>
    <row r="106" spans="1:26" ht="14.25" x14ac:dyDescent="0.2">
      <c r="T106" s="151"/>
      <c r="U106" s="152"/>
      <c r="V106" s="21"/>
      <c r="W106" s="21"/>
      <c r="X106" s="21"/>
      <c r="Y106" s="21"/>
      <c r="Z106" s="21"/>
    </row>
    <row r="107" spans="1:26" ht="14.25" x14ac:dyDescent="0.2">
      <c r="T107" s="151"/>
      <c r="U107" s="152"/>
      <c r="V107" s="21"/>
      <c r="W107" s="21"/>
      <c r="X107" s="21"/>
      <c r="Y107" s="21"/>
      <c r="Z107" s="21"/>
    </row>
    <row r="108" spans="1:26" ht="14.25" x14ac:dyDescent="0.2">
      <c r="T108" s="151"/>
      <c r="U108" s="152"/>
      <c r="V108" s="21"/>
      <c r="W108" s="21"/>
      <c r="X108" s="21"/>
      <c r="Y108" s="21"/>
      <c r="Z108" s="21"/>
    </row>
    <row r="109" spans="1:26" ht="14.25" x14ac:dyDescent="0.2">
      <c r="T109" s="151"/>
      <c r="U109" s="152"/>
      <c r="V109" s="21"/>
      <c r="W109" s="21"/>
      <c r="X109" s="21"/>
      <c r="Y109" s="21"/>
      <c r="Z109" s="21"/>
    </row>
    <row r="110" spans="1:26" ht="14.25" x14ac:dyDescent="0.2">
      <c r="T110" s="151"/>
      <c r="U110" s="152"/>
      <c r="V110" s="21"/>
      <c r="W110" s="21"/>
      <c r="X110" s="21"/>
      <c r="Y110" s="21"/>
      <c r="Z110" s="21"/>
    </row>
    <row r="111" spans="1:26" ht="14.25" x14ac:dyDescent="0.2">
      <c r="A111" s="23"/>
      <c r="B111" s="23"/>
      <c r="C111" s="23"/>
      <c r="D111" s="23"/>
      <c r="T111" s="151"/>
      <c r="U111" s="152"/>
      <c r="V111" s="21"/>
      <c r="W111" s="21"/>
      <c r="X111" s="21"/>
      <c r="Y111" s="21"/>
      <c r="Z111" s="21"/>
    </row>
    <row r="112" spans="1:26" ht="14.25" x14ac:dyDescent="0.2">
      <c r="A112" s="23"/>
      <c r="B112" s="23"/>
      <c r="C112" s="23"/>
      <c r="D112" s="23"/>
      <c r="T112" s="151"/>
      <c r="U112" s="152"/>
      <c r="V112" s="21"/>
      <c r="W112" s="21"/>
      <c r="X112" s="21"/>
      <c r="Y112" s="21"/>
      <c r="Z112" s="21"/>
    </row>
    <row r="113" spans="1:26" ht="14.25" x14ac:dyDescent="0.2">
      <c r="A113" s="23"/>
      <c r="B113" s="23"/>
      <c r="C113" s="23"/>
      <c r="D113" s="23"/>
      <c r="T113" s="151"/>
      <c r="U113" s="152"/>
      <c r="V113" s="21"/>
      <c r="W113" s="21"/>
      <c r="X113" s="21"/>
      <c r="Y113" s="21"/>
      <c r="Z113" s="21"/>
    </row>
    <row r="114" spans="1:26" ht="14.25" x14ac:dyDescent="0.2">
      <c r="A114" s="23"/>
      <c r="B114" s="23"/>
      <c r="C114" s="23"/>
      <c r="D114" s="23"/>
      <c r="T114" s="151"/>
      <c r="U114" s="152"/>
      <c r="V114" s="21"/>
      <c r="W114" s="21"/>
      <c r="X114" s="21"/>
      <c r="Y114" s="21"/>
      <c r="Z114" s="21"/>
    </row>
    <row r="115" spans="1:26" ht="14.25" x14ac:dyDescent="0.2">
      <c r="A115" s="23"/>
      <c r="B115" s="23"/>
      <c r="C115" s="23"/>
      <c r="D115" s="23"/>
      <c r="T115" s="151"/>
      <c r="U115" s="152"/>
      <c r="V115" s="21"/>
      <c r="W115" s="21"/>
      <c r="X115" s="21"/>
      <c r="Y115" s="21"/>
      <c r="Z115" s="21"/>
    </row>
    <row r="116" spans="1:26" ht="14.25" x14ac:dyDescent="0.2">
      <c r="A116" s="23"/>
      <c r="B116" s="23"/>
      <c r="C116" s="23"/>
      <c r="D116" s="23"/>
      <c r="T116" s="151"/>
      <c r="U116" s="152"/>
      <c r="V116" s="21"/>
      <c r="W116" s="21"/>
      <c r="X116" s="21"/>
      <c r="Y116" s="21"/>
      <c r="Z116" s="21"/>
    </row>
    <row r="117" spans="1:26" ht="14.25" x14ac:dyDescent="0.2">
      <c r="A117" s="23"/>
      <c r="B117" s="23"/>
      <c r="C117" s="23"/>
      <c r="D117" s="23"/>
      <c r="T117" s="151"/>
      <c r="U117" s="152"/>
      <c r="V117" s="21"/>
      <c r="W117" s="21"/>
      <c r="X117" s="21"/>
      <c r="Y117" s="21"/>
      <c r="Z117" s="21"/>
    </row>
    <row r="118" spans="1:26" ht="14.25" x14ac:dyDescent="0.2">
      <c r="A118" s="23"/>
      <c r="B118" s="23"/>
      <c r="C118" s="23"/>
      <c r="D118" s="23"/>
      <c r="T118" s="151"/>
      <c r="U118" s="152"/>
      <c r="V118" s="21"/>
      <c r="W118" s="21"/>
      <c r="X118" s="21"/>
      <c r="Y118" s="21"/>
      <c r="Z118" s="21"/>
    </row>
    <row r="119" spans="1:26" ht="14.25" x14ac:dyDescent="0.2">
      <c r="A119" s="23"/>
      <c r="B119" s="23"/>
      <c r="C119" s="23"/>
      <c r="D119" s="23"/>
      <c r="T119" s="151"/>
      <c r="U119" s="152"/>
      <c r="V119" s="21"/>
      <c r="W119" s="21"/>
      <c r="X119" s="21"/>
      <c r="Y119" s="21"/>
      <c r="Z119" s="21"/>
    </row>
    <row r="120" spans="1:26" ht="14.25" x14ac:dyDescent="0.2">
      <c r="A120" s="23"/>
      <c r="B120" s="23"/>
      <c r="C120" s="23"/>
      <c r="D120" s="23"/>
      <c r="T120" s="151"/>
      <c r="U120" s="152"/>
      <c r="V120" s="21"/>
      <c r="W120" s="21"/>
      <c r="X120" s="21"/>
      <c r="Y120" s="21"/>
      <c r="Z120" s="21"/>
    </row>
    <row r="121" spans="1:26" ht="14.25" x14ac:dyDescent="0.2">
      <c r="A121" s="23"/>
      <c r="B121" s="23"/>
      <c r="C121" s="23"/>
      <c r="D121" s="23"/>
      <c r="T121" s="151"/>
      <c r="U121" s="152"/>
      <c r="V121" s="21"/>
      <c r="W121" s="21"/>
      <c r="X121" s="21"/>
      <c r="Y121" s="21"/>
      <c r="Z121" s="21"/>
    </row>
    <row r="122" spans="1:26" ht="14.25" x14ac:dyDescent="0.2">
      <c r="A122" s="23"/>
      <c r="B122" s="23"/>
      <c r="C122" s="23"/>
      <c r="D122" s="23"/>
      <c r="T122" s="151"/>
      <c r="U122" s="152"/>
      <c r="V122" s="21"/>
      <c r="W122" s="21"/>
      <c r="X122" s="21"/>
      <c r="Y122" s="21"/>
      <c r="Z122" s="21"/>
    </row>
    <row r="123" spans="1:26" ht="14.25" x14ac:dyDescent="0.2">
      <c r="A123" s="23"/>
      <c r="B123" s="23"/>
      <c r="C123" s="23"/>
      <c r="D123" s="23"/>
      <c r="T123" s="151"/>
      <c r="U123" s="152"/>
      <c r="V123" s="21"/>
      <c r="W123" s="21"/>
      <c r="X123" s="21"/>
      <c r="Y123" s="21"/>
      <c r="Z123" s="21"/>
    </row>
    <row r="124" spans="1:26" ht="14.25" x14ac:dyDescent="0.2">
      <c r="A124" s="23"/>
      <c r="B124" s="23"/>
      <c r="C124" s="23"/>
      <c r="D124" s="23"/>
      <c r="T124" s="151"/>
      <c r="U124" s="152"/>
      <c r="V124" s="21"/>
      <c r="W124" s="21"/>
      <c r="X124" s="21"/>
      <c r="Y124" s="21"/>
      <c r="Z124" s="21"/>
    </row>
    <row r="125" spans="1:26" ht="13.5" x14ac:dyDescent="0.2">
      <c r="A125" s="24"/>
      <c r="B125" s="24"/>
      <c r="T125" s="153"/>
      <c r="V125" s="21"/>
      <c r="W125" s="21"/>
      <c r="X125" s="21"/>
      <c r="Y125" s="21"/>
      <c r="Z125" s="21"/>
    </row>
    <row r="139" spans="1:26" ht="16.899999999999999" customHeight="1" x14ac:dyDescent="0.2">
      <c r="A139" s="25"/>
    </row>
    <row r="140" spans="1:26" ht="12" customHeight="1" x14ac:dyDescent="0.2">
      <c r="A140" s="4"/>
    </row>
    <row r="141" spans="1:26" ht="13.15" customHeight="1" x14ac:dyDescent="0.2"/>
    <row r="142" spans="1:26" ht="13.15" customHeight="1" x14ac:dyDescent="0.2"/>
    <row r="143" spans="1:26" ht="13.15" customHeight="1" x14ac:dyDescent="0.2"/>
    <row r="144" spans="1:26" s="149" customFormat="1" ht="13.15" customHeight="1" x14ac:dyDescent="0.2">
      <c r="A144" s="1"/>
      <c r="B144" s="1"/>
      <c r="C144" s="1"/>
      <c r="D144" s="1"/>
      <c r="E144" s="1"/>
      <c r="F144" s="1"/>
      <c r="G144" s="1"/>
      <c r="H144" s="1"/>
      <c r="P144" s="1"/>
      <c r="Q144" s="1"/>
      <c r="T144" s="150"/>
      <c r="U144" s="150"/>
      <c r="V144" s="1"/>
      <c r="W144" s="1"/>
      <c r="X144" s="1"/>
      <c r="Y144" s="1"/>
      <c r="Z144" s="1"/>
    </row>
    <row r="145" spans="1:26" s="149" customFormat="1" ht="13.15" customHeight="1" x14ac:dyDescent="0.2">
      <c r="A145" s="1"/>
      <c r="B145" s="1"/>
      <c r="C145" s="1"/>
      <c r="D145" s="1"/>
      <c r="E145" s="1"/>
      <c r="F145" s="1"/>
      <c r="G145" s="1"/>
      <c r="H145" s="1"/>
      <c r="P145" s="1"/>
      <c r="Q145" s="1"/>
      <c r="T145" s="150"/>
      <c r="U145" s="150"/>
      <c r="V145" s="1"/>
      <c r="W145" s="1"/>
      <c r="X145" s="1"/>
      <c r="Y145" s="1"/>
      <c r="Z145" s="1"/>
    </row>
    <row r="146" spans="1:26" s="149" customFormat="1" ht="13.15" customHeight="1" x14ac:dyDescent="0.2">
      <c r="A146" s="1"/>
      <c r="B146" s="1"/>
      <c r="C146" s="1"/>
      <c r="D146" s="1"/>
      <c r="E146" s="1"/>
      <c r="F146" s="1"/>
      <c r="G146" s="1"/>
      <c r="H146" s="1"/>
      <c r="P146" s="1"/>
      <c r="Q146" s="1"/>
      <c r="T146" s="150"/>
      <c r="U146" s="150"/>
      <c r="V146" s="1"/>
      <c r="W146" s="1"/>
      <c r="X146" s="1"/>
      <c r="Y146" s="1"/>
      <c r="Z146" s="1"/>
    </row>
    <row r="147" spans="1:26" s="149" customFormat="1" ht="12" customHeight="1" x14ac:dyDescent="0.2">
      <c r="A147" s="1"/>
      <c r="B147" s="1"/>
      <c r="C147" s="1"/>
      <c r="D147" s="1"/>
      <c r="E147" s="1"/>
      <c r="F147" s="1"/>
      <c r="G147" s="1"/>
      <c r="H147" s="1"/>
      <c r="P147" s="1"/>
      <c r="Q147" s="1"/>
      <c r="T147" s="150"/>
      <c r="U147" s="150"/>
      <c r="V147" s="1"/>
      <c r="W147" s="1"/>
      <c r="X147" s="1"/>
      <c r="Y147" s="1"/>
      <c r="Z147" s="1"/>
    </row>
    <row r="148" spans="1:26" s="149" customFormat="1" ht="12" customHeight="1" x14ac:dyDescent="0.2">
      <c r="A148" s="1"/>
      <c r="B148" s="1"/>
      <c r="C148" s="1"/>
      <c r="D148" s="1"/>
      <c r="E148" s="1"/>
      <c r="F148" s="1"/>
      <c r="G148" s="1"/>
      <c r="H148" s="1"/>
      <c r="P148" s="1"/>
      <c r="Q148" s="1"/>
      <c r="T148" s="150"/>
      <c r="U148" s="150"/>
      <c r="V148" s="1"/>
      <c r="W148" s="1"/>
      <c r="X148" s="1"/>
      <c r="Y148" s="1"/>
      <c r="Z148" s="1"/>
    </row>
    <row r="149" spans="1:26" s="149" customFormat="1" ht="15" customHeight="1" x14ac:dyDescent="0.2">
      <c r="A149" s="1"/>
      <c r="B149" s="1"/>
      <c r="C149" s="1"/>
      <c r="D149" s="1"/>
      <c r="E149" s="1"/>
      <c r="F149" s="1"/>
      <c r="G149" s="1"/>
      <c r="H149" s="1"/>
      <c r="P149" s="1"/>
      <c r="Q149" s="1"/>
      <c r="T149" s="150"/>
      <c r="U149" s="150"/>
      <c r="V149" s="1"/>
      <c r="W149" s="1"/>
      <c r="X149" s="1"/>
      <c r="Y149" s="1"/>
      <c r="Z149" s="1"/>
    </row>
    <row r="150" spans="1:26" s="149" customFormat="1" ht="15" customHeight="1" x14ac:dyDescent="0.2">
      <c r="A150" s="1"/>
      <c r="B150" s="1"/>
      <c r="C150" s="1"/>
      <c r="D150" s="1"/>
      <c r="E150" s="1"/>
      <c r="F150" s="1"/>
      <c r="G150" s="1"/>
      <c r="H150" s="1"/>
      <c r="P150" s="1"/>
      <c r="Q150" s="1"/>
      <c r="T150" s="150"/>
      <c r="U150" s="150"/>
      <c r="V150" s="1"/>
      <c r="W150" s="1"/>
      <c r="X150" s="1"/>
      <c r="Y150" s="1"/>
      <c r="Z150" s="1"/>
    </row>
  </sheetData>
  <sheetProtection sheet="1" formatCells="0" formatColumns="0" formatRows="0"/>
  <phoneticPr fontId="4"/>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66E92-4E4A-438C-A031-E6CDF2E91BE1}">
  <dimension ref="A1:Z141"/>
  <sheetViews>
    <sheetView zoomScale="160" zoomScaleNormal="160" workbookViewId="0">
      <selection activeCell="M5" sqref="M5"/>
    </sheetView>
  </sheetViews>
  <sheetFormatPr defaultColWidth="9.33203125" defaultRowHeight="12.75" x14ac:dyDescent="0.2"/>
  <cols>
    <col min="1" max="2" width="9.33203125" style="1"/>
    <col min="3" max="7" width="10.1640625" style="1" customWidth="1"/>
    <col min="8" max="8" width="9.33203125" style="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650</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651</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 customFormat="1" x14ac:dyDescent="0.2">
      <c r="A6" s="407" t="s">
        <v>652</v>
      </c>
      <c r="B6" s="99"/>
      <c r="C6" s="99"/>
      <c r="D6" s="99"/>
      <c r="E6" s="99"/>
      <c r="F6" s="99"/>
      <c r="G6" s="99"/>
      <c r="H6" s="99"/>
      <c r="I6" s="113"/>
      <c r="J6" s="113"/>
      <c r="K6" s="113"/>
      <c r="L6" s="113"/>
      <c r="M6" s="113"/>
      <c r="N6" s="113"/>
      <c r="O6" s="113"/>
      <c r="R6" s="113"/>
      <c r="S6" s="113"/>
      <c r="T6" s="146"/>
      <c r="U6" s="146"/>
    </row>
    <row r="7" spans="1:25" s="2" customFormat="1" x14ac:dyDescent="0.2">
      <c r="A7" s="407" t="s">
        <v>653</v>
      </c>
      <c r="B7" s="99"/>
      <c r="C7" s="99"/>
      <c r="D7" s="99"/>
      <c r="E7" s="99"/>
      <c r="F7" s="99"/>
      <c r="G7" s="99"/>
      <c r="H7" s="99"/>
      <c r="I7" s="113"/>
      <c r="J7" s="113"/>
      <c r="K7" s="113"/>
      <c r="L7" s="113"/>
      <c r="M7" s="113"/>
      <c r="N7" s="113"/>
      <c r="O7" s="113"/>
      <c r="R7" s="113"/>
      <c r="S7" s="113"/>
      <c r="T7" s="146"/>
      <c r="U7" s="146"/>
    </row>
    <row r="8" spans="1:25" s="2" customFormat="1" x14ac:dyDescent="0.2">
      <c r="A8" s="226" t="s">
        <v>654</v>
      </c>
      <c r="B8" s="99"/>
      <c r="C8" s="99"/>
      <c r="D8" s="99"/>
      <c r="E8" s="99"/>
      <c r="F8" s="99"/>
      <c r="G8" s="99"/>
      <c r="H8" s="99"/>
      <c r="I8" s="113"/>
      <c r="J8" s="113"/>
      <c r="K8" s="113"/>
      <c r="L8" s="113"/>
      <c r="M8" s="113"/>
      <c r="N8" s="113"/>
      <c r="O8" s="113"/>
      <c r="R8" s="113"/>
      <c r="S8" s="113"/>
      <c r="T8" s="146"/>
      <c r="U8" s="146"/>
    </row>
    <row r="9" spans="1:25" s="2" customFormat="1" x14ac:dyDescent="0.2">
      <c r="A9" s="113"/>
      <c r="B9" s="99"/>
      <c r="C9" s="99"/>
      <c r="D9" s="99"/>
      <c r="E9" s="99"/>
      <c r="F9" s="99"/>
      <c r="G9" s="99"/>
      <c r="H9" s="99"/>
      <c r="I9" s="113"/>
      <c r="J9" s="113"/>
      <c r="K9" s="113"/>
      <c r="L9" s="113"/>
      <c r="M9" s="113"/>
      <c r="N9" s="113"/>
      <c r="O9" s="113"/>
      <c r="R9" s="113"/>
      <c r="S9" s="113"/>
      <c r="T9" s="146"/>
      <c r="U9" s="146"/>
    </row>
    <row r="10" spans="1:25" x14ac:dyDescent="0.2">
      <c r="A10" s="102"/>
      <c r="B10" s="97"/>
      <c r="C10" s="97"/>
      <c r="D10" s="97"/>
      <c r="E10" s="97"/>
      <c r="F10" s="97"/>
      <c r="G10" s="97"/>
      <c r="H10" s="97"/>
      <c r="I10" s="113"/>
      <c r="J10" s="113"/>
      <c r="K10" s="113"/>
      <c r="L10" s="113"/>
      <c r="M10" s="113"/>
      <c r="N10" s="113"/>
      <c r="O10" s="113"/>
      <c r="R10" s="113"/>
      <c r="S10" s="113"/>
      <c r="T10" s="146"/>
      <c r="U10" s="146"/>
    </row>
    <row r="11" spans="1:25" x14ac:dyDescent="0.2">
      <c r="A11" s="97"/>
      <c r="B11" s="97"/>
      <c r="C11" s="97"/>
      <c r="D11" s="97"/>
      <c r="E11" s="97"/>
      <c r="F11" s="97"/>
      <c r="G11" s="97"/>
      <c r="H11" s="97"/>
      <c r="I11" s="113"/>
      <c r="J11" s="113"/>
      <c r="K11" s="113"/>
      <c r="L11" s="113"/>
      <c r="M11" s="113"/>
      <c r="N11" s="113"/>
      <c r="O11" s="113"/>
      <c r="R11" s="113"/>
      <c r="S11" s="113"/>
      <c r="T11" s="146"/>
      <c r="U11" s="146"/>
    </row>
    <row r="12" spans="1:25" x14ac:dyDescent="0.2">
      <c r="A12" s="97"/>
      <c r="B12" s="97"/>
      <c r="C12" s="97"/>
      <c r="D12" s="97"/>
      <c r="E12" s="97"/>
      <c r="F12" s="97"/>
      <c r="G12" s="97"/>
      <c r="H12" s="97"/>
      <c r="I12" s="113"/>
      <c r="J12" s="113"/>
      <c r="K12" s="113"/>
      <c r="L12" s="113"/>
      <c r="M12" s="113"/>
      <c r="N12" s="113"/>
      <c r="O12" s="113"/>
      <c r="R12" s="113"/>
      <c r="S12" s="113"/>
      <c r="T12" s="146"/>
      <c r="U12" s="146"/>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
        <v>655</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12</v>
      </c>
      <c r="N16" s="104" t="s">
        <v>1058</v>
      </c>
      <c r="O16" s="104" t="s">
        <v>100</v>
      </c>
      <c r="P16" s="6" t="s">
        <v>105</v>
      </c>
      <c r="Q16" s="6" t="s">
        <v>106</v>
      </c>
      <c r="R16" s="104" t="s">
        <v>1051</v>
      </c>
      <c r="S16" s="104" t="s">
        <v>1052</v>
      </c>
      <c r="T16" s="147" t="s">
        <v>80</v>
      </c>
      <c r="U16" s="147" t="s">
        <v>81</v>
      </c>
      <c r="V16" s="5" t="s">
        <v>101</v>
      </c>
      <c r="W16" s="5" t="s">
        <v>102</v>
      </c>
      <c r="X16" s="112" t="s">
        <v>103</v>
      </c>
      <c r="Y16" s="112" t="s">
        <v>104</v>
      </c>
    </row>
    <row r="17" spans="1:26" x14ac:dyDescent="0.2">
      <c r="A17" s="213" t="str">
        <f t="shared" ref="A17:A28" si="0">A34</f>
        <v>NMIJ</v>
      </c>
      <c r="B17" s="213"/>
      <c r="C17" s="214">
        <f>F34</f>
        <v>98.676000000000002</v>
      </c>
      <c r="D17" s="214">
        <f>G34</f>
        <v>8.9999999999999993E-3</v>
      </c>
      <c r="E17" s="214">
        <f t="shared" ref="E17:E28" si="1">B34</f>
        <v>98.674999999999997</v>
      </c>
      <c r="F17" s="214">
        <f t="shared" ref="F17:F28" si="2">C34/2</f>
        <v>8.9999999999999993E-3</v>
      </c>
      <c r="G17" s="214">
        <f>J34</f>
        <v>-1E-3</v>
      </c>
      <c r="H17" s="214">
        <f>K34</f>
        <v>2E-3</v>
      </c>
      <c r="I17" s="155">
        <f t="shared" ref="I17" si="3">IF(ABS(G17)&gt;ABS(H17), 1, 0)</f>
        <v>0</v>
      </c>
      <c r="J17" s="155">
        <f t="shared" ref="J17" si="4">I17*ABS(C17-E17)</f>
        <v>0</v>
      </c>
      <c r="K17" s="155">
        <f t="shared" ref="K17" si="5">SQRT(SUMSQ(F17,J17))*2</f>
        <v>1.7999999999999999E-2</v>
      </c>
      <c r="L17" s="155">
        <f t="shared" ref="L17" si="6">IF(C17&lt;$K$2, C17, $K$1)</f>
        <v>10</v>
      </c>
      <c r="M17" s="156">
        <f t="shared" ref="M17" si="7">IF(AND(C17&lt;$K$1,C17&gt; $K$2), K17/L17*100, K17/C17*100)</f>
        <v>1.8241517694272159E-2</v>
      </c>
      <c r="N17" s="157">
        <f t="shared" ref="N17" si="8">M17*L17/100</f>
        <v>1.8241517694272157E-3</v>
      </c>
      <c r="O17" s="155">
        <f t="shared" ref="O17" si="9">N17/(M17*L17/100)*100</f>
        <v>100</v>
      </c>
      <c r="P17" s="250">
        <v>1</v>
      </c>
      <c r="Q17" s="250">
        <v>1000</v>
      </c>
      <c r="R17" s="148">
        <f>IF( IF(P17&lt;L17, M17*L17/P17, M17)&gt;100, "ERROR",  IF(P17&lt;L17, M17*L17/P17, M17))</f>
        <v>0.18241517694272158</v>
      </c>
      <c r="S17" s="148">
        <f>IF(IF(Q17&lt;L17, M17*L17/Q17, M17)&gt;100, "ERROR", IF(Q17&lt;L17, M17*L17/Q17, M17))</f>
        <v>1.8241517694272159E-2</v>
      </c>
      <c r="T17" s="148">
        <f>R17*P17*0.01</f>
        <v>1.8241517694272159E-3</v>
      </c>
      <c r="U17" s="148">
        <f>S17*Q17*0.01</f>
        <v>0.18241517694272158</v>
      </c>
      <c r="V17" s="7">
        <f>P17*1000</f>
        <v>1000</v>
      </c>
      <c r="W17" s="7">
        <f>Q17*1000</f>
        <v>1000000</v>
      </c>
      <c r="X17" s="1345">
        <f>T17*1000</f>
        <v>1.824151769427216</v>
      </c>
      <c r="Y17" s="1345">
        <f>U17*1000</f>
        <v>182.41517694272159</v>
      </c>
    </row>
    <row r="18" spans="1:26" x14ac:dyDescent="0.2">
      <c r="A18" s="213" t="str">
        <f t="shared" si="0"/>
        <v>NPL</v>
      </c>
      <c r="B18" s="213"/>
      <c r="C18" s="214">
        <f t="shared" ref="C18:D18" si="10">F35</f>
        <v>99.045000000000002</v>
      </c>
      <c r="D18" s="214">
        <f t="shared" si="10"/>
        <v>3.9E-2</v>
      </c>
      <c r="E18" s="214">
        <f t="shared" si="1"/>
        <v>99.001999999999995</v>
      </c>
      <c r="F18" s="214">
        <f t="shared" si="2"/>
        <v>4.8000000000000001E-2</v>
      </c>
      <c r="G18" s="214">
        <f t="shared" ref="G18:H18" si="11">J35</f>
        <v>-4.2999999999999997E-2</v>
      </c>
      <c r="H18" s="214">
        <f t="shared" si="11"/>
        <v>5.6000000000000001E-2</v>
      </c>
      <c r="I18" s="155">
        <f t="shared" ref="I18:I28" si="12">IF(ABS(G18)&gt;ABS(H18), 1, 0)</f>
        <v>0</v>
      </c>
      <c r="J18" s="155">
        <f t="shared" ref="J18:J28" si="13">I18*ABS(C18-E18)</f>
        <v>0</v>
      </c>
      <c r="K18" s="155">
        <f t="shared" ref="K18:K28" si="14">SQRT(SUMSQ(F18,J18))*2</f>
        <v>9.6000000000000002E-2</v>
      </c>
      <c r="L18" s="155">
        <f t="shared" ref="L18:L28" si="15">IF(C18&lt;$K$2, C18, $K$1)</f>
        <v>10</v>
      </c>
      <c r="M18" s="156">
        <f t="shared" ref="M18:M28" si="16">IF(AND(C18&lt;$K$1,C18&gt; $K$2), K18/L18*100, K18/C18*100)</f>
        <v>9.6925639860669391E-2</v>
      </c>
      <c r="N18" s="157">
        <f t="shared" ref="N18:N28" si="17">M18*L18/100</f>
        <v>9.6925639860669394E-3</v>
      </c>
      <c r="O18" s="155">
        <f t="shared" ref="O18:O28" si="18">N18/(M18*L18/100)*100</f>
        <v>100</v>
      </c>
      <c r="P18" s="250">
        <v>1</v>
      </c>
      <c r="Q18" s="250">
        <v>1000</v>
      </c>
      <c r="R18" s="148">
        <f t="shared" ref="R18:R28" si="19">IF( IF(P18&lt;L18, M18*L18/P18, M18)&gt;100, "ERROR",  IF(P18&lt;L18, M18*L18/P18, M18))</f>
        <v>0.96925639860669388</v>
      </c>
      <c r="S18" s="148">
        <f t="shared" ref="S18:S28" si="20">IF(IF(Q18&lt;L18, M18*L18/Q18, M18)&gt;100, "ERROR", IF(Q18&lt;L18, M18*L18/Q18, M18))</f>
        <v>9.6925639860669391E-2</v>
      </c>
      <c r="T18" s="148">
        <f t="shared" ref="T18:T28" si="21">R18*P18*0.01</f>
        <v>9.6925639860669394E-3</v>
      </c>
      <c r="U18" s="148">
        <f t="shared" ref="U18:U28" si="22">S18*Q18*0.01</f>
        <v>0.96925639860669399</v>
      </c>
      <c r="V18" s="7">
        <f t="shared" ref="V18:V28" si="23">P18*1000</f>
        <v>1000</v>
      </c>
      <c r="W18" s="7">
        <f t="shared" ref="W18:W28" si="24">Q18*1000</f>
        <v>1000000</v>
      </c>
      <c r="X18" s="1345">
        <f t="shared" ref="X18:X28" si="25">T18*1000</f>
        <v>9.6925639860669399</v>
      </c>
      <c r="Y18" s="1345">
        <f t="shared" ref="Y18:Y28" si="26">U18*1000</f>
        <v>969.25639860669401</v>
      </c>
    </row>
    <row r="19" spans="1:26" x14ac:dyDescent="0.2">
      <c r="A19" s="213" t="str">
        <f t="shared" si="0"/>
        <v>BAM</v>
      </c>
      <c r="B19" s="213"/>
      <c r="C19" s="214">
        <f t="shared" ref="C19:D19" si="27">F36</f>
        <v>99.072000000000003</v>
      </c>
      <c r="D19" s="214">
        <f t="shared" si="27"/>
        <v>5.8999999999999997E-2</v>
      </c>
      <c r="E19" s="214">
        <f t="shared" si="1"/>
        <v>99.17</v>
      </c>
      <c r="F19" s="214">
        <f t="shared" si="2"/>
        <v>0.125</v>
      </c>
      <c r="G19" s="214">
        <f t="shared" ref="G19:H19" si="28">J36</f>
        <v>9.8000000000000004E-2</v>
      </c>
      <c r="H19" s="214">
        <f t="shared" si="28"/>
        <v>0.23100000000000001</v>
      </c>
      <c r="I19" s="155">
        <f t="shared" si="12"/>
        <v>0</v>
      </c>
      <c r="J19" s="155">
        <f t="shared" si="13"/>
        <v>0</v>
      </c>
      <c r="K19" s="155">
        <f t="shared" si="14"/>
        <v>0.25</v>
      </c>
      <c r="L19" s="155">
        <f t="shared" si="15"/>
        <v>10</v>
      </c>
      <c r="M19" s="156">
        <f t="shared" si="16"/>
        <v>0.25234173126614989</v>
      </c>
      <c r="N19" s="157">
        <f t="shared" si="17"/>
        <v>2.5234173126614988E-2</v>
      </c>
      <c r="O19" s="155">
        <f t="shared" si="18"/>
        <v>100</v>
      </c>
      <c r="P19" s="250">
        <v>1</v>
      </c>
      <c r="Q19" s="250">
        <v>1000</v>
      </c>
      <c r="R19" s="148">
        <f t="shared" si="19"/>
        <v>2.5234173126614987</v>
      </c>
      <c r="S19" s="148">
        <f t="shared" si="20"/>
        <v>0.25234173126614989</v>
      </c>
      <c r="T19" s="148">
        <f t="shared" si="21"/>
        <v>2.5234173126614988E-2</v>
      </c>
      <c r="U19" s="148">
        <f t="shared" si="22"/>
        <v>2.5234173126614992</v>
      </c>
      <c r="V19" s="7">
        <f t="shared" si="23"/>
        <v>1000</v>
      </c>
      <c r="W19" s="7">
        <f t="shared" si="24"/>
        <v>1000000</v>
      </c>
      <c r="X19" s="1345">
        <f t="shared" si="25"/>
        <v>25.234173126614987</v>
      </c>
      <c r="Y19" s="1345">
        <f t="shared" si="26"/>
        <v>2523.4173126614992</v>
      </c>
    </row>
    <row r="20" spans="1:26" x14ac:dyDescent="0.2">
      <c r="A20" s="213" t="str">
        <f t="shared" si="0"/>
        <v>CEM</v>
      </c>
      <c r="B20" s="213"/>
      <c r="C20" s="214">
        <f>H37</f>
        <v>99.875</v>
      </c>
      <c r="D20" s="214">
        <f>I37</f>
        <v>6.6000000000000003E-2</v>
      </c>
      <c r="E20" s="214">
        <f t="shared" si="1"/>
        <v>100.04</v>
      </c>
      <c r="F20" s="214">
        <f t="shared" si="2"/>
        <v>1.15E-2</v>
      </c>
      <c r="G20" s="214">
        <f t="shared" ref="G20:H20" si="29">J37</f>
        <v>0.16500000000000001</v>
      </c>
      <c r="H20" s="214">
        <f t="shared" si="29"/>
        <v>0.13400000000000001</v>
      </c>
      <c r="I20" s="155">
        <f t="shared" si="12"/>
        <v>1</v>
      </c>
      <c r="J20" s="155">
        <f t="shared" si="13"/>
        <v>0.16500000000000625</v>
      </c>
      <c r="K20" s="155">
        <f t="shared" si="14"/>
        <v>0.33080054413499421</v>
      </c>
      <c r="L20" s="155">
        <f t="shared" si="15"/>
        <v>10</v>
      </c>
      <c r="M20" s="156">
        <f t="shared" si="16"/>
        <v>0.33121456233791663</v>
      </c>
      <c r="N20" s="157">
        <f t="shared" si="17"/>
        <v>3.312145623379166E-2</v>
      </c>
      <c r="O20" s="155">
        <f t="shared" si="18"/>
        <v>100</v>
      </c>
      <c r="P20" s="250">
        <v>1</v>
      </c>
      <c r="Q20" s="250">
        <v>1000</v>
      </c>
      <c r="R20" s="148">
        <f t="shared" si="19"/>
        <v>3.3121456233791662</v>
      </c>
      <c r="S20" s="148">
        <f t="shared" si="20"/>
        <v>0.33121456233791663</v>
      </c>
      <c r="T20" s="148">
        <f t="shared" si="21"/>
        <v>3.312145623379166E-2</v>
      </c>
      <c r="U20" s="148">
        <f t="shared" si="22"/>
        <v>3.3121456233791662</v>
      </c>
      <c r="V20" s="7">
        <f t="shared" si="23"/>
        <v>1000</v>
      </c>
      <c r="W20" s="7">
        <f t="shared" si="24"/>
        <v>1000000</v>
      </c>
      <c r="X20" s="1345">
        <f t="shared" si="25"/>
        <v>33.121456233791662</v>
      </c>
      <c r="Y20" s="1345">
        <f t="shared" si="26"/>
        <v>3312.145623379166</v>
      </c>
    </row>
    <row r="21" spans="1:26" x14ac:dyDescent="0.2">
      <c r="A21" s="213" t="str">
        <f t="shared" si="0"/>
        <v>NMIA</v>
      </c>
      <c r="B21" s="213"/>
      <c r="C21" s="214">
        <f>H38</f>
        <v>100.515</v>
      </c>
      <c r="D21" s="214">
        <f>I38</f>
        <v>6.7000000000000004E-2</v>
      </c>
      <c r="E21" s="214">
        <f t="shared" si="1"/>
        <v>100.1</v>
      </c>
      <c r="F21" s="214">
        <f t="shared" si="2"/>
        <v>7.0000000000000007E-2</v>
      </c>
      <c r="G21" s="214">
        <f t="shared" ref="G21:H21" si="30">J38</f>
        <v>-0.41499999999999998</v>
      </c>
      <c r="H21" s="214">
        <f t="shared" si="30"/>
        <v>0.193</v>
      </c>
      <c r="I21" s="155">
        <f t="shared" si="12"/>
        <v>1</v>
      </c>
      <c r="J21" s="155">
        <f t="shared" si="13"/>
        <v>0.41500000000000625</v>
      </c>
      <c r="K21" s="155">
        <f t="shared" si="14"/>
        <v>0.84172442046077089</v>
      </c>
      <c r="L21" s="155">
        <f t="shared" si="15"/>
        <v>10</v>
      </c>
      <c r="M21" s="156">
        <f t="shared" si="16"/>
        <v>0.83741174994853596</v>
      </c>
      <c r="N21" s="157">
        <f t="shared" si="17"/>
        <v>8.3741174994853604E-2</v>
      </c>
      <c r="O21" s="155">
        <f t="shared" si="18"/>
        <v>100</v>
      </c>
      <c r="P21" s="250">
        <v>1</v>
      </c>
      <c r="Q21" s="250">
        <v>1000</v>
      </c>
      <c r="R21" s="148">
        <f t="shared" si="19"/>
        <v>8.3741174994853598</v>
      </c>
      <c r="S21" s="148">
        <f t="shared" si="20"/>
        <v>0.83741174994853596</v>
      </c>
      <c r="T21" s="148">
        <f t="shared" si="21"/>
        <v>8.3741174994853604E-2</v>
      </c>
      <c r="U21" s="148">
        <f t="shared" si="22"/>
        <v>8.3741174994853598</v>
      </c>
      <c r="V21" s="7">
        <f t="shared" si="23"/>
        <v>1000</v>
      </c>
      <c r="W21" s="7">
        <f t="shared" si="24"/>
        <v>1000000</v>
      </c>
      <c r="X21" s="1345">
        <f t="shared" si="25"/>
        <v>83.741174994853608</v>
      </c>
      <c r="Y21" s="1345">
        <f t="shared" si="26"/>
        <v>8374.1174994853591</v>
      </c>
    </row>
    <row r="22" spans="1:26" x14ac:dyDescent="0.2">
      <c r="A22" s="213" t="str">
        <f t="shared" si="0"/>
        <v>NIST</v>
      </c>
      <c r="B22" s="213"/>
      <c r="C22" s="214">
        <f t="shared" ref="C22:D22" si="31">F39</f>
        <v>100.35899999999999</v>
      </c>
      <c r="D22" s="214">
        <f t="shared" si="31"/>
        <v>4.4999999999999998E-2</v>
      </c>
      <c r="E22" s="214">
        <f t="shared" si="1"/>
        <v>100.41</v>
      </c>
      <c r="F22" s="214">
        <f t="shared" si="2"/>
        <v>0.06</v>
      </c>
      <c r="G22" s="214">
        <f t="shared" ref="G22:H22" si="32">J39</f>
        <v>5.0999999999999997E-2</v>
      </c>
      <c r="H22" s="214">
        <f t="shared" si="32"/>
        <v>8.1000000000000003E-2</v>
      </c>
      <c r="I22" s="155">
        <f t="shared" si="12"/>
        <v>0</v>
      </c>
      <c r="J22" s="155">
        <f t="shared" si="13"/>
        <v>0</v>
      </c>
      <c r="K22" s="155">
        <f t="shared" si="14"/>
        <v>0.12</v>
      </c>
      <c r="L22" s="155">
        <f t="shared" si="15"/>
        <v>10</v>
      </c>
      <c r="M22" s="156">
        <f t="shared" si="16"/>
        <v>0.1195707410396676</v>
      </c>
      <c r="N22" s="157">
        <f t="shared" si="17"/>
        <v>1.195707410396676E-2</v>
      </c>
      <c r="O22" s="155">
        <f t="shared" si="18"/>
        <v>100</v>
      </c>
      <c r="P22" s="250">
        <v>1</v>
      </c>
      <c r="Q22" s="250">
        <v>1000</v>
      </c>
      <c r="R22" s="148">
        <f t="shared" si="19"/>
        <v>1.1957074103966761</v>
      </c>
      <c r="S22" s="148">
        <f t="shared" si="20"/>
        <v>0.1195707410396676</v>
      </c>
      <c r="T22" s="148">
        <f t="shared" si="21"/>
        <v>1.195707410396676E-2</v>
      </c>
      <c r="U22" s="148">
        <f t="shared" si="22"/>
        <v>1.1957074103966761</v>
      </c>
      <c r="V22" s="7">
        <f t="shared" si="23"/>
        <v>1000</v>
      </c>
      <c r="W22" s="7">
        <f t="shared" si="24"/>
        <v>1000000</v>
      </c>
      <c r="X22" s="1345">
        <f t="shared" si="25"/>
        <v>11.957074103966761</v>
      </c>
      <c r="Y22" s="1345">
        <f t="shared" si="26"/>
        <v>1195.7074103966761</v>
      </c>
    </row>
    <row r="23" spans="1:26" x14ac:dyDescent="0.2">
      <c r="A23" s="213" t="str">
        <f t="shared" si="0"/>
        <v>NMISA</v>
      </c>
      <c r="B23" s="213"/>
      <c r="C23" s="214">
        <f>H40</f>
        <v>100.929</v>
      </c>
      <c r="D23" s="214">
        <f>I40</f>
        <v>6.7000000000000004E-2</v>
      </c>
      <c r="E23" s="214">
        <f t="shared" si="1"/>
        <v>100.58499999999999</v>
      </c>
      <c r="F23" s="214">
        <f t="shared" si="2"/>
        <v>1.0999999999999999E-2</v>
      </c>
      <c r="G23" s="214">
        <f t="shared" ref="G23:H23" si="33">J40</f>
        <v>-0.34399999999999997</v>
      </c>
      <c r="H23" s="214">
        <f t="shared" si="33"/>
        <v>0.13500000000000001</v>
      </c>
      <c r="I23" s="155">
        <f t="shared" si="12"/>
        <v>1</v>
      </c>
      <c r="J23" s="155">
        <f t="shared" si="13"/>
        <v>0.3440000000000083</v>
      </c>
      <c r="K23" s="155">
        <f t="shared" si="14"/>
        <v>0.68835165431632606</v>
      </c>
      <c r="L23" s="155">
        <f t="shared" si="15"/>
        <v>10</v>
      </c>
      <c r="M23" s="156">
        <f t="shared" si="16"/>
        <v>0.6820157282013356</v>
      </c>
      <c r="N23" s="157">
        <f t="shared" si="17"/>
        <v>6.820157282013356E-2</v>
      </c>
      <c r="O23" s="155">
        <f t="shared" si="18"/>
        <v>100</v>
      </c>
      <c r="P23" s="250">
        <v>1</v>
      </c>
      <c r="Q23" s="250">
        <v>1000</v>
      </c>
      <c r="R23" s="148">
        <f t="shared" si="19"/>
        <v>6.8201572820133558</v>
      </c>
      <c r="S23" s="148">
        <f t="shared" si="20"/>
        <v>0.6820157282013356</v>
      </c>
      <c r="T23" s="148">
        <f t="shared" si="21"/>
        <v>6.820157282013356E-2</v>
      </c>
      <c r="U23" s="148">
        <f t="shared" si="22"/>
        <v>6.8201572820133558</v>
      </c>
      <c r="V23" s="7">
        <f t="shared" si="23"/>
        <v>1000</v>
      </c>
      <c r="W23" s="7">
        <f t="shared" si="24"/>
        <v>1000000</v>
      </c>
      <c r="X23" s="1345">
        <f t="shared" si="25"/>
        <v>68.201572820133563</v>
      </c>
      <c r="Y23" s="1345">
        <f t="shared" si="26"/>
        <v>6820.1572820133561</v>
      </c>
    </row>
    <row r="24" spans="1:26" x14ac:dyDescent="0.2">
      <c r="A24" s="213" t="str">
        <f t="shared" si="0"/>
        <v>CENAM</v>
      </c>
      <c r="B24" s="213"/>
      <c r="C24" s="214">
        <f t="shared" ref="C24:D24" si="34">F41</f>
        <v>101.039</v>
      </c>
      <c r="D24" s="214">
        <f t="shared" si="34"/>
        <v>6.0999999999999999E-2</v>
      </c>
      <c r="E24" s="214">
        <f t="shared" si="1"/>
        <v>100.97</v>
      </c>
      <c r="F24" s="214">
        <f t="shared" si="2"/>
        <v>0.15</v>
      </c>
      <c r="G24" s="214">
        <f t="shared" ref="G24:H24" si="35">J41</f>
        <v>-6.9000000000000006E-2</v>
      </c>
      <c r="H24" s="214">
        <f t="shared" si="35"/>
        <v>0.27400000000000002</v>
      </c>
      <c r="I24" s="155">
        <f t="shared" si="12"/>
        <v>0</v>
      </c>
      <c r="J24" s="155">
        <f t="shared" si="13"/>
        <v>0</v>
      </c>
      <c r="K24" s="155">
        <f t="shared" si="14"/>
        <v>0.3</v>
      </c>
      <c r="L24" s="155">
        <f t="shared" si="15"/>
        <v>10</v>
      </c>
      <c r="M24" s="156">
        <f t="shared" si="16"/>
        <v>0.29691505260345014</v>
      </c>
      <c r="N24" s="157">
        <f t="shared" si="17"/>
        <v>2.9691505260345013E-2</v>
      </c>
      <c r="O24" s="155">
        <f t="shared" si="18"/>
        <v>100</v>
      </c>
      <c r="P24" s="250">
        <v>1</v>
      </c>
      <c r="Q24" s="250">
        <v>1000</v>
      </c>
      <c r="R24" s="148">
        <f t="shared" si="19"/>
        <v>2.9691505260345012</v>
      </c>
      <c r="S24" s="148">
        <f t="shared" si="20"/>
        <v>0.29691505260345014</v>
      </c>
      <c r="T24" s="148">
        <f t="shared" si="21"/>
        <v>2.9691505260345013E-2</v>
      </c>
      <c r="U24" s="148">
        <f t="shared" si="22"/>
        <v>2.9691505260345012</v>
      </c>
      <c r="V24" s="7">
        <f t="shared" si="23"/>
        <v>1000</v>
      </c>
      <c r="W24" s="7">
        <f t="shared" si="24"/>
        <v>1000000</v>
      </c>
      <c r="X24" s="1345">
        <f t="shared" si="25"/>
        <v>29.691505260345014</v>
      </c>
      <c r="Y24" s="1345">
        <f t="shared" si="26"/>
        <v>2969.1505260345011</v>
      </c>
    </row>
    <row r="25" spans="1:26" x14ac:dyDescent="0.2">
      <c r="A25" s="213" t="str">
        <f t="shared" si="0"/>
        <v>LNE</v>
      </c>
      <c r="B25" s="213"/>
      <c r="C25" s="214">
        <f t="shared" ref="C25:D25" si="36">F42</f>
        <v>100.974</v>
      </c>
      <c r="D25" s="214">
        <f t="shared" si="36"/>
        <v>0.04</v>
      </c>
      <c r="E25" s="214">
        <f t="shared" si="1"/>
        <v>101.04</v>
      </c>
      <c r="F25" s="214">
        <f t="shared" si="2"/>
        <v>0.05</v>
      </c>
      <c r="G25" s="214">
        <f t="shared" ref="G25:H25" si="37">J42</f>
        <v>6.6000000000000003E-2</v>
      </c>
      <c r="H25" s="214">
        <f t="shared" si="37"/>
        <v>5.8999999999999997E-2</v>
      </c>
      <c r="I25" s="155">
        <f t="shared" si="12"/>
        <v>1</v>
      </c>
      <c r="J25" s="155">
        <f t="shared" si="13"/>
        <v>6.6000000000002501E-2</v>
      </c>
      <c r="K25" s="155">
        <f t="shared" si="14"/>
        <v>0.16560193235587961</v>
      </c>
      <c r="L25" s="155">
        <f t="shared" si="15"/>
        <v>10</v>
      </c>
      <c r="M25" s="156">
        <f t="shared" si="16"/>
        <v>0.16400452825071762</v>
      </c>
      <c r="N25" s="157">
        <f t="shared" si="17"/>
        <v>1.6400452825071764E-2</v>
      </c>
      <c r="O25" s="155">
        <f t="shared" si="18"/>
        <v>100</v>
      </c>
      <c r="P25" s="250">
        <v>1</v>
      </c>
      <c r="Q25" s="250">
        <v>1000</v>
      </c>
      <c r="R25" s="148">
        <f t="shared" si="19"/>
        <v>1.6400452825071763</v>
      </c>
      <c r="S25" s="148">
        <f t="shared" si="20"/>
        <v>0.16400452825071762</v>
      </c>
      <c r="T25" s="148">
        <f t="shared" si="21"/>
        <v>1.6400452825071764E-2</v>
      </c>
      <c r="U25" s="148">
        <f t="shared" si="22"/>
        <v>1.6400452825071761</v>
      </c>
      <c r="V25" s="7">
        <f t="shared" si="23"/>
        <v>1000</v>
      </c>
      <c r="W25" s="7">
        <f t="shared" si="24"/>
        <v>1000000</v>
      </c>
      <c r="X25" s="1345">
        <f t="shared" si="25"/>
        <v>16.400452825071763</v>
      </c>
      <c r="Y25" s="1345">
        <f t="shared" si="26"/>
        <v>1640.0452825071761</v>
      </c>
    </row>
    <row r="26" spans="1:26" x14ac:dyDescent="0.2">
      <c r="A26" s="213" t="str">
        <f t="shared" si="0"/>
        <v>KRISS</v>
      </c>
      <c r="B26" s="213"/>
      <c r="C26" s="214">
        <f t="shared" ref="C26:D26" si="38">F43</f>
        <v>101.054</v>
      </c>
      <c r="D26" s="214">
        <f t="shared" si="38"/>
        <v>0.01</v>
      </c>
      <c r="E26" s="214">
        <f t="shared" si="1"/>
        <v>101.053</v>
      </c>
      <c r="F26" s="214">
        <f t="shared" si="2"/>
        <v>0.01</v>
      </c>
      <c r="G26" s="214">
        <f t="shared" ref="G26:H26" si="39">J43</f>
        <v>-1E-3</v>
      </c>
      <c r="H26" s="214">
        <f t="shared" si="39"/>
        <v>4.0000000000000001E-3</v>
      </c>
      <c r="I26" s="155">
        <f t="shared" si="12"/>
        <v>0</v>
      </c>
      <c r="J26" s="155">
        <f t="shared" si="13"/>
        <v>0</v>
      </c>
      <c r="K26" s="155">
        <f t="shared" si="14"/>
        <v>0.02</v>
      </c>
      <c r="L26" s="155">
        <f t="shared" si="15"/>
        <v>10</v>
      </c>
      <c r="M26" s="156">
        <f t="shared" si="16"/>
        <v>1.979139865814317E-2</v>
      </c>
      <c r="N26" s="157">
        <f t="shared" si="17"/>
        <v>1.9791398658143169E-3</v>
      </c>
      <c r="O26" s="155">
        <f t="shared" si="18"/>
        <v>100</v>
      </c>
      <c r="P26" s="250">
        <v>1</v>
      </c>
      <c r="Q26" s="250">
        <v>1000</v>
      </c>
      <c r="R26" s="148">
        <f t="shared" si="19"/>
        <v>0.19791398658143169</v>
      </c>
      <c r="S26" s="148">
        <f t="shared" si="20"/>
        <v>1.979139865814317E-2</v>
      </c>
      <c r="T26" s="148">
        <f t="shared" si="21"/>
        <v>1.9791398658143169E-3</v>
      </c>
      <c r="U26" s="148">
        <f t="shared" si="22"/>
        <v>0.19791398658143169</v>
      </c>
      <c r="V26" s="7">
        <f t="shared" si="23"/>
        <v>1000</v>
      </c>
      <c r="W26" s="7">
        <f t="shared" si="24"/>
        <v>1000000</v>
      </c>
      <c r="X26" s="1345">
        <f t="shared" si="25"/>
        <v>1.9791398658143169</v>
      </c>
      <c r="Y26" s="1345">
        <f t="shared" si="26"/>
        <v>197.91398658143169</v>
      </c>
    </row>
    <row r="27" spans="1:26" x14ac:dyDescent="0.2">
      <c r="A27" s="213" t="str">
        <f t="shared" si="0"/>
        <v>VNIIM</v>
      </c>
      <c r="B27" s="213"/>
      <c r="C27" s="214">
        <f>H44</f>
        <v>101.417</v>
      </c>
      <c r="D27" s="214">
        <f>I44</f>
        <v>6.7000000000000004E-2</v>
      </c>
      <c r="E27" s="214">
        <f t="shared" si="1"/>
        <v>101.08</v>
      </c>
      <c r="F27" s="214">
        <f t="shared" si="2"/>
        <v>7.0000000000000007E-2</v>
      </c>
      <c r="G27" s="214">
        <f t="shared" ref="G27:H27" si="40">J44</f>
        <v>-0.33700000000000002</v>
      </c>
      <c r="H27" s="214">
        <f t="shared" si="40"/>
        <v>0.19400000000000001</v>
      </c>
      <c r="I27" s="155">
        <f t="shared" si="12"/>
        <v>1</v>
      </c>
      <c r="J27" s="155">
        <f t="shared" si="13"/>
        <v>0.3370000000000033</v>
      </c>
      <c r="K27" s="155">
        <f t="shared" si="14"/>
        <v>0.68838651933344019</v>
      </c>
      <c r="L27" s="155">
        <f t="shared" si="15"/>
        <v>10</v>
      </c>
      <c r="M27" s="156">
        <f t="shared" si="16"/>
        <v>0.67876837150915548</v>
      </c>
      <c r="N27" s="157">
        <f t="shared" si="17"/>
        <v>6.7876837150915553E-2</v>
      </c>
      <c r="O27" s="155">
        <f t="shared" si="18"/>
        <v>100</v>
      </c>
      <c r="P27" s="250">
        <v>1</v>
      </c>
      <c r="Q27" s="250">
        <v>1000</v>
      </c>
      <c r="R27" s="148">
        <f t="shared" si="19"/>
        <v>6.7876837150915552</v>
      </c>
      <c r="S27" s="148">
        <f t="shared" si="20"/>
        <v>0.67876837150915548</v>
      </c>
      <c r="T27" s="148">
        <f t="shared" si="21"/>
        <v>6.7876837150915553E-2</v>
      </c>
      <c r="U27" s="148">
        <f t="shared" si="22"/>
        <v>6.7876837150915552</v>
      </c>
      <c r="V27" s="7">
        <f t="shared" si="23"/>
        <v>1000</v>
      </c>
      <c r="W27" s="7">
        <f t="shared" si="24"/>
        <v>1000000</v>
      </c>
      <c r="X27" s="1345">
        <f t="shared" si="25"/>
        <v>67.876837150915549</v>
      </c>
      <c r="Y27" s="1345">
        <f t="shared" si="26"/>
        <v>6787.6837150915553</v>
      </c>
    </row>
    <row r="28" spans="1:26" x14ac:dyDescent="0.2">
      <c r="A28" s="213" t="str">
        <f t="shared" si="0"/>
        <v>VSL</v>
      </c>
      <c r="B28" s="213"/>
      <c r="C28" s="214">
        <f t="shared" ref="C28:D28" si="41">F45</f>
        <v>101.15900000000001</v>
      </c>
      <c r="D28" s="214">
        <f t="shared" si="41"/>
        <v>3.4000000000000002E-2</v>
      </c>
      <c r="E28" s="214">
        <f t="shared" si="1"/>
        <v>101.15</v>
      </c>
      <c r="F28" s="214">
        <f t="shared" si="2"/>
        <v>0.04</v>
      </c>
      <c r="G28" s="214">
        <f t="shared" ref="G28:H28" si="42">J45</f>
        <v>-8.9999999999999993E-3</v>
      </c>
      <c r="H28" s="214">
        <f t="shared" si="42"/>
        <v>0.04</v>
      </c>
      <c r="I28" s="155">
        <f t="shared" si="12"/>
        <v>0</v>
      </c>
      <c r="J28" s="155">
        <f t="shared" si="13"/>
        <v>0</v>
      </c>
      <c r="K28" s="155">
        <f t="shared" si="14"/>
        <v>0.08</v>
      </c>
      <c r="L28" s="155">
        <f t="shared" si="15"/>
        <v>10</v>
      </c>
      <c r="M28" s="156">
        <f t="shared" si="16"/>
        <v>7.9083423125969998E-2</v>
      </c>
      <c r="N28" s="157">
        <f t="shared" si="17"/>
        <v>7.9083423125969991E-3</v>
      </c>
      <c r="O28" s="155">
        <f t="shared" si="18"/>
        <v>100</v>
      </c>
      <c r="P28" s="250">
        <v>1</v>
      </c>
      <c r="Q28" s="250">
        <v>1000</v>
      </c>
      <c r="R28" s="148">
        <f t="shared" si="19"/>
        <v>0.79083423125969998</v>
      </c>
      <c r="S28" s="148">
        <f t="shared" si="20"/>
        <v>7.9083423125969998E-2</v>
      </c>
      <c r="T28" s="148">
        <f t="shared" si="21"/>
        <v>7.9083423125969991E-3</v>
      </c>
      <c r="U28" s="148">
        <f t="shared" si="22"/>
        <v>0.79083423125969998</v>
      </c>
      <c r="V28" s="7">
        <f t="shared" si="23"/>
        <v>1000</v>
      </c>
      <c r="W28" s="7">
        <f t="shared" si="24"/>
        <v>1000000</v>
      </c>
      <c r="X28" s="1345">
        <f t="shared" si="25"/>
        <v>7.9083423125969992</v>
      </c>
      <c r="Y28" s="1345">
        <f t="shared" si="26"/>
        <v>790.8342312597</v>
      </c>
    </row>
    <row r="29" spans="1:26" ht="14.25" x14ac:dyDescent="0.2">
      <c r="H29" s="9"/>
      <c r="U29" s="152"/>
      <c r="V29" s="21"/>
      <c r="W29" s="21"/>
      <c r="X29" s="21"/>
      <c r="Y29" s="21"/>
      <c r="Z29" s="21"/>
    </row>
    <row r="30" spans="1:26" ht="14.25" x14ac:dyDescent="0.2">
      <c r="H30" s="9"/>
      <c r="U30" s="152"/>
      <c r="V30" s="21"/>
      <c r="W30" s="21"/>
      <c r="X30" s="21"/>
      <c r="Y30" s="21"/>
      <c r="Z30" s="21"/>
    </row>
    <row r="31" spans="1:26" ht="14.25" x14ac:dyDescent="0.2">
      <c r="H31" s="9"/>
      <c r="V31" s="21"/>
      <c r="W31" s="21"/>
      <c r="X31" s="21"/>
      <c r="Y31" s="21"/>
      <c r="Z31" s="21"/>
    </row>
    <row r="32" spans="1:26" s="227" customFormat="1" ht="17.25" customHeight="1" x14ac:dyDescent="0.2">
      <c r="A32" s="1380" t="s">
        <v>656</v>
      </c>
      <c r="B32" s="638" t="s">
        <v>647</v>
      </c>
      <c r="C32" s="638" t="s">
        <v>657</v>
      </c>
      <c r="D32" s="1381" t="s">
        <v>658</v>
      </c>
      <c r="E32" s="1381" t="s">
        <v>659</v>
      </c>
      <c r="F32" s="638" t="s">
        <v>660</v>
      </c>
      <c r="G32" s="638" t="s">
        <v>661</v>
      </c>
      <c r="H32" s="638" t="s">
        <v>662</v>
      </c>
      <c r="I32" s="638" t="s">
        <v>663</v>
      </c>
      <c r="J32" s="639" t="s">
        <v>664</v>
      </c>
      <c r="K32" s="640" t="s">
        <v>665</v>
      </c>
      <c r="L32" s="1380" t="s">
        <v>666</v>
      </c>
      <c r="N32" s="226"/>
    </row>
    <row r="33" spans="1:26" s="227" customFormat="1" ht="12" customHeight="1" x14ac:dyDescent="0.2">
      <c r="A33" s="1380"/>
      <c r="B33" s="1382" t="s">
        <v>667</v>
      </c>
      <c r="C33" s="1382"/>
      <c r="D33" s="1381"/>
      <c r="E33" s="1381"/>
      <c r="F33" s="1382" t="s">
        <v>667</v>
      </c>
      <c r="G33" s="1382"/>
      <c r="H33" s="1382"/>
      <c r="I33" s="1382"/>
      <c r="J33" s="1382"/>
      <c r="K33" s="1382"/>
      <c r="L33" s="1380"/>
    </row>
    <row r="34" spans="1:26" s="227" customFormat="1" ht="18.95" customHeight="1" x14ac:dyDescent="0.2">
      <c r="A34" s="641" t="s">
        <v>452</v>
      </c>
      <c r="B34" s="642">
        <v>98.674999999999997</v>
      </c>
      <c r="C34" s="643">
        <v>1.7999999999999999E-2</v>
      </c>
      <c r="D34" s="644">
        <v>0.98302</v>
      </c>
      <c r="E34" s="539">
        <v>5.9999999999999995E-4</v>
      </c>
      <c r="F34" s="645">
        <v>98.676000000000002</v>
      </c>
      <c r="G34" s="642">
        <v>8.9999999999999993E-3</v>
      </c>
      <c r="H34" s="646"/>
      <c r="I34" s="646"/>
      <c r="J34" s="642">
        <v>-1E-3</v>
      </c>
      <c r="K34" s="643">
        <v>2E-3</v>
      </c>
      <c r="L34" s="642">
        <v>-0.39800000000000002</v>
      </c>
    </row>
    <row r="35" spans="1:26" s="227" customFormat="1" ht="18" customHeight="1" x14ac:dyDescent="0.2">
      <c r="A35" s="647" t="s">
        <v>16</v>
      </c>
      <c r="B35" s="648">
        <v>99.001999999999995</v>
      </c>
      <c r="C35" s="649">
        <v>9.6000000000000002E-2</v>
      </c>
      <c r="D35" s="650">
        <v>0.986981</v>
      </c>
      <c r="E35" s="550">
        <v>5.9999999999999995E-4</v>
      </c>
      <c r="F35" s="651">
        <v>99.045000000000002</v>
      </c>
      <c r="G35" s="648">
        <v>3.9E-2</v>
      </c>
      <c r="H35" s="559"/>
      <c r="I35" s="559"/>
      <c r="J35" s="648">
        <v>-4.2999999999999997E-2</v>
      </c>
      <c r="K35" s="649">
        <v>5.6000000000000001E-2</v>
      </c>
      <c r="L35" s="648">
        <v>-0.76700000000000002</v>
      </c>
    </row>
    <row r="36" spans="1:26" s="227" customFormat="1" ht="17.100000000000001" customHeight="1" x14ac:dyDescent="0.2">
      <c r="A36" s="647" t="s">
        <v>476</v>
      </c>
      <c r="B36" s="652">
        <v>99.17</v>
      </c>
      <c r="C36" s="653">
        <v>0.25</v>
      </c>
      <c r="D36" s="650">
        <v>0.98637699999999995</v>
      </c>
      <c r="E36" s="550">
        <v>5.9999999999999995E-4</v>
      </c>
      <c r="F36" s="651">
        <v>99.072000000000003</v>
      </c>
      <c r="G36" s="648">
        <v>5.8999999999999997E-2</v>
      </c>
      <c r="H36" s="559"/>
      <c r="I36" s="559"/>
      <c r="J36" s="654">
        <v>9.8000000000000004E-2</v>
      </c>
      <c r="K36" s="649">
        <v>0.23100000000000001</v>
      </c>
      <c r="L36" s="648">
        <v>0.42399999999999999</v>
      </c>
    </row>
    <row r="37" spans="1:26" s="227" customFormat="1" ht="17.100000000000001" customHeight="1" x14ac:dyDescent="0.2">
      <c r="A37" s="647" t="s">
        <v>480</v>
      </c>
      <c r="B37" s="648">
        <v>100.04</v>
      </c>
      <c r="C37" s="649">
        <v>2.3E-2</v>
      </c>
      <c r="D37" s="650">
        <v>0.99459500000000001</v>
      </c>
      <c r="E37" s="550">
        <v>5.9999999999999995E-4</v>
      </c>
      <c r="F37" s="559"/>
      <c r="G37" s="559"/>
      <c r="H37" s="651">
        <v>99.875</v>
      </c>
      <c r="I37" s="648">
        <v>6.6000000000000003E-2</v>
      </c>
      <c r="J37" s="654">
        <v>0.16500000000000001</v>
      </c>
      <c r="K37" s="649">
        <v>0.13400000000000001</v>
      </c>
      <c r="L37" s="655">
        <v>1.23</v>
      </c>
    </row>
    <row r="38" spans="1:26" s="227" customFormat="1" ht="18" customHeight="1" x14ac:dyDescent="0.2">
      <c r="A38" s="647" t="s">
        <v>172</v>
      </c>
      <c r="B38" s="652">
        <v>100.1</v>
      </c>
      <c r="C38" s="653">
        <v>0.14000000000000001</v>
      </c>
      <c r="D38" s="650">
        <v>1.000875</v>
      </c>
      <c r="E38" s="550">
        <v>5.9999999999999995E-4</v>
      </c>
      <c r="F38" s="559"/>
      <c r="G38" s="559"/>
      <c r="H38" s="651">
        <v>100.515</v>
      </c>
      <c r="I38" s="648">
        <v>6.7000000000000004E-2</v>
      </c>
      <c r="J38" s="648">
        <v>-0.41499999999999998</v>
      </c>
      <c r="K38" s="649">
        <v>0.193</v>
      </c>
      <c r="L38" s="652">
        <v>-2.15</v>
      </c>
    </row>
    <row r="39" spans="1:26" s="227" customFormat="1" ht="18" customHeight="1" x14ac:dyDescent="0.2">
      <c r="A39" s="647" t="s">
        <v>20</v>
      </c>
      <c r="B39" s="652">
        <v>100.41</v>
      </c>
      <c r="C39" s="653">
        <v>0.12</v>
      </c>
      <c r="D39" s="650">
        <v>0.99888100000000002</v>
      </c>
      <c r="E39" s="550">
        <v>5.9999999999999995E-4</v>
      </c>
      <c r="F39" s="651">
        <v>100.35899999999999</v>
      </c>
      <c r="G39" s="648">
        <v>4.4999999999999998E-2</v>
      </c>
      <c r="H39" s="559"/>
      <c r="I39" s="559"/>
      <c r="J39" s="654">
        <v>5.0999999999999997E-2</v>
      </c>
      <c r="K39" s="649">
        <v>8.1000000000000003E-2</v>
      </c>
      <c r="L39" s="648">
        <v>0.63300000000000001</v>
      </c>
    </row>
    <row r="40" spans="1:26" s="227" customFormat="1" ht="18" customHeight="1" x14ac:dyDescent="0.2">
      <c r="A40" s="647" t="s">
        <v>15</v>
      </c>
      <c r="B40" s="648">
        <v>100.58499999999999</v>
      </c>
      <c r="C40" s="649">
        <v>2.1999999999999999E-2</v>
      </c>
      <c r="D40" s="650">
        <v>1.0050790000000001</v>
      </c>
      <c r="E40" s="550">
        <v>5.9999999999999995E-4</v>
      </c>
      <c r="F40" s="559"/>
      <c r="G40" s="559"/>
      <c r="H40" s="651">
        <v>100.929</v>
      </c>
      <c r="I40" s="648">
        <v>6.7000000000000004E-2</v>
      </c>
      <c r="J40" s="648">
        <v>-0.34399999999999997</v>
      </c>
      <c r="K40" s="649">
        <v>0.13500000000000001</v>
      </c>
      <c r="L40" s="652">
        <v>-2.54</v>
      </c>
    </row>
    <row r="41" spans="1:26" s="227" customFormat="1" ht="18" customHeight="1" x14ac:dyDescent="0.2">
      <c r="A41" s="647" t="s">
        <v>373</v>
      </c>
      <c r="B41" s="652">
        <v>100.97</v>
      </c>
      <c r="C41" s="653">
        <v>0.3</v>
      </c>
      <c r="D41" s="650">
        <v>1.0062979999999999</v>
      </c>
      <c r="E41" s="550">
        <v>5.9999999999999995E-4</v>
      </c>
      <c r="F41" s="651">
        <v>101.039</v>
      </c>
      <c r="G41" s="648">
        <v>6.0999999999999999E-2</v>
      </c>
      <c r="H41" s="559"/>
      <c r="I41" s="559"/>
      <c r="J41" s="648">
        <v>-6.9000000000000006E-2</v>
      </c>
      <c r="K41" s="649">
        <v>0.27400000000000002</v>
      </c>
      <c r="L41" s="648">
        <v>-0.252</v>
      </c>
    </row>
    <row r="42" spans="1:26" s="227" customFormat="1" ht="17.100000000000001" customHeight="1" x14ac:dyDescent="0.2">
      <c r="A42" s="647" t="s">
        <v>18</v>
      </c>
      <c r="B42" s="652">
        <v>101.04</v>
      </c>
      <c r="C42" s="653">
        <v>0.1</v>
      </c>
      <c r="D42" s="650">
        <v>1.0046139999999999</v>
      </c>
      <c r="E42" s="550">
        <v>5.9999999999999995E-4</v>
      </c>
      <c r="F42" s="651">
        <v>100.974</v>
      </c>
      <c r="G42" s="648">
        <v>0.04</v>
      </c>
      <c r="H42" s="559"/>
      <c r="I42" s="559"/>
      <c r="J42" s="654">
        <v>6.6000000000000003E-2</v>
      </c>
      <c r="K42" s="649">
        <v>5.8999999999999997E-2</v>
      </c>
      <c r="L42" s="655">
        <v>1.1100000000000001</v>
      </c>
    </row>
    <row r="43" spans="1:26" s="227" customFormat="1" ht="17.100000000000001" customHeight="1" x14ac:dyDescent="0.2">
      <c r="A43" s="647" t="s">
        <v>17</v>
      </c>
      <c r="B43" s="648">
        <v>101.053</v>
      </c>
      <c r="C43" s="649">
        <v>0.02</v>
      </c>
      <c r="D43" s="650">
        <v>1.0067390000000001</v>
      </c>
      <c r="E43" s="550">
        <v>5.9999999999999995E-4</v>
      </c>
      <c r="F43" s="651">
        <v>101.054</v>
      </c>
      <c r="G43" s="648">
        <v>0.01</v>
      </c>
      <c r="H43" s="559"/>
      <c r="I43" s="559"/>
      <c r="J43" s="648">
        <v>-1E-3</v>
      </c>
      <c r="K43" s="649">
        <v>4.0000000000000001E-3</v>
      </c>
      <c r="L43" s="648">
        <v>-0.24399999999999999</v>
      </c>
    </row>
    <row r="44" spans="1:26" s="227" customFormat="1" ht="17.100000000000001" customHeight="1" x14ac:dyDescent="0.2">
      <c r="A44" s="647" t="s">
        <v>2</v>
      </c>
      <c r="B44" s="652">
        <v>101.08</v>
      </c>
      <c r="C44" s="653">
        <v>0.14000000000000001</v>
      </c>
      <c r="D44" s="650">
        <v>1.009951</v>
      </c>
      <c r="E44" s="550">
        <v>5.9999999999999995E-4</v>
      </c>
      <c r="F44" s="559"/>
      <c r="G44" s="559"/>
      <c r="H44" s="651">
        <v>101.417</v>
      </c>
      <c r="I44" s="648">
        <v>6.7000000000000004E-2</v>
      </c>
      <c r="J44" s="648">
        <v>-0.33700000000000002</v>
      </c>
      <c r="K44" s="649">
        <v>0.19400000000000001</v>
      </c>
      <c r="L44" s="652">
        <v>-1.73</v>
      </c>
    </row>
    <row r="45" spans="1:26" s="227" customFormat="1" ht="17.100000000000001" customHeight="1" x14ac:dyDescent="0.2">
      <c r="A45" s="656" t="s">
        <v>21</v>
      </c>
      <c r="B45" s="657">
        <v>101.15</v>
      </c>
      <c r="C45" s="658">
        <v>0.08</v>
      </c>
      <c r="D45" s="659">
        <v>1.0075700000000001</v>
      </c>
      <c r="E45" s="564">
        <v>5.9999999999999995E-4</v>
      </c>
      <c r="F45" s="660">
        <v>101.15900000000001</v>
      </c>
      <c r="G45" s="661">
        <v>3.4000000000000002E-2</v>
      </c>
      <c r="H45" s="662"/>
      <c r="I45" s="662"/>
      <c r="J45" s="661">
        <v>-8.9999999999999993E-3</v>
      </c>
      <c r="K45" s="663">
        <v>0.04</v>
      </c>
      <c r="L45" s="661">
        <v>-0.22600000000000001</v>
      </c>
    </row>
    <row r="46" spans="1:26" ht="14.25" x14ac:dyDescent="0.2">
      <c r="H46" s="9"/>
      <c r="X46" s="21"/>
      <c r="Y46" s="21"/>
      <c r="Z46" s="21"/>
    </row>
    <row r="47" spans="1:26" ht="14.25" x14ac:dyDescent="0.2">
      <c r="H47" s="9"/>
      <c r="X47" s="21"/>
      <c r="Y47" s="21"/>
      <c r="Z47" s="21"/>
    </row>
    <row r="48" spans="1:26" ht="14.25" x14ac:dyDescent="0.2">
      <c r="H48" s="9"/>
      <c r="X48" s="21"/>
      <c r="Y48" s="21"/>
      <c r="Z48" s="21"/>
    </row>
    <row r="49" spans="8:26" ht="14.25" x14ac:dyDescent="0.2">
      <c r="H49" s="9"/>
      <c r="X49" s="21"/>
      <c r="Y49" s="21"/>
      <c r="Z49" s="21"/>
    </row>
    <row r="50" spans="8:26" ht="14.25" x14ac:dyDescent="0.2">
      <c r="H50" s="9"/>
      <c r="X50" s="21"/>
      <c r="Y50" s="21"/>
      <c r="Z50" s="21"/>
    </row>
    <row r="51" spans="8:26" ht="14.25" x14ac:dyDescent="0.2">
      <c r="H51" s="9"/>
      <c r="X51" s="21"/>
      <c r="Y51" s="21"/>
      <c r="Z51" s="21"/>
    </row>
    <row r="52" spans="8:26" ht="14.25" x14ac:dyDescent="0.2">
      <c r="H52" s="9"/>
      <c r="X52" s="21"/>
      <c r="Y52" s="21"/>
      <c r="Z52" s="21"/>
    </row>
    <row r="53" spans="8:26" ht="14.25" x14ac:dyDescent="0.2">
      <c r="H53" s="9"/>
      <c r="X53" s="21"/>
      <c r="Y53" s="21"/>
      <c r="Z53" s="21"/>
    </row>
    <row r="54" spans="8:26" ht="14.25" x14ac:dyDescent="0.2">
      <c r="H54" s="9"/>
      <c r="X54" s="21"/>
      <c r="Y54" s="21"/>
      <c r="Z54" s="21"/>
    </row>
    <row r="55" spans="8:26" ht="14.25" x14ac:dyDescent="0.2">
      <c r="H55" s="9"/>
      <c r="X55" s="21"/>
      <c r="Y55" s="21"/>
      <c r="Z55" s="21"/>
    </row>
    <row r="56" spans="8:26" ht="14.25" x14ac:dyDescent="0.2">
      <c r="H56" s="9"/>
      <c r="X56" s="21"/>
      <c r="Y56" s="21"/>
      <c r="Z56" s="21"/>
    </row>
    <row r="57" spans="8:26" ht="14.25" x14ac:dyDescent="0.2">
      <c r="H57" s="9"/>
      <c r="X57" s="21"/>
      <c r="Y57" s="21"/>
      <c r="Z57" s="21"/>
    </row>
    <row r="58" spans="8:26" ht="14.25" x14ac:dyDescent="0.2">
      <c r="H58" s="9"/>
      <c r="U58" s="152"/>
      <c r="V58" s="21"/>
      <c r="W58" s="21"/>
      <c r="X58" s="21"/>
      <c r="Y58" s="21"/>
      <c r="Z58" s="21"/>
    </row>
    <row r="59" spans="8:26" ht="14.25" x14ac:dyDescent="0.2">
      <c r="H59" s="9"/>
      <c r="U59" s="152"/>
      <c r="V59" s="21"/>
      <c r="W59" s="21"/>
      <c r="X59" s="21"/>
      <c r="Y59" s="21"/>
      <c r="Z59" s="21"/>
    </row>
    <row r="60" spans="8:26" ht="14.25" x14ac:dyDescent="0.2">
      <c r="H60" s="9"/>
      <c r="U60" s="152"/>
      <c r="V60" s="21"/>
      <c r="W60" s="21"/>
      <c r="X60" s="21"/>
      <c r="Y60" s="21"/>
      <c r="Z60" s="21"/>
    </row>
    <row r="61" spans="8:26" ht="14.25" x14ac:dyDescent="0.2">
      <c r="H61" s="9"/>
      <c r="U61" s="152"/>
      <c r="V61" s="21"/>
      <c r="W61" s="21"/>
      <c r="X61" s="21"/>
      <c r="Y61" s="21"/>
      <c r="Z61" s="21"/>
    </row>
    <row r="62" spans="8:26" ht="14.25" x14ac:dyDescent="0.2">
      <c r="H62" s="9"/>
      <c r="U62" s="152"/>
      <c r="V62" s="21"/>
      <c r="W62" s="21"/>
      <c r="X62" s="21"/>
      <c r="Y62" s="21"/>
      <c r="Z62" s="21"/>
    </row>
    <row r="63" spans="8:26" ht="14.25" x14ac:dyDescent="0.2">
      <c r="H63" s="9"/>
      <c r="U63" s="152"/>
      <c r="V63" s="21"/>
      <c r="W63" s="21"/>
      <c r="X63" s="21"/>
      <c r="Y63" s="21"/>
      <c r="Z63" s="21"/>
    </row>
    <row r="64" spans="8:26" ht="14.25" x14ac:dyDescent="0.2">
      <c r="H64" s="9"/>
      <c r="U64" s="152"/>
      <c r="V64" s="21"/>
      <c r="W64" s="21"/>
      <c r="X64" s="21"/>
      <c r="Y64" s="21"/>
      <c r="Z64" s="21"/>
    </row>
    <row r="65" spans="8:26" ht="14.25" x14ac:dyDescent="0.2">
      <c r="H65" s="9"/>
      <c r="U65" s="152"/>
      <c r="V65" s="21"/>
      <c r="W65" s="21"/>
      <c r="X65" s="21"/>
      <c r="Y65" s="21"/>
      <c r="Z65" s="21"/>
    </row>
    <row r="66" spans="8:26" ht="14.25" x14ac:dyDescent="0.2">
      <c r="H66" s="9"/>
      <c r="U66" s="152"/>
      <c r="V66" s="21"/>
      <c r="W66" s="21"/>
      <c r="X66" s="21"/>
      <c r="Y66" s="21"/>
      <c r="Z66" s="21"/>
    </row>
    <row r="67" spans="8:26" ht="14.25" x14ac:dyDescent="0.2">
      <c r="H67" s="9"/>
      <c r="U67" s="152"/>
      <c r="V67" s="21"/>
      <c r="W67" s="21"/>
      <c r="X67" s="21"/>
      <c r="Y67" s="21"/>
      <c r="Z67" s="21"/>
    </row>
    <row r="68" spans="8:26" ht="14.25" x14ac:dyDescent="0.2">
      <c r="H68" s="9"/>
      <c r="U68" s="152"/>
      <c r="V68" s="21"/>
      <c r="W68" s="21"/>
      <c r="X68" s="21"/>
      <c r="Y68" s="21"/>
      <c r="Z68" s="21"/>
    </row>
    <row r="69" spans="8:26" ht="14.25" x14ac:dyDescent="0.2">
      <c r="H69" s="9"/>
      <c r="U69" s="152"/>
      <c r="V69" s="21"/>
      <c r="W69" s="21"/>
      <c r="X69" s="21"/>
      <c r="Y69" s="21"/>
      <c r="Z69" s="21"/>
    </row>
    <row r="70" spans="8:26" ht="14.25" x14ac:dyDescent="0.2">
      <c r="H70" s="9"/>
      <c r="U70" s="152"/>
      <c r="V70" s="21"/>
      <c r="W70" s="21"/>
      <c r="X70" s="21"/>
      <c r="Y70" s="21"/>
      <c r="Z70" s="21"/>
    </row>
    <row r="71" spans="8:26" ht="14.25" x14ac:dyDescent="0.2">
      <c r="H71" s="9"/>
      <c r="U71" s="152"/>
      <c r="V71" s="21"/>
      <c r="W71" s="21"/>
      <c r="X71" s="21"/>
      <c r="Y71" s="21"/>
      <c r="Z71" s="21"/>
    </row>
    <row r="72" spans="8:26" ht="14.25" x14ac:dyDescent="0.2">
      <c r="H72" s="9"/>
      <c r="U72" s="152"/>
      <c r="V72" s="21"/>
      <c r="W72" s="21"/>
      <c r="X72" s="21"/>
      <c r="Y72" s="21"/>
      <c r="Z72" s="21"/>
    </row>
    <row r="73" spans="8:26" ht="14.25" x14ac:dyDescent="0.2">
      <c r="H73" s="9"/>
      <c r="U73" s="152"/>
      <c r="V73" s="21"/>
      <c r="W73" s="21"/>
      <c r="X73" s="21"/>
      <c r="Y73" s="21"/>
      <c r="Z73" s="21"/>
    </row>
    <row r="74" spans="8:26" ht="14.25" x14ac:dyDescent="0.2">
      <c r="H74" s="9"/>
      <c r="U74" s="152"/>
      <c r="V74" s="21"/>
      <c r="W74" s="21"/>
      <c r="X74" s="21"/>
      <c r="Y74" s="21"/>
      <c r="Z74" s="21"/>
    </row>
    <row r="75" spans="8:26" ht="14.25" x14ac:dyDescent="0.2">
      <c r="H75" s="9"/>
      <c r="U75" s="152"/>
      <c r="V75" s="21"/>
      <c r="W75" s="21"/>
      <c r="X75" s="21"/>
      <c r="Y75" s="21"/>
      <c r="Z75" s="21"/>
    </row>
    <row r="76" spans="8:26" ht="14.25" x14ac:dyDescent="0.2">
      <c r="U76" s="152"/>
      <c r="V76" s="21"/>
      <c r="W76" s="21"/>
      <c r="X76" s="21"/>
      <c r="Y76" s="21"/>
      <c r="Z76" s="21"/>
    </row>
    <row r="77" spans="8:26" ht="14.25" x14ac:dyDescent="0.2">
      <c r="H77" s="9"/>
      <c r="U77" s="152"/>
      <c r="V77" s="21"/>
      <c r="W77" s="21"/>
      <c r="X77" s="21"/>
      <c r="Y77" s="21"/>
      <c r="Z77" s="21"/>
    </row>
    <row r="78" spans="8:26" ht="14.25" x14ac:dyDescent="0.2">
      <c r="H78" s="9"/>
      <c r="U78" s="152"/>
      <c r="V78" s="21"/>
      <c r="W78" s="21"/>
      <c r="X78" s="21"/>
      <c r="Y78" s="21"/>
      <c r="Z78" s="21"/>
    </row>
    <row r="79" spans="8:26" ht="14.25" x14ac:dyDescent="0.2">
      <c r="H79" s="9"/>
      <c r="U79" s="152"/>
      <c r="V79" s="21"/>
      <c r="W79" s="21"/>
      <c r="X79" s="21"/>
      <c r="Y79" s="21"/>
      <c r="Z79" s="21"/>
    </row>
    <row r="80" spans="8:26" ht="14.25" x14ac:dyDescent="0.2">
      <c r="H80" s="9"/>
      <c r="U80" s="152"/>
      <c r="V80" s="21"/>
      <c r="W80" s="21"/>
      <c r="X80" s="21"/>
      <c r="Y80" s="21"/>
      <c r="Z80" s="21"/>
    </row>
    <row r="81" spans="1:26" ht="14.25" x14ac:dyDescent="0.2">
      <c r="H81" s="9"/>
      <c r="U81" s="152"/>
      <c r="V81" s="21"/>
      <c r="W81" s="21"/>
      <c r="X81" s="21"/>
      <c r="Y81" s="21"/>
      <c r="Z81" s="21"/>
    </row>
    <row r="82" spans="1:26" ht="14.25" x14ac:dyDescent="0.2">
      <c r="H82" s="9"/>
      <c r="U82" s="152"/>
      <c r="V82" s="21"/>
      <c r="W82" s="21"/>
      <c r="X82" s="21"/>
      <c r="Y82" s="21"/>
      <c r="Z82" s="21"/>
    </row>
    <row r="83" spans="1:26" ht="14.25" x14ac:dyDescent="0.2">
      <c r="U83" s="152"/>
      <c r="V83" s="21"/>
      <c r="W83" s="21"/>
      <c r="X83" s="21"/>
      <c r="Y83" s="21"/>
      <c r="Z83" s="21"/>
    </row>
    <row r="84" spans="1:26" ht="14.25" x14ac:dyDescent="0.2">
      <c r="U84" s="152"/>
      <c r="V84" s="21"/>
      <c r="W84" s="21"/>
      <c r="X84" s="21"/>
      <c r="Y84" s="21"/>
      <c r="Z84" s="21"/>
    </row>
    <row r="85" spans="1:26" ht="14.25" x14ac:dyDescent="0.2">
      <c r="U85" s="152"/>
      <c r="V85" s="21"/>
      <c r="W85" s="21"/>
      <c r="X85" s="21"/>
      <c r="Y85" s="21"/>
      <c r="Z85" s="21"/>
    </row>
    <row r="86" spans="1:26" ht="14.25" x14ac:dyDescent="0.2">
      <c r="U86" s="152"/>
      <c r="V86" s="21"/>
      <c r="W86" s="21"/>
      <c r="X86" s="21"/>
      <c r="Y86" s="21"/>
      <c r="Z86" s="21"/>
    </row>
    <row r="87" spans="1:26" ht="14.25" x14ac:dyDescent="0.2">
      <c r="U87" s="152"/>
      <c r="V87" s="21"/>
      <c r="W87" s="21"/>
      <c r="X87" s="21"/>
      <c r="Y87" s="21"/>
      <c r="Z87" s="21"/>
    </row>
    <row r="88" spans="1:26" ht="14.25" x14ac:dyDescent="0.2">
      <c r="U88" s="152"/>
      <c r="V88" s="21"/>
      <c r="W88" s="21"/>
      <c r="X88" s="21"/>
      <c r="Y88" s="21"/>
      <c r="Z88" s="21"/>
    </row>
    <row r="89" spans="1:26" ht="14.25" x14ac:dyDescent="0.2">
      <c r="A89" s="23"/>
      <c r="B89" s="23"/>
      <c r="C89" s="23"/>
      <c r="D89" s="23"/>
      <c r="T89" s="151"/>
      <c r="U89" s="152"/>
      <c r="V89" s="21"/>
      <c r="W89" s="21"/>
      <c r="X89" s="21"/>
      <c r="Y89" s="21"/>
      <c r="Z89" s="21"/>
    </row>
    <row r="90" spans="1:26" ht="14.25" x14ac:dyDescent="0.2">
      <c r="T90" s="151"/>
      <c r="U90" s="152"/>
      <c r="V90" s="21"/>
      <c r="W90" s="21"/>
      <c r="X90" s="21"/>
      <c r="Y90" s="21"/>
      <c r="Z90" s="21"/>
    </row>
    <row r="91" spans="1:26" ht="14.25" x14ac:dyDescent="0.2">
      <c r="T91" s="151"/>
      <c r="U91" s="152"/>
      <c r="V91" s="21"/>
      <c r="W91" s="21"/>
      <c r="X91" s="21"/>
      <c r="Y91" s="21"/>
      <c r="Z91" s="21"/>
    </row>
    <row r="92" spans="1:26" ht="14.25" x14ac:dyDescent="0.2">
      <c r="T92" s="151"/>
      <c r="U92" s="152"/>
      <c r="V92" s="21"/>
      <c r="W92" s="21"/>
      <c r="X92" s="21"/>
      <c r="Y92" s="21"/>
      <c r="Z92" s="21"/>
    </row>
    <row r="93" spans="1:26" ht="14.25" x14ac:dyDescent="0.2">
      <c r="T93" s="151"/>
      <c r="U93" s="152"/>
      <c r="V93" s="21"/>
      <c r="W93" s="21"/>
      <c r="X93" s="21"/>
      <c r="Y93" s="21"/>
      <c r="Z93" s="21"/>
    </row>
    <row r="94" spans="1:26" ht="14.25" x14ac:dyDescent="0.2">
      <c r="T94" s="151"/>
      <c r="U94" s="152"/>
      <c r="V94" s="21"/>
      <c r="W94" s="21"/>
      <c r="X94" s="21"/>
      <c r="Y94" s="21"/>
      <c r="Z94" s="21"/>
    </row>
    <row r="95" spans="1:26" ht="14.25" x14ac:dyDescent="0.2">
      <c r="T95" s="151"/>
      <c r="U95" s="152"/>
      <c r="V95" s="21"/>
      <c r="W95" s="21"/>
      <c r="X95" s="21"/>
      <c r="Y95" s="21"/>
      <c r="Z95" s="21"/>
    </row>
    <row r="96" spans="1:26" ht="14.25" x14ac:dyDescent="0.2">
      <c r="T96" s="151"/>
      <c r="U96" s="152"/>
      <c r="V96" s="21"/>
      <c r="W96" s="21"/>
      <c r="X96" s="21"/>
      <c r="Y96" s="21"/>
      <c r="Z96" s="21"/>
    </row>
    <row r="97" spans="1:26" ht="14.25" x14ac:dyDescent="0.2">
      <c r="T97" s="151"/>
      <c r="U97" s="152"/>
      <c r="V97" s="21"/>
      <c r="W97" s="21"/>
      <c r="X97" s="21"/>
      <c r="Y97" s="21"/>
      <c r="Z97" s="21"/>
    </row>
    <row r="98" spans="1:26" ht="14.25" x14ac:dyDescent="0.2">
      <c r="T98" s="151"/>
      <c r="U98" s="152"/>
      <c r="V98" s="21"/>
      <c r="W98" s="21"/>
      <c r="X98" s="21"/>
      <c r="Y98" s="21"/>
      <c r="Z98" s="21"/>
    </row>
    <row r="99" spans="1:26" ht="14.25" x14ac:dyDescent="0.2">
      <c r="T99" s="151"/>
      <c r="U99" s="152"/>
      <c r="V99" s="21"/>
      <c r="W99" s="21"/>
      <c r="X99" s="21"/>
      <c r="Y99" s="21"/>
      <c r="Z99" s="21"/>
    </row>
    <row r="100" spans="1:26" ht="14.25" x14ac:dyDescent="0.2">
      <c r="T100" s="151"/>
      <c r="U100" s="152"/>
      <c r="V100" s="21"/>
      <c r="W100" s="21"/>
      <c r="X100" s="21"/>
      <c r="Y100" s="21"/>
      <c r="Z100" s="21"/>
    </row>
    <row r="101" spans="1:26" ht="14.25" x14ac:dyDescent="0.2">
      <c r="T101" s="151"/>
      <c r="U101" s="152"/>
      <c r="V101" s="21"/>
      <c r="W101" s="21"/>
      <c r="X101" s="21"/>
      <c r="Y101" s="21"/>
      <c r="Z101" s="21"/>
    </row>
    <row r="102" spans="1:26" ht="14.25" x14ac:dyDescent="0.2">
      <c r="A102" s="23"/>
      <c r="B102" s="23"/>
      <c r="C102" s="23"/>
      <c r="D102" s="23"/>
      <c r="T102" s="151"/>
      <c r="U102" s="152"/>
      <c r="V102" s="21"/>
      <c r="W102" s="21"/>
      <c r="X102" s="21"/>
      <c r="Y102" s="21"/>
      <c r="Z102" s="21"/>
    </row>
    <row r="103" spans="1:26" ht="14.25" x14ac:dyDescent="0.2">
      <c r="A103" s="23"/>
      <c r="B103" s="23"/>
      <c r="C103" s="23"/>
      <c r="D103" s="23"/>
      <c r="T103" s="151"/>
      <c r="U103" s="152"/>
      <c r="V103" s="21"/>
      <c r="W103" s="21"/>
      <c r="X103" s="21"/>
      <c r="Y103" s="21"/>
      <c r="Z103" s="21"/>
    </row>
    <row r="104" spans="1:26" ht="14.25" x14ac:dyDescent="0.2">
      <c r="A104" s="23"/>
      <c r="B104" s="23"/>
      <c r="C104" s="23"/>
      <c r="D104" s="23"/>
      <c r="T104" s="151"/>
      <c r="U104" s="152"/>
      <c r="V104" s="21"/>
      <c r="W104" s="21"/>
      <c r="X104" s="21"/>
      <c r="Y104" s="21"/>
      <c r="Z104" s="21"/>
    </row>
    <row r="105" spans="1:26" ht="14.25" x14ac:dyDescent="0.2">
      <c r="A105" s="23"/>
      <c r="B105" s="23"/>
      <c r="C105" s="23"/>
      <c r="D105" s="23"/>
      <c r="T105" s="151"/>
      <c r="U105" s="152"/>
      <c r="V105" s="21"/>
      <c r="W105" s="21"/>
      <c r="X105" s="21"/>
      <c r="Y105" s="21"/>
      <c r="Z105" s="21"/>
    </row>
    <row r="106" spans="1:26" ht="14.25" x14ac:dyDescent="0.2">
      <c r="A106" s="23"/>
      <c r="B106" s="23"/>
      <c r="C106" s="23"/>
      <c r="D106" s="23"/>
      <c r="T106" s="151"/>
      <c r="U106" s="152"/>
      <c r="V106" s="21"/>
      <c r="W106" s="21"/>
      <c r="X106" s="21"/>
      <c r="Y106" s="21"/>
      <c r="Z106" s="21"/>
    </row>
    <row r="107" spans="1:26" ht="14.25" x14ac:dyDescent="0.2">
      <c r="A107" s="23"/>
      <c r="B107" s="23"/>
      <c r="C107" s="23"/>
      <c r="D107" s="23"/>
      <c r="T107" s="151"/>
      <c r="U107" s="152"/>
      <c r="V107" s="21"/>
      <c r="W107" s="21"/>
      <c r="X107" s="21"/>
      <c r="Y107" s="21"/>
      <c r="Z107" s="21"/>
    </row>
    <row r="108" spans="1:26" ht="14.25" x14ac:dyDescent="0.2">
      <c r="A108" s="23"/>
      <c r="B108" s="23"/>
      <c r="C108" s="23"/>
      <c r="D108" s="23"/>
      <c r="T108" s="151"/>
      <c r="U108" s="152"/>
      <c r="V108" s="21"/>
      <c r="W108" s="21"/>
      <c r="X108" s="21"/>
      <c r="Y108" s="21"/>
      <c r="Z108" s="21"/>
    </row>
    <row r="109" spans="1:26" ht="14.25" x14ac:dyDescent="0.2">
      <c r="A109" s="23"/>
      <c r="B109" s="23"/>
      <c r="C109" s="23"/>
      <c r="D109" s="23"/>
      <c r="T109" s="151"/>
      <c r="U109" s="152"/>
      <c r="V109" s="21"/>
      <c r="W109" s="21"/>
      <c r="X109" s="21"/>
      <c r="Y109" s="21"/>
      <c r="Z109" s="21"/>
    </row>
    <row r="110" spans="1:26" ht="14.25" x14ac:dyDescent="0.2">
      <c r="A110" s="23"/>
      <c r="B110" s="23"/>
      <c r="C110" s="23"/>
      <c r="D110" s="23"/>
      <c r="T110" s="151"/>
      <c r="U110" s="152"/>
      <c r="V110" s="21"/>
      <c r="W110" s="21"/>
      <c r="X110" s="21"/>
      <c r="Y110" s="21"/>
      <c r="Z110" s="21"/>
    </row>
    <row r="111" spans="1:26" ht="14.25" x14ac:dyDescent="0.2">
      <c r="A111" s="23"/>
      <c r="B111" s="23"/>
      <c r="C111" s="23"/>
      <c r="D111" s="23"/>
      <c r="T111" s="151"/>
      <c r="U111" s="152"/>
      <c r="V111" s="21"/>
      <c r="W111" s="21"/>
      <c r="X111" s="21"/>
      <c r="Y111" s="21"/>
      <c r="Z111" s="21"/>
    </row>
    <row r="112" spans="1:26" ht="14.25" x14ac:dyDescent="0.2">
      <c r="A112" s="23"/>
      <c r="B112" s="23"/>
      <c r="C112" s="23"/>
      <c r="D112" s="23"/>
      <c r="T112" s="151"/>
      <c r="U112" s="152"/>
      <c r="V112" s="21"/>
      <c r="W112" s="21"/>
      <c r="X112" s="21"/>
      <c r="Y112" s="21"/>
      <c r="Z112" s="21"/>
    </row>
    <row r="113" spans="1:26" ht="14.25" x14ac:dyDescent="0.2">
      <c r="A113" s="23"/>
      <c r="B113" s="23"/>
      <c r="C113" s="23"/>
      <c r="D113" s="23"/>
      <c r="T113" s="151"/>
      <c r="U113" s="152"/>
      <c r="V113" s="21"/>
      <c r="W113" s="21"/>
      <c r="X113" s="21"/>
      <c r="Y113" s="21"/>
      <c r="Z113" s="21"/>
    </row>
    <row r="114" spans="1:26" ht="14.25" x14ac:dyDescent="0.2">
      <c r="A114" s="23"/>
      <c r="B114" s="23"/>
      <c r="C114" s="23"/>
      <c r="D114" s="23"/>
      <c r="T114" s="151"/>
      <c r="U114" s="152"/>
      <c r="V114" s="21"/>
      <c r="W114" s="21"/>
      <c r="X114" s="21"/>
      <c r="Y114" s="21"/>
      <c r="Z114" s="21"/>
    </row>
    <row r="115" spans="1:26" ht="14.25" x14ac:dyDescent="0.2">
      <c r="A115" s="23"/>
      <c r="B115" s="23"/>
      <c r="C115" s="23"/>
      <c r="D115" s="23"/>
      <c r="T115" s="151"/>
      <c r="U115" s="152"/>
      <c r="V115" s="21"/>
      <c r="W115" s="21"/>
      <c r="X115" s="21"/>
      <c r="Y115" s="21"/>
      <c r="Z115" s="21"/>
    </row>
    <row r="116" spans="1:26" ht="13.5" x14ac:dyDescent="0.2">
      <c r="A116" s="24"/>
      <c r="B116" s="24"/>
      <c r="T116" s="153"/>
      <c r="V116" s="21"/>
      <c r="W116" s="21"/>
      <c r="X116" s="21"/>
      <c r="Y116" s="21"/>
      <c r="Z116" s="21"/>
    </row>
    <row r="130" spans="1:26" ht="16.899999999999999" customHeight="1" x14ac:dyDescent="0.2">
      <c r="A130" s="25"/>
    </row>
    <row r="131" spans="1:26" ht="12" customHeight="1" x14ac:dyDescent="0.2">
      <c r="A131" s="4"/>
    </row>
    <row r="132" spans="1:26" ht="13.15" customHeight="1" x14ac:dyDescent="0.2"/>
    <row r="133" spans="1:26" ht="13.15" customHeight="1" x14ac:dyDescent="0.2"/>
    <row r="134" spans="1:26" ht="13.15" customHeight="1" x14ac:dyDescent="0.2"/>
    <row r="135" spans="1:26" s="149" customFormat="1" ht="13.15" customHeight="1" x14ac:dyDescent="0.2">
      <c r="A135" s="1"/>
      <c r="B135" s="1"/>
      <c r="C135" s="1"/>
      <c r="D135" s="1"/>
      <c r="E135" s="1"/>
      <c r="F135" s="1"/>
      <c r="G135" s="1"/>
      <c r="H135" s="1"/>
      <c r="P135" s="1"/>
      <c r="Q135" s="1"/>
      <c r="T135" s="150"/>
      <c r="U135" s="150"/>
      <c r="V135" s="1"/>
      <c r="W135" s="1"/>
      <c r="X135" s="1"/>
      <c r="Y135" s="1"/>
      <c r="Z135" s="1"/>
    </row>
    <row r="136" spans="1:26" s="149" customFormat="1" ht="13.15" customHeight="1" x14ac:dyDescent="0.2">
      <c r="A136" s="1"/>
      <c r="B136" s="1"/>
      <c r="C136" s="1"/>
      <c r="D136" s="1"/>
      <c r="E136" s="1"/>
      <c r="F136" s="1"/>
      <c r="G136" s="1"/>
      <c r="H136" s="1"/>
      <c r="P136" s="1"/>
      <c r="Q136" s="1"/>
      <c r="T136" s="150"/>
      <c r="U136" s="150"/>
      <c r="V136" s="1"/>
      <c r="W136" s="1"/>
      <c r="X136" s="1"/>
      <c r="Y136" s="1"/>
      <c r="Z136" s="1"/>
    </row>
    <row r="137" spans="1:26" s="149" customFormat="1" ht="13.15" customHeight="1" x14ac:dyDescent="0.2">
      <c r="A137" s="1"/>
      <c r="B137" s="1"/>
      <c r="C137" s="1"/>
      <c r="D137" s="1"/>
      <c r="E137" s="1"/>
      <c r="F137" s="1"/>
      <c r="G137" s="1"/>
      <c r="H137" s="1"/>
      <c r="P137" s="1"/>
      <c r="Q137" s="1"/>
      <c r="T137" s="150"/>
      <c r="U137" s="150"/>
      <c r="V137" s="1"/>
      <c r="W137" s="1"/>
      <c r="X137" s="1"/>
      <c r="Y137" s="1"/>
      <c r="Z137" s="1"/>
    </row>
    <row r="138" spans="1:26" s="149" customFormat="1" ht="12" customHeight="1" x14ac:dyDescent="0.2">
      <c r="A138" s="1"/>
      <c r="B138" s="1"/>
      <c r="C138" s="1"/>
      <c r="D138" s="1"/>
      <c r="E138" s="1"/>
      <c r="F138" s="1"/>
      <c r="G138" s="1"/>
      <c r="H138" s="1"/>
      <c r="P138" s="1"/>
      <c r="Q138" s="1"/>
      <c r="T138" s="150"/>
      <c r="U138" s="150"/>
      <c r="V138" s="1"/>
      <c r="W138" s="1"/>
      <c r="X138" s="1"/>
      <c r="Y138" s="1"/>
      <c r="Z138" s="1"/>
    </row>
    <row r="139" spans="1:26" s="149" customFormat="1" ht="12" customHeight="1" x14ac:dyDescent="0.2">
      <c r="A139" s="1"/>
      <c r="B139" s="1"/>
      <c r="C139" s="1"/>
      <c r="D139" s="1"/>
      <c r="E139" s="1"/>
      <c r="F139" s="1"/>
      <c r="G139" s="1"/>
      <c r="H139" s="1"/>
      <c r="P139" s="1"/>
      <c r="Q139" s="1"/>
      <c r="T139" s="150"/>
      <c r="U139" s="150"/>
      <c r="V139" s="1"/>
      <c r="W139" s="1"/>
      <c r="X139" s="1"/>
      <c r="Y139" s="1"/>
      <c r="Z139" s="1"/>
    </row>
    <row r="140" spans="1:26" s="149" customFormat="1" ht="15" customHeight="1" x14ac:dyDescent="0.2">
      <c r="A140" s="1"/>
      <c r="B140" s="1"/>
      <c r="C140" s="1"/>
      <c r="D140" s="1"/>
      <c r="E140" s="1"/>
      <c r="F140" s="1"/>
      <c r="G140" s="1"/>
      <c r="H140" s="1"/>
      <c r="P140" s="1"/>
      <c r="Q140" s="1"/>
      <c r="T140" s="150"/>
      <c r="U140" s="150"/>
      <c r="V140" s="1"/>
      <c r="W140" s="1"/>
      <c r="X140" s="1"/>
      <c r="Y140" s="1"/>
      <c r="Z140" s="1"/>
    </row>
    <row r="141" spans="1:26" s="149" customFormat="1" ht="15" customHeight="1" x14ac:dyDescent="0.2">
      <c r="A141" s="1"/>
      <c r="B141" s="1"/>
      <c r="C141" s="1"/>
      <c r="D141" s="1"/>
      <c r="E141" s="1"/>
      <c r="F141" s="1"/>
      <c r="G141" s="1"/>
      <c r="H141" s="1"/>
      <c r="P141" s="1"/>
      <c r="Q141" s="1"/>
      <c r="T141" s="150"/>
      <c r="U141" s="150"/>
      <c r="V141" s="1"/>
      <c r="W141" s="1"/>
      <c r="X141" s="1"/>
      <c r="Y141" s="1"/>
      <c r="Z141" s="1"/>
    </row>
  </sheetData>
  <sheetProtection sheet="1" formatCells="0" formatColumns="0" formatRows="0"/>
  <mergeCells count="6">
    <mergeCell ref="A32:A33"/>
    <mergeCell ref="D32:D33"/>
    <mergeCell ref="E32:E33"/>
    <mergeCell ref="L32:L33"/>
    <mergeCell ref="B33:C33"/>
    <mergeCell ref="F33:K33"/>
  </mergeCells>
  <phoneticPr fontId="4"/>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4567E-413A-4B8E-B682-523ED7CDFA55}">
  <dimension ref="A1:Z136"/>
  <sheetViews>
    <sheetView zoomScale="160" zoomScaleNormal="160" workbookViewId="0">
      <selection activeCell="M13" sqref="M13"/>
    </sheetView>
  </sheetViews>
  <sheetFormatPr defaultColWidth="9.33203125" defaultRowHeight="12.75" x14ac:dyDescent="0.2"/>
  <cols>
    <col min="1" max="2" width="9.33203125" style="1"/>
    <col min="3" max="7" width="10.1640625" style="1" customWidth="1"/>
    <col min="8" max="8" width="9.33203125" style="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1380</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669</v>
      </c>
      <c r="B2" s="97"/>
      <c r="C2" s="97"/>
      <c r="D2" s="97"/>
      <c r="E2" s="97"/>
      <c r="F2" s="97"/>
      <c r="G2" s="97"/>
      <c r="H2" s="97"/>
      <c r="I2" s="113"/>
      <c r="J2" s="154" t="s">
        <v>4</v>
      </c>
      <c r="K2" s="210">
        <v>1</v>
      </c>
      <c r="L2" s="154" t="s">
        <v>129</v>
      </c>
      <c r="M2" s="113"/>
      <c r="N2" s="113" t="s">
        <v>79</v>
      </c>
      <c r="O2" s="113"/>
      <c r="R2" s="113"/>
      <c r="S2" s="113"/>
      <c r="T2" s="146"/>
      <c r="U2" s="146"/>
    </row>
    <row r="3" spans="1:25" x14ac:dyDescent="0.2">
      <c r="A3" s="99"/>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 customFormat="1" x14ac:dyDescent="0.2">
      <c r="A6" s="226" t="s">
        <v>668</v>
      </c>
      <c r="B6" s="99"/>
      <c r="C6" s="99"/>
      <c r="D6" s="99"/>
      <c r="E6" s="99"/>
      <c r="F6" s="99"/>
      <c r="G6" s="99"/>
      <c r="H6" s="99"/>
      <c r="I6" s="113"/>
      <c r="J6" s="113"/>
      <c r="K6" s="113"/>
      <c r="L6" s="113"/>
      <c r="M6" s="113"/>
      <c r="N6" s="113"/>
      <c r="O6" s="113"/>
      <c r="R6" s="113"/>
      <c r="S6" s="113"/>
      <c r="T6" s="146"/>
      <c r="U6" s="146"/>
    </row>
    <row r="7" spans="1:25" s="2" customFormat="1" x14ac:dyDescent="0.2">
      <c r="A7" s="113"/>
      <c r="B7" s="99"/>
      <c r="C7" s="99"/>
      <c r="D7" s="99"/>
      <c r="E7" s="99"/>
      <c r="F7" s="99"/>
      <c r="G7" s="99"/>
      <c r="H7" s="99"/>
      <c r="I7" s="113"/>
      <c r="J7" s="113"/>
      <c r="K7" s="113"/>
      <c r="L7" s="113"/>
      <c r="M7" s="113"/>
      <c r="N7" s="113"/>
      <c r="O7" s="113"/>
      <c r="R7" s="113"/>
      <c r="S7" s="113"/>
      <c r="T7" s="146"/>
      <c r="U7" s="146"/>
    </row>
    <row r="8" spans="1:25" s="2" customFormat="1" x14ac:dyDescent="0.2">
      <c r="A8" s="99"/>
      <c r="B8" s="99"/>
      <c r="C8" s="99"/>
      <c r="D8" s="99"/>
      <c r="E8" s="99"/>
      <c r="F8" s="99"/>
      <c r="G8" s="99"/>
      <c r="H8" s="99"/>
      <c r="I8" s="113"/>
      <c r="J8" s="113"/>
      <c r="K8" s="113"/>
      <c r="L8" s="113"/>
      <c r="M8" s="113"/>
      <c r="N8" s="113"/>
      <c r="O8" s="113"/>
      <c r="R8" s="113"/>
      <c r="S8" s="113"/>
      <c r="T8" s="146"/>
      <c r="U8" s="146"/>
    </row>
    <row r="9" spans="1:25" s="2" customFormat="1" x14ac:dyDescent="0.2">
      <c r="A9" s="113"/>
      <c r="B9" s="99"/>
      <c r="C9" s="99"/>
      <c r="D9" s="99"/>
      <c r="E9" s="99"/>
      <c r="F9" s="99"/>
      <c r="G9" s="99"/>
      <c r="H9" s="99"/>
      <c r="I9" s="113"/>
      <c r="J9" s="113"/>
      <c r="K9" s="113"/>
      <c r="L9" s="113"/>
      <c r="M9" s="113"/>
      <c r="N9" s="113"/>
      <c r="O9" s="113"/>
      <c r="R9" s="113"/>
      <c r="S9" s="113"/>
      <c r="T9" s="146"/>
      <c r="U9" s="146"/>
    </row>
    <row r="10" spans="1:25" x14ac:dyDescent="0.2">
      <c r="A10" s="102"/>
      <c r="B10" s="97"/>
      <c r="C10" s="97"/>
      <c r="D10" s="97"/>
      <c r="E10" s="97"/>
      <c r="F10" s="97"/>
      <c r="G10" s="97"/>
      <c r="H10" s="97"/>
      <c r="I10" s="113"/>
      <c r="J10" s="113"/>
      <c r="K10" s="113"/>
      <c r="L10" s="113"/>
      <c r="M10" s="113"/>
      <c r="N10" s="113"/>
      <c r="O10" s="113"/>
      <c r="R10" s="113"/>
      <c r="S10" s="113"/>
      <c r="T10" s="146"/>
      <c r="U10" s="146"/>
    </row>
    <row r="11" spans="1:25" x14ac:dyDescent="0.2">
      <c r="A11" s="97"/>
      <c r="B11" s="97"/>
      <c r="C11" s="97"/>
      <c r="D11" s="97"/>
      <c r="E11" s="97"/>
      <c r="F11" s="97"/>
      <c r="G11" s="97"/>
      <c r="H11" s="97"/>
      <c r="I11" s="113"/>
      <c r="J11" s="113"/>
      <c r="K11" s="113"/>
      <c r="L11" s="113"/>
      <c r="M11" s="113"/>
      <c r="N11" s="113"/>
      <c r="O11" s="113"/>
      <c r="R11" s="113"/>
      <c r="S11" s="113"/>
      <c r="T11" s="146"/>
      <c r="U11" s="146"/>
    </row>
    <row r="12" spans="1:25" x14ac:dyDescent="0.2">
      <c r="A12" s="97"/>
      <c r="B12" s="97"/>
      <c r="C12" s="97"/>
      <c r="D12" s="97"/>
      <c r="E12" s="97"/>
      <c r="F12" s="97"/>
      <c r="G12" s="97"/>
      <c r="H12" s="97"/>
      <c r="I12" s="113"/>
      <c r="J12" s="113"/>
      <c r="K12" s="113"/>
      <c r="L12" s="113"/>
      <c r="M12" s="113"/>
      <c r="N12" s="113"/>
      <c r="O12" s="113"/>
      <c r="R12" s="113"/>
      <c r="S12" s="113"/>
      <c r="T12" s="146"/>
      <c r="U12" s="146"/>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
        <v>197</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12</v>
      </c>
      <c r="N16" s="104" t="s">
        <v>1058</v>
      </c>
      <c r="O16" s="104" t="s">
        <v>100</v>
      </c>
      <c r="P16" s="6" t="s">
        <v>105</v>
      </c>
      <c r="Q16" s="6" t="s">
        <v>106</v>
      </c>
      <c r="R16" s="104" t="s">
        <v>1051</v>
      </c>
      <c r="S16" s="104" t="s">
        <v>1052</v>
      </c>
      <c r="T16" s="147" t="s">
        <v>80</v>
      </c>
      <c r="U16" s="147" t="s">
        <v>81</v>
      </c>
      <c r="V16" s="5" t="s">
        <v>101</v>
      </c>
      <c r="W16" s="5" t="s">
        <v>102</v>
      </c>
      <c r="X16" s="112" t="s">
        <v>103</v>
      </c>
      <c r="Y16" s="112" t="s">
        <v>104</v>
      </c>
    </row>
    <row r="17" spans="1:26" x14ac:dyDescent="0.2">
      <c r="A17" s="213" t="str">
        <f>A30</f>
        <v>KRISS</v>
      </c>
      <c r="B17" s="213" t="str">
        <f>B30</f>
        <v>ME5524</v>
      </c>
      <c r="C17" s="214">
        <f>C30*0.001</f>
        <v>0.31043999999999999</v>
      </c>
      <c r="D17" s="214">
        <f>D30*0.001</f>
        <v>2.4000000000000001E-4</v>
      </c>
      <c r="E17" s="214">
        <f>E30*0.001</f>
        <v>0.31054999999999999</v>
      </c>
      <c r="F17" s="214">
        <f>F30*0.001</f>
        <v>1.7000000000000001E-4</v>
      </c>
      <c r="G17" s="214">
        <f>G30*0.001</f>
        <v>1.1E-4</v>
      </c>
      <c r="H17" s="214">
        <f t="shared" ref="H17:H23" si="0">I30*0.001</f>
        <v>5.9000000000000003E-4</v>
      </c>
      <c r="I17" s="155">
        <f t="shared" ref="I17:I23" si="1">IF(ABS(G17)&gt;ABS(H17), 1, 0)</f>
        <v>0</v>
      </c>
      <c r="J17" s="155">
        <f t="shared" ref="J17:J23" si="2">I17*ABS(C17-E17)</f>
        <v>0</v>
      </c>
      <c r="K17" s="155">
        <f t="shared" ref="K17:K23" si="3">SQRT(SUMSQ(F17,J17))*2</f>
        <v>3.4000000000000002E-4</v>
      </c>
      <c r="L17" s="155">
        <f t="shared" ref="L17:L23" si="4">IF(C17&lt;$K$2, C17, $K$1)</f>
        <v>0.31043999999999999</v>
      </c>
      <c r="M17" s="156">
        <f t="shared" ref="M17:M23" si="5">IF(AND(C17&lt;$K$1,C17&gt; $K$2), K17/L17*100, K17/C17*100)</f>
        <v>0.10952196881845123</v>
      </c>
      <c r="N17" s="157">
        <f t="shared" ref="N17" si="6">M17*L17/100</f>
        <v>3.4000000000000002E-4</v>
      </c>
      <c r="O17" s="155">
        <f t="shared" ref="O17" si="7">N17/(M17*L17/100)*100</f>
        <v>100</v>
      </c>
      <c r="P17" s="250">
        <v>1</v>
      </c>
      <c r="Q17" s="250">
        <v>1000</v>
      </c>
      <c r="R17" s="148">
        <f>IF( IF(P17&lt;L17, M17*L17/P17, M17)&gt;100, "ERROR",  IF(P17&lt;L17, M17*L17/P17, M17))</f>
        <v>0.10952196881845123</v>
      </c>
      <c r="S17" s="148">
        <f>IF(IF(Q17&lt;L17, M17*L17/Q17, M17)&gt;100, "ERROR", IF(Q17&lt;L17, M17*L17/Q17, M17))</f>
        <v>0.10952196881845123</v>
      </c>
      <c r="T17" s="148">
        <f>R17*P17*0.01</f>
        <v>1.0952196881845123E-3</v>
      </c>
      <c r="U17" s="148">
        <f>S17*Q17*0.01</f>
        <v>1.0952196881845122</v>
      </c>
      <c r="V17" s="7">
        <f>P17*1000</f>
        <v>1000</v>
      </c>
      <c r="W17" s="7">
        <f>Q17*1000</f>
        <v>1000000</v>
      </c>
      <c r="X17" s="1345">
        <f>T17*1000</f>
        <v>1.0952196881845124</v>
      </c>
      <c r="Y17" s="1345">
        <f>U17*1000</f>
        <v>1095.2196881845123</v>
      </c>
    </row>
    <row r="18" spans="1:26" x14ac:dyDescent="0.2">
      <c r="A18" s="213" t="str">
        <f t="shared" ref="A18:B18" si="8">A31</f>
        <v>NIM</v>
      </c>
      <c r="B18" s="213" t="str">
        <f t="shared" si="8"/>
        <v>ME5622</v>
      </c>
      <c r="C18" s="214">
        <f t="shared" ref="C18:G18" si="9">C31*0.001</f>
        <v>0.31539999999999996</v>
      </c>
      <c r="D18" s="214">
        <f t="shared" si="9"/>
        <v>2.4000000000000001E-4</v>
      </c>
      <c r="E18" s="214">
        <f t="shared" si="9"/>
        <v>0.314</v>
      </c>
      <c r="F18" s="214">
        <f t="shared" si="9"/>
        <v>1.3000000000000002E-3</v>
      </c>
      <c r="G18" s="214">
        <f t="shared" si="9"/>
        <v>-1.4E-3</v>
      </c>
      <c r="H18" s="214">
        <f t="shared" si="0"/>
        <v>2.5499999999999997E-3</v>
      </c>
      <c r="I18" s="155">
        <f t="shared" si="1"/>
        <v>0</v>
      </c>
      <c r="J18" s="155">
        <f t="shared" si="2"/>
        <v>0</v>
      </c>
      <c r="K18" s="155">
        <f t="shared" si="3"/>
        <v>2.6000000000000003E-3</v>
      </c>
      <c r="L18" s="155">
        <f t="shared" si="4"/>
        <v>0.31539999999999996</v>
      </c>
      <c r="M18" s="156">
        <f t="shared" si="5"/>
        <v>0.8243500317057707</v>
      </c>
      <c r="N18" s="157">
        <f t="shared" ref="N18:N23" si="10">M18*L18/100</f>
        <v>2.6000000000000007E-3</v>
      </c>
      <c r="O18" s="155">
        <f t="shared" ref="O18:O23" si="11">N18/(M18*L18/100)*100</f>
        <v>100</v>
      </c>
      <c r="P18" s="250">
        <v>1</v>
      </c>
      <c r="Q18" s="250">
        <v>1000</v>
      </c>
      <c r="R18" s="148">
        <f t="shared" ref="R18:R23" si="12">IF( IF(P18&lt;L18, M18*L18/P18, M18)&gt;100, "ERROR",  IF(P18&lt;L18, M18*L18/P18, M18))</f>
        <v>0.8243500317057707</v>
      </c>
      <c r="S18" s="148">
        <f t="shared" ref="S18:S23" si="13">IF(IF(Q18&lt;L18, M18*L18/Q18, M18)&gt;100, "ERROR", IF(Q18&lt;L18, M18*L18/Q18, M18))</f>
        <v>0.8243500317057707</v>
      </c>
      <c r="T18" s="148">
        <f t="shared" ref="T18:U23" si="14">R18*P18*0.01</f>
        <v>8.2435003170577073E-3</v>
      </c>
      <c r="U18" s="148">
        <f t="shared" si="14"/>
        <v>8.2435003170577072</v>
      </c>
      <c r="V18" s="7">
        <f t="shared" ref="V18:W23" si="15">P18*1000</f>
        <v>1000</v>
      </c>
      <c r="W18" s="7">
        <f t="shared" si="15"/>
        <v>1000000</v>
      </c>
      <c r="X18" s="1345">
        <f t="shared" ref="X18:Y23" si="16">T18*1000</f>
        <v>8.2435003170577072</v>
      </c>
      <c r="Y18" s="1345">
        <f t="shared" si="16"/>
        <v>8243.5003170577074</v>
      </c>
    </row>
    <row r="19" spans="1:26" x14ac:dyDescent="0.2">
      <c r="A19" s="213" t="str">
        <f t="shared" ref="A19:B19" si="17">A32</f>
        <v>NIST</v>
      </c>
      <c r="B19" s="213" t="str">
        <f t="shared" si="17"/>
        <v>ME5591</v>
      </c>
      <c r="C19" s="214">
        <f t="shared" ref="C19:G19" si="18">C32*0.001</f>
        <v>0.32501999999999998</v>
      </c>
      <c r="D19" s="214">
        <f t="shared" si="18"/>
        <v>2.4000000000000001E-4</v>
      </c>
      <c r="E19" s="214">
        <f t="shared" si="18"/>
        <v>0.32450000000000001</v>
      </c>
      <c r="F19" s="214">
        <f t="shared" si="18"/>
        <v>8.0000000000000004E-4</v>
      </c>
      <c r="G19" s="214">
        <f t="shared" si="18"/>
        <v>-5.2000000000000006E-4</v>
      </c>
      <c r="H19" s="214">
        <f t="shared" si="0"/>
        <v>1.67E-3</v>
      </c>
      <c r="I19" s="155">
        <f t="shared" si="1"/>
        <v>0</v>
      </c>
      <c r="J19" s="155">
        <f t="shared" si="2"/>
        <v>0</v>
      </c>
      <c r="K19" s="155">
        <f t="shared" si="3"/>
        <v>1.6000000000000001E-3</v>
      </c>
      <c r="L19" s="155">
        <f t="shared" si="4"/>
        <v>0.32501999999999998</v>
      </c>
      <c r="M19" s="156">
        <f t="shared" si="5"/>
        <v>0.49227739831394995</v>
      </c>
      <c r="N19" s="157">
        <f t="shared" si="10"/>
        <v>1.6000000000000001E-3</v>
      </c>
      <c r="O19" s="155">
        <f t="shared" si="11"/>
        <v>100</v>
      </c>
      <c r="P19" s="250">
        <v>1</v>
      </c>
      <c r="Q19" s="250">
        <v>1000</v>
      </c>
      <c r="R19" s="148">
        <f t="shared" si="12"/>
        <v>0.49227739831394995</v>
      </c>
      <c r="S19" s="148">
        <f t="shared" si="13"/>
        <v>0.49227739831394995</v>
      </c>
      <c r="T19" s="148">
        <f t="shared" si="14"/>
        <v>4.9227739831394996E-3</v>
      </c>
      <c r="U19" s="148">
        <f t="shared" si="14"/>
        <v>4.9227739831394999</v>
      </c>
      <c r="V19" s="7">
        <f t="shared" si="15"/>
        <v>1000</v>
      </c>
      <c r="W19" s="7">
        <f t="shared" si="15"/>
        <v>1000000</v>
      </c>
      <c r="X19" s="1345">
        <f t="shared" si="16"/>
        <v>4.9227739831394999</v>
      </c>
      <c r="Y19" s="1345">
        <f t="shared" si="16"/>
        <v>4922.7739831395002</v>
      </c>
    </row>
    <row r="20" spans="1:26" x14ac:dyDescent="0.2">
      <c r="A20" s="213" t="str">
        <f t="shared" ref="A20:B20" si="19">A33</f>
        <v>NMIJ</v>
      </c>
      <c r="B20" s="213" t="str">
        <f t="shared" si="19"/>
        <v>ME5547</v>
      </c>
      <c r="C20" s="214">
        <f t="shared" ref="C20:G20" si="20">C33*0.001</f>
        <v>0.31292999999999999</v>
      </c>
      <c r="D20" s="214">
        <f t="shared" si="20"/>
        <v>2.4000000000000001E-4</v>
      </c>
      <c r="E20" s="214">
        <f t="shared" si="20"/>
        <v>0.31319000000000002</v>
      </c>
      <c r="F20" s="214">
        <f t="shared" si="20"/>
        <v>2.1000000000000001E-4</v>
      </c>
      <c r="G20" s="214">
        <f t="shared" si="20"/>
        <v>2.6000000000000003E-4</v>
      </c>
      <c r="H20" s="214">
        <f t="shared" si="0"/>
        <v>6.3000000000000003E-4</v>
      </c>
      <c r="I20" s="155">
        <f t="shared" si="1"/>
        <v>0</v>
      </c>
      <c r="J20" s="155">
        <f t="shared" si="2"/>
        <v>0</v>
      </c>
      <c r="K20" s="155">
        <f t="shared" si="3"/>
        <v>4.2000000000000002E-4</v>
      </c>
      <c r="L20" s="155">
        <f t="shared" si="4"/>
        <v>0.31292999999999999</v>
      </c>
      <c r="M20" s="156">
        <f t="shared" si="5"/>
        <v>0.1342153197200652</v>
      </c>
      <c r="N20" s="157">
        <f t="shared" si="10"/>
        <v>4.2000000000000002E-4</v>
      </c>
      <c r="O20" s="155">
        <f t="shared" si="11"/>
        <v>100</v>
      </c>
      <c r="P20" s="250">
        <v>1</v>
      </c>
      <c r="Q20" s="250">
        <v>1000</v>
      </c>
      <c r="R20" s="148">
        <f t="shared" si="12"/>
        <v>0.1342153197200652</v>
      </c>
      <c r="S20" s="148">
        <f t="shared" si="13"/>
        <v>0.1342153197200652</v>
      </c>
      <c r="T20" s="148">
        <f t="shared" si="14"/>
        <v>1.3421531972006521E-3</v>
      </c>
      <c r="U20" s="148">
        <f t="shared" si="14"/>
        <v>1.342153197200652</v>
      </c>
      <c r="V20" s="7">
        <f t="shared" si="15"/>
        <v>1000</v>
      </c>
      <c r="W20" s="7">
        <f t="shared" si="15"/>
        <v>1000000</v>
      </c>
      <c r="X20" s="1345">
        <f t="shared" si="16"/>
        <v>1.3421531972006522</v>
      </c>
      <c r="Y20" s="1345">
        <f t="shared" si="16"/>
        <v>1342.1531972006519</v>
      </c>
    </row>
    <row r="21" spans="1:26" x14ac:dyDescent="0.2">
      <c r="A21" s="213" t="str">
        <f t="shared" ref="A21:B21" si="21">A34</f>
        <v>VNIIM</v>
      </c>
      <c r="B21" s="213" t="str">
        <f t="shared" si="21"/>
        <v>ME5563</v>
      </c>
      <c r="C21" s="214">
        <f t="shared" ref="C21:G21" si="22">C34*0.001</f>
        <v>0.32505000000000001</v>
      </c>
      <c r="D21" s="214">
        <f t="shared" si="22"/>
        <v>2.4000000000000001E-4</v>
      </c>
      <c r="E21" s="214">
        <f t="shared" si="22"/>
        <v>0.32383000000000001</v>
      </c>
      <c r="F21" s="214">
        <f t="shared" si="22"/>
        <v>1.23E-3</v>
      </c>
      <c r="G21" s="214">
        <f t="shared" si="22"/>
        <v>-1.2199999999999999E-3</v>
      </c>
      <c r="H21" s="214">
        <f t="shared" si="0"/>
        <v>2.5000000000000001E-3</v>
      </c>
      <c r="I21" s="155">
        <f t="shared" si="1"/>
        <v>0</v>
      </c>
      <c r="J21" s="155">
        <f t="shared" si="2"/>
        <v>0</v>
      </c>
      <c r="K21" s="155">
        <f t="shared" si="3"/>
        <v>2.4599999999999999E-3</v>
      </c>
      <c r="L21" s="155">
        <f t="shared" si="4"/>
        <v>0.32505000000000001</v>
      </c>
      <c r="M21" s="156">
        <f t="shared" si="5"/>
        <v>0.75680664513151819</v>
      </c>
      <c r="N21" s="157">
        <f t="shared" si="10"/>
        <v>2.4599999999999999E-3</v>
      </c>
      <c r="O21" s="155">
        <f t="shared" si="11"/>
        <v>100</v>
      </c>
      <c r="P21" s="250">
        <v>1</v>
      </c>
      <c r="Q21" s="250">
        <v>1000</v>
      </c>
      <c r="R21" s="148">
        <f t="shared" si="12"/>
        <v>0.75680664513151819</v>
      </c>
      <c r="S21" s="148">
        <f t="shared" si="13"/>
        <v>0.75680664513151819</v>
      </c>
      <c r="T21" s="148">
        <f t="shared" si="14"/>
        <v>7.5680664513151823E-3</v>
      </c>
      <c r="U21" s="148">
        <f t="shared" si="14"/>
        <v>7.5680664513151816</v>
      </c>
      <c r="V21" s="7">
        <f t="shared" si="15"/>
        <v>1000</v>
      </c>
      <c r="W21" s="7">
        <f t="shared" si="15"/>
        <v>1000000</v>
      </c>
      <c r="X21" s="1345">
        <f t="shared" si="16"/>
        <v>7.5680664513151825</v>
      </c>
      <c r="Y21" s="1345">
        <f t="shared" si="16"/>
        <v>7568.0664513151814</v>
      </c>
    </row>
    <row r="22" spans="1:26" x14ac:dyDescent="0.2">
      <c r="A22" s="213" t="str">
        <f t="shared" ref="A22:B22" si="23">A35</f>
        <v>VSL</v>
      </c>
      <c r="B22" s="213" t="str">
        <f t="shared" si="23"/>
        <v>ME5589</v>
      </c>
      <c r="C22" s="214">
        <f t="shared" ref="C22:G22" si="24">C35*0.001</f>
        <v>0.33093</v>
      </c>
      <c r="D22" s="214">
        <f t="shared" si="24"/>
        <v>2.4000000000000001E-4</v>
      </c>
      <c r="E22" s="214">
        <f t="shared" si="24"/>
        <v>0.33</v>
      </c>
      <c r="F22" s="214">
        <f t="shared" si="24"/>
        <v>2.5000000000000001E-3</v>
      </c>
      <c r="G22" s="214">
        <f t="shared" si="24"/>
        <v>-9.3000000000000005E-4</v>
      </c>
      <c r="H22" s="214">
        <f t="shared" si="0"/>
        <v>5.0199999999999993E-3</v>
      </c>
      <c r="I22" s="155">
        <f t="shared" si="1"/>
        <v>0</v>
      </c>
      <c r="J22" s="155">
        <f t="shared" si="2"/>
        <v>0</v>
      </c>
      <c r="K22" s="155">
        <f t="shared" si="3"/>
        <v>5.0000000000000001E-3</v>
      </c>
      <c r="L22" s="155">
        <f t="shared" si="4"/>
        <v>0.33093</v>
      </c>
      <c r="M22" s="156">
        <f t="shared" si="5"/>
        <v>1.5108935424409997</v>
      </c>
      <c r="N22" s="157">
        <f t="shared" si="10"/>
        <v>5.0000000000000001E-3</v>
      </c>
      <c r="O22" s="155">
        <f t="shared" si="11"/>
        <v>100</v>
      </c>
      <c r="P22" s="250">
        <v>1</v>
      </c>
      <c r="Q22" s="250">
        <v>1000</v>
      </c>
      <c r="R22" s="148">
        <f t="shared" si="12"/>
        <v>1.5108935424409997</v>
      </c>
      <c r="S22" s="148">
        <f t="shared" si="13"/>
        <v>1.5108935424409997</v>
      </c>
      <c r="T22" s="148">
        <f t="shared" si="14"/>
        <v>1.5108935424409997E-2</v>
      </c>
      <c r="U22" s="148">
        <f t="shared" si="14"/>
        <v>15.108935424409998</v>
      </c>
      <c r="V22" s="7">
        <f t="shared" si="15"/>
        <v>1000</v>
      </c>
      <c r="W22" s="7">
        <f t="shared" si="15"/>
        <v>1000000</v>
      </c>
      <c r="X22" s="1345">
        <f t="shared" si="16"/>
        <v>15.108935424409998</v>
      </c>
      <c r="Y22" s="1345">
        <f t="shared" si="16"/>
        <v>15108.935424409998</v>
      </c>
    </row>
    <row r="23" spans="1:26" x14ac:dyDescent="0.2">
      <c r="A23" s="213" t="str">
        <f t="shared" ref="A23:B23" si="25">A36</f>
        <v>ESRL/NOAA</v>
      </c>
      <c r="B23" s="213" t="str">
        <f t="shared" si="25"/>
        <v>ME5572</v>
      </c>
      <c r="C23" s="214">
        <f t="shared" ref="C23:G23" si="26">C36*0.001</f>
        <v>0.31951999999999997</v>
      </c>
      <c r="D23" s="214">
        <f t="shared" si="26"/>
        <v>2.4000000000000001E-4</v>
      </c>
      <c r="E23" s="214">
        <f t="shared" si="26"/>
        <v>0.31939000000000001</v>
      </c>
      <c r="F23" s="214">
        <f t="shared" si="26"/>
        <v>5.3000000000000009E-4</v>
      </c>
      <c r="G23" s="214">
        <f t="shared" si="26"/>
        <v>-1.3000000000000002E-4</v>
      </c>
      <c r="H23" s="214">
        <f t="shared" si="0"/>
        <v>1.16E-3</v>
      </c>
      <c r="I23" s="155">
        <f t="shared" si="1"/>
        <v>0</v>
      </c>
      <c r="J23" s="155">
        <f t="shared" si="2"/>
        <v>0</v>
      </c>
      <c r="K23" s="155">
        <f t="shared" si="3"/>
        <v>1.0600000000000002E-3</v>
      </c>
      <c r="L23" s="155">
        <f t="shared" si="4"/>
        <v>0.31951999999999997</v>
      </c>
      <c r="M23" s="156">
        <f t="shared" si="5"/>
        <v>0.33174762143214831</v>
      </c>
      <c r="N23" s="157">
        <f t="shared" si="10"/>
        <v>1.0600000000000002E-3</v>
      </c>
      <c r="O23" s="155">
        <f t="shared" si="11"/>
        <v>100</v>
      </c>
      <c r="P23" s="250">
        <v>1</v>
      </c>
      <c r="Q23" s="250">
        <v>1000</v>
      </c>
      <c r="R23" s="148">
        <f t="shared" si="12"/>
        <v>0.33174762143214831</v>
      </c>
      <c r="S23" s="148">
        <f t="shared" si="13"/>
        <v>0.33174762143214831</v>
      </c>
      <c r="T23" s="148">
        <f t="shared" si="14"/>
        <v>3.3174762143214831E-3</v>
      </c>
      <c r="U23" s="148">
        <f t="shared" si="14"/>
        <v>3.3174762143214833</v>
      </c>
      <c r="V23" s="7">
        <f t="shared" si="15"/>
        <v>1000</v>
      </c>
      <c r="W23" s="7">
        <f t="shared" si="15"/>
        <v>1000000</v>
      </c>
      <c r="X23" s="1345">
        <f t="shared" si="16"/>
        <v>3.3174762143214829</v>
      </c>
      <c r="Y23" s="1345">
        <f t="shared" si="16"/>
        <v>3317.4762143214834</v>
      </c>
    </row>
    <row r="24" spans="1:26" ht="14.25" x14ac:dyDescent="0.2">
      <c r="H24" s="9"/>
      <c r="U24" s="152"/>
      <c r="V24" s="21"/>
      <c r="W24" s="21"/>
      <c r="X24" s="21"/>
      <c r="Y24" s="21"/>
      <c r="Z24" s="21"/>
    </row>
    <row r="25" spans="1:26" ht="14.25" x14ac:dyDescent="0.2">
      <c r="H25" s="9"/>
      <c r="U25" s="152"/>
      <c r="V25" s="21"/>
      <c r="W25" s="21"/>
      <c r="X25" s="21"/>
      <c r="Y25" s="21"/>
      <c r="Z25" s="21"/>
    </row>
    <row r="26" spans="1:26" ht="14.25" x14ac:dyDescent="0.2">
      <c r="H26" s="9"/>
      <c r="V26" s="21"/>
      <c r="W26" s="21"/>
      <c r="X26" s="21"/>
      <c r="Y26" s="21"/>
      <c r="Z26" s="21"/>
    </row>
    <row r="27" spans="1:26" s="227" customFormat="1" x14ac:dyDescent="0.2">
      <c r="H27" s="226" t="s">
        <v>670</v>
      </c>
    </row>
    <row r="28" spans="1:26" s="227" customFormat="1" x14ac:dyDescent="0.2">
      <c r="A28" s="664"/>
      <c r="B28" s="664"/>
      <c r="C28" s="664"/>
      <c r="D28" s="664"/>
      <c r="E28" s="664"/>
      <c r="F28" s="664"/>
      <c r="G28" s="664"/>
      <c r="H28" s="432" t="s">
        <v>671</v>
      </c>
      <c r="I28" s="432" t="s">
        <v>672</v>
      </c>
    </row>
    <row r="29" spans="1:26" s="227" customFormat="1" x14ac:dyDescent="0.2">
      <c r="A29" s="665" t="s">
        <v>0</v>
      </c>
      <c r="B29" s="665" t="s">
        <v>1</v>
      </c>
      <c r="C29" s="665" t="s">
        <v>673</v>
      </c>
      <c r="D29" s="665" t="s">
        <v>674</v>
      </c>
      <c r="E29" s="665" t="s">
        <v>315</v>
      </c>
      <c r="F29" s="421" t="s">
        <v>675</v>
      </c>
      <c r="G29" s="421" t="s">
        <v>676</v>
      </c>
      <c r="H29" s="421" t="s">
        <v>677</v>
      </c>
      <c r="I29" s="421" t="s">
        <v>678</v>
      </c>
    </row>
    <row r="30" spans="1:26" s="227" customFormat="1" ht="30" x14ac:dyDescent="0.2">
      <c r="A30" s="666" t="s">
        <v>609</v>
      </c>
      <c r="B30" s="571" t="s">
        <v>679</v>
      </c>
      <c r="C30" s="667">
        <v>310.44</v>
      </c>
      <c r="D30" s="667">
        <v>0.24</v>
      </c>
      <c r="E30" s="667">
        <v>310.55</v>
      </c>
      <c r="F30" s="667">
        <v>0.17</v>
      </c>
      <c r="G30" s="667">
        <v>0.11</v>
      </c>
      <c r="H30" s="667">
        <v>0.28999999999999998</v>
      </c>
      <c r="I30" s="667">
        <v>0.59</v>
      </c>
    </row>
    <row r="31" spans="1:26" s="227" customFormat="1" ht="30" x14ac:dyDescent="0.2">
      <c r="A31" s="668" t="s">
        <v>572</v>
      </c>
      <c r="B31" s="669" t="s">
        <v>680</v>
      </c>
      <c r="C31" s="670">
        <v>315.39999999999998</v>
      </c>
      <c r="D31" s="670">
        <v>0.24</v>
      </c>
      <c r="E31" s="671">
        <v>314</v>
      </c>
      <c r="F31" s="672">
        <v>1.3</v>
      </c>
      <c r="G31" s="670">
        <v>-1.4</v>
      </c>
      <c r="H31" s="670">
        <v>1.27</v>
      </c>
      <c r="I31" s="670">
        <v>2.5499999999999998</v>
      </c>
    </row>
    <row r="32" spans="1:26" s="227" customFormat="1" ht="30" x14ac:dyDescent="0.2">
      <c r="A32" s="668" t="s">
        <v>638</v>
      </c>
      <c r="B32" s="669" t="s">
        <v>681</v>
      </c>
      <c r="C32" s="670">
        <v>325.02</v>
      </c>
      <c r="D32" s="670">
        <v>0.24</v>
      </c>
      <c r="E32" s="672">
        <v>324.5</v>
      </c>
      <c r="F32" s="672">
        <v>0.8</v>
      </c>
      <c r="G32" s="670">
        <v>-0.52</v>
      </c>
      <c r="H32" s="670">
        <v>0.84</v>
      </c>
      <c r="I32" s="670">
        <v>1.67</v>
      </c>
    </row>
    <row r="33" spans="1:26" s="227" customFormat="1" ht="30" x14ac:dyDescent="0.2">
      <c r="A33" s="668" t="s">
        <v>325</v>
      </c>
      <c r="B33" s="669" t="s">
        <v>682</v>
      </c>
      <c r="C33" s="670">
        <v>312.93</v>
      </c>
      <c r="D33" s="670">
        <v>0.24</v>
      </c>
      <c r="E33" s="670">
        <v>313.19</v>
      </c>
      <c r="F33" s="670">
        <v>0.21</v>
      </c>
      <c r="G33" s="670">
        <v>0.26</v>
      </c>
      <c r="H33" s="670">
        <v>0.32</v>
      </c>
      <c r="I33" s="670">
        <v>0.63</v>
      </c>
    </row>
    <row r="34" spans="1:26" s="227" customFormat="1" ht="30" x14ac:dyDescent="0.2">
      <c r="A34" s="668" t="s">
        <v>623</v>
      </c>
      <c r="B34" s="669" t="s">
        <v>683</v>
      </c>
      <c r="C34" s="670">
        <v>325.05</v>
      </c>
      <c r="D34" s="670">
        <v>0.24</v>
      </c>
      <c r="E34" s="670">
        <v>323.83</v>
      </c>
      <c r="F34" s="670">
        <v>1.23</v>
      </c>
      <c r="G34" s="670">
        <v>-1.22</v>
      </c>
      <c r="H34" s="670">
        <v>1.25</v>
      </c>
      <c r="I34" s="670">
        <v>2.5</v>
      </c>
    </row>
    <row r="35" spans="1:26" s="227" customFormat="1" ht="30" x14ac:dyDescent="0.2">
      <c r="A35" s="668" t="s">
        <v>684</v>
      </c>
      <c r="B35" s="669" t="s">
        <v>685</v>
      </c>
      <c r="C35" s="670">
        <v>330.93</v>
      </c>
      <c r="D35" s="670">
        <v>0.24</v>
      </c>
      <c r="E35" s="671">
        <v>330</v>
      </c>
      <c r="F35" s="672">
        <v>2.5</v>
      </c>
      <c r="G35" s="670">
        <v>-0.93</v>
      </c>
      <c r="H35" s="670">
        <v>2.5099999999999998</v>
      </c>
      <c r="I35" s="670">
        <v>5.0199999999999996</v>
      </c>
    </row>
    <row r="36" spans="1:26" s="227" customFormat="1" ht="15.75" customHeight="1" x14ac:dyDescent="0.2">
      <c r="A36" s="673" t="s">
        <v>686</v>
      </c>
      <c r="B36" s="572" t="s">
        <v>687</v>
      </c>
      <c r="C36" s="674">
        <v>319.52</v>
      </c>
      <c r="D36" s="674">
        <v>0.24</v>
      </c>
      <c r="E36" s="674">
        <v>319.39</v>
      </c>
      <c r="F36" s="674">
        <v>0.53</v>
      </c>
      <c r="G36" s="674">
        <v>-0.13</v>
      </c>
      <c r="H36" s="674">
        <v>0.57999999999999996</v>
      </c>
      <c r="I36" s="674">
        <v>1.1599999999999999</v>
      </c>
    </row>
    <row r="37" spans="1:26" ht="14.25" x14ac:dyDescent="0.2">
      <c r="H37" s="9"/>
      <c r="U37" s="152"/>
      <c r="V37" s="21"/>
      <c r="W37" s="21"/>
      <c r="X37" s="21"/>
      <c r="Y37" s="21"/>
      <c r="Z37" s="21"/>
    </row>
    <row r="38" spans="1:26" ht="14.25" x14ac:dyDescent="0.2">
      <c r="H38" s="9"/>
      <c r="X38" s="21"/>
      <c r="Y38" s="21"/>
      <c r="Z38" s="21"/>
    </row>
    <row r="39" spans="1:26" ht="14.25" x14ac:dyDescent="0.2">
      <c r="H39" s="9"/>
      <c r="X39" s="21"/>
      <c r="Y39" s="21"/>
      <c r="Z39" s="21"/>
    </row>
    <row r="40" spans="1:26" ht="14.25" x14ac:dyDescent="0.2">
      <c r="H40" s="9"/>
      <c r="X40" s="21"/>
      <c r="Y40" s="21"/>
      <c r="Z40" s="21"/>
    </row>
    <row r="41" spans="1:26" ht="14.25" x14ac:dyDescent="0.2">
      <c r="H41" s="9"/>
      <c r="X41" s="21"/>
      <c r="Y41" s="21"/>
      <c r="Z41" s="21"/>
    </row>
    <row r="42" spans="1:26" ht="14.25" x14ac:dyDescent="0.2">
      <c r="H42" s="9"/>
      <c r="X42" s="21"/>
      <c r="Y42" s="21"/>
      <c r="Z42" s="21"/>
    </row>
    <row r="43" spans="1:26" ht="14.25" x14ac:dyDescent="0.2">
      <c r="H43" s="9"/>
      <c r="X43" s="21"/>
      <c r="Y43" s="21"/>
      <c r="Z43" s="21"/>
    </row>
    <row r="44" spans="1:26" ht="14.25" x14ac:dyDescent="0.2">
      <c r="H44" s="9"/>
      <c r="X44" s="21"/>
      <c r="Y44" s="21"/>
      <c r="Z44" s="21"/>
    </row>
    <row r="45" spans="1:26" ht="14.25" x14ac:dyDescent="0.2">
      <c r="H45" s="9"/>
      <c r="X45" s="21"/>
      <c r="Y45" s="21"/>
      <c r="Z45" s="21"/>
    </row>
    <row r="46" spans="1:26" ht="14.25" x14ac:dyDescent="0.2">
      <c r="H46" s="9"/>
      <c r="X46" s="21"/>
      <c r="Y46" s="21"/>
      <c r="Z46" s="21"/>
    </row>
    <row r="47" spans="1:26" ht="14.25" x14ac:dyDescent="0.2">
      <c r="H47" s="9"/>
      <c r="X47" s="21"/>
      <c r="Y47" s="21"/>
      <c r="Z47" s="21"/>
    </row>
    <row r="48" spans="1:26" ht="14.25" x14ac:dyDescent="0.2">
      <c r="H48" s="9"/>
      <c r="X48" s="21"/>
      <c r="Y48" s="21"/>
      <c r="Z48" s="21"/>
    </row>
    <row r="49" spans="8:26" ht="14.25" x14ac:dyDescent="0.2">
      <c r="H49" s="9"/>
      <c r="X49" s="21"/>
      <c r="Y49" s="21"/>
      <c r="Z49" s="21"/>
    </row>
    <row r="50" spans="8:26" ht="14.25" x14ac:dyDescent="0.2">
      <c r="H50" s="9"/>
      <c r="X50" s="21"/>
      <c r="Y50" s="21"/>
      <c r="Z50" s="21"/>
    </row>
    <row r="51" spans="8:26" ht="14.25" x14ac:dyDescent="0.2">
      <c r="H51" s="9"/>
      <c r="X51" s="21"/>
      <c r="Y51" s="21"/>
      <c r="Z51" s="21"/>
    </row>
    <row r="52" spans="8:26" ht="14.25" x14ac:dyDescent="0.2">
      <c r="H52" s="9"/>
      <c r="X52" s="21"/>
      <c r="Y52" s="21"/>
      <c r="Z52" s="21"/>
    </row>
    <row r="53" spans="8:26" ht="14.25" x14ac:dyDescent="0.2">
      <c r="H53" s="9"/>
      <c r="U53" s="152"/>
      <c r="V53" s="21"/>
      <c r="W53" s="21"/>
      <c r="X53" s="21"/>
      <c r="Y53" s="21"/>
      <c r="Z53" s="21"/>
    </row>
    <row r="54" spans="8:26" ht="14.25" x14ac:dyDescent="0.2">
      <c r="H54" s="9"/>
      <c r="U54" s="152"/>
      <c r="V54" s="21"/>
      <c r="W54" s="21"/>
      <c r="X54" s="21"/>
      <c r="Y54" s="21"/>
      <c r="Z54" s="21"/>
    </row>
    <row r="55" spans="8:26" ht="14.25" x14ac:dyDescent="0.2">
      <c r="H55" s="9"/>
      <c r="U55" s="152"/>
      <c r="V55" s="21"/>
      <c r="W55" s="21"/>
      <c r="X55" s="21"/>
      <c r="Y55" s="21"/>
      <c r="Z55" s="21"/>
    </row>
    <row r="56" spans="8:26" ht="14.25" x14ac:dyDescent="0.2">
      <c r="H56" s="9"/>
      <c r="U56" s="152"/>
      <c r="V56" s="21"/>
      <c r="W56" s="21"/>
      <c r="X56" s="21"/>
      <c r="Y56" s="21"/>
      <c r="Z56" s="21"/>
    </row>
    <row r="57" spans="8:26" ht="14.25" x14ac:dyDescent="0.2">
      <c r="H57" s="9"/>
      <c r="U57" s="152"/>
      <c r="V57" s="21"/>
      <c r="W57" s="21"/>
      <c r="X57" s="21"/>
      <c r="Y57" s="21"/>
      <c r="Z57" s="21"/>
    </row>
    <row r="58" spans="8:26" ht="14.25" x14ac:dyDescent="0.2">
      <c r="H58" s="9"/>
      <c r="U58" s="152"/>
      <c r="V58" s="21"/>
      <c r="W58" s="21"/>
      <c r="X58" s="21"/>
      <c r="Y58" s="21"/>
      <c r="Z58" s="21"/>
    </row>
    <row r="59" spans="8:26" ht="14.25" x14ac:dyDescent="0.2">
      <c r="H59" s="9"/>
      <c r="U59" s="152"/>
      <c r="V59" s="21"/>
      <c r="W59" s="21"/>
      <c r="X59" s="21"/>
      <c r="Y59" s="21"/>
      <c r="Z59" s="21"/>
    </row>
    <row r="60" spans="8:26" ht="14.25" x14ac:dyDescent="0.2">
      <c r="H60" s="9"/>
      <c r="U60" s="152"/>
      <c r="V60" s="21"/>
      <c r="W60" s="21"/>
      <c r="X60" s="21"/>
      <c r="Y60" s="21"/>
      <c r="Z60" s="21"/>
    </row>
    <row r="61" spans="8:26" ht="14.25" x14ac:dyDescent="0.2">
      <c r="H61" s="9"/>
      <c r="U61" s="152"/>
      <c r="V61" s="21"/>
      <c r="W61" s="21"/>
      <c r="X61" s="21"/>
      <c r="Y61" s="21"/>
      <c r="Z61" s="21"/>
    </row>
    <row r="62" spans="8:26" ht="14.25" x14ac:dyDescent="0.2">
      <c r="H62" s="9"/>
      <c r="U62" s="152"/>
      <c r="V62" s="21"/>
      <c r="W62" s="21"/>
      <c r="X62" s="21"/>
      <c r="Y62" s="21"/>
      <c r="Z62" s="21"/>
    </row>
    <row r="63" spans="8:26" ht="14.25" x14ac:dyDescent="0.2">
      <c r="H63" s="9"/>
      <c r="U63" s="152"/>
      <c r="V63" s="21"/>
      <c r="W63" s="21"/>
      <c r="X63" s="21"/>
      <c r="Y63" s="21"/>
      <c r="Z63" s="21"/>
    </row>
    <row r="64" spans="8:26" ht="14.25" x14ac:dyDescent="0.2">
      <c r="H64" s="9"/>
      <c r="U64" s="152"/>
      <c r="V64" s="21"/>
      <c r="W64" s="21"/>
      <c r="X64" s="21"/>
      <c r="Y64" s="21"/>
      <c r="Z64" s="21"/>
    </row>
    <row r="65" spans="8:26" ht="14.25" x14ac:dyDescent="0.2">
      <c r="H65" s="9"/>
      <c r="U65" s="152"/>
      <c r="V65" s="21"/>
      <c r="W65" s="21"/>
      <c r="X65" s="21"/>
      <c r="Y65" s="21"/>
      <c r="Z65" s="21"/>
    </row>
    <row r="66" spans="8:26" ht="14.25" x14ac:dyDescent="0.2">
      <c r="H66" s="9"/>
      <c r="U66" s="152"/>
      <c r="V66" s="21"/>
      <c r="W66" s="21"/>
      <c r="X66" s="21"/>
      <c r="Y66" s="21"/>
      <c r="Z66" s="21"/>
    </row>
    <row r="67" spans="8:26" ht="14.25" x14ac:dyDescent="0.2">
      <c r="H67" s="9"/>
      <c r="U67" s="152"/>
      <c r="V67" s="21"/>
      <c r="W67" s="21"/>
      <c r="X67" s="21"/>
      <c r="Y67" s="21"/>
      <c r="Z67" s="21"/>
    </row>
    <row r="68" spans="8:26" ht="14.25" x14ac:dyDescent="0.2">
      <c r="H68" s="9"/>
      <c r="U68" s="152"/>
      <c r="V68" s="21"/>
      <c r="W68" s="21"/>
      <c r="X68" s="21"/>
      <c r="Y68" s="21"/>
      <c r="Z68" s="21"/>
    </row>
    <row r="69" spans="8:26" ht="14.25" x14ac:dyDescent="0.2">
      <c r="H69" s="9"/>
      <c r="U69" s="152"/>
      <c r="V69" s="21"/>
      <c r="W69" s="21"/>
      <c r="X69" s="21"/>
      <c r="Y69" s="21"/>
      <c r="Z69" s="21"/>
    </row>
    <row r="70" spans="8:26" ht="14.25" x14ac:dyDescent="0.2">
      <c r="H70" s="9"/>
      <c r="U70" s="152"/>
      <c r="V70" s="21"/>
      <c r="W70" s="21"/>
      <c r="X70" s="21"/>
      <c r="Y70" s="21"/>
      <c r="Z70" s="21"/>
    </row>
    <row r="71" spans="8:26" ht="14.25" x14ac:dyDescent="0.2">
      <c r="U71" s="152"/>
      <c r="V71" s="21"/>
      <c r="W71" s="21"/>
      <c r="X71" s="21"/>
      <c r="Y71" s="21"/>
      <c r="Z71" s="21"/>
    </row>
    <row r="72" spans="8:26" ht="14.25" x14ac:dyDescent="0.2">
      <c r="H72" s="9"/>
      <c r="U72" s="152"/>
      <c r="V72" s="21"/>
      <c r="W72" s="21"/>
      <c r="X72" s="21"/>
      <c r="Y72" s="21"/>
      <c r="Z72" s="21"/>
    </row>
    <row r="73" spans="8:26" ht="14.25" x14ac:dyDescent="0.2">
      <c r="H73" s="9"/>
      <c r="U73" s="152"/>
      <c r="V73" s="21"/>
      <c r="W73" s="21"/>
      <c r="X73" s="21"/>
      <c r="Y73" s="21"/>
      <c r="Z73" s="21"/>
    </row>
    <row r="74" spans="8:26" ht="14.25" x14ac:dyDescent="0.2">
      <c r="H74" s="9"/>
      <c r="U74" s="152"/>
      <c r="V74" s="21"/>
      <c r="W74" s="21"/>
      <c r="X74" s="21"/>
      <c r="Y74" s="21"/>
      <c r="Z74" s="21"/>
    </row>
    <row r="75" spans="8:26" ht="14.25" x14ac:dyDescent="0.2">
      <c r="H75" s="9"/>
      <c r="U75" s="152"/>
      <c r="V75" s="21"/>
      <c r="W75" s="21"/>
      <c r="X75" s="21"/>
      <c r="Y75" s="21"/>
      <c r="Z75" s="21"/>
    </row>
    <row r="76" spans="8:26" ht="14.25" x14ac:dyDescent="0.2">
      <c r="H76" s="9"/>
      <c r="U76" s="152"/>
      <c r="V76" s="21"/>
      <c r="W76" s="21"/>
      <c r="X76" s="21"/>
      <c r="Y76" s="21"/>
      <c r="Z76" s="21"/>
    </row>
    <row r="77" spans="8:26" ht="14.25" x14ac:dyDescent="0.2">
      <c r="H77" s="9"/>
      <c r="U77" s="152"/>
      <c r="V77" s="21"/>
      <c r="W77" s="21"/>
      <c r="X77" s="21"/>
      <c r="Y77" s="21"/>
      <c r="Z77" s="21"/>
    </row>
    <row r="78" spans="8:26" ht="14.25" x14ac:dyDescent="0.2">
      <c r="U78" s="152"/>
      <c r="V78" s="21"/>
      <c r="W78" s="21"/>
      <c r="X78" s="21"/>
      <c r="Y78" s="21"/>
      <c r="Z78" s="21"/>
    </row>
    <row r="79" spans="8:26" ht="14.25" x14ac:dyDescent="0.2">
      <c r="U79" s="152"/>
      <c r="V79" s="21"/>
      <c r="W79" s="21"/>
      <c r="X79" s="21"/>
      <c r="Y79" s="21"/>
      <c r="Z79" s="21"/>
    </row>
    <row r="80" spans="8:26" ht="14.25" x14ac:dyDescent="0.2">
      <c r="U80" s="152"/>
      <c r="V80" s="21"/>
      <c r="W80" s="21"/>
      <c r="X80" s="21"/>
      <c r="Y80" s="21"/>
      <c r="Z80" s="21"/>
    </row>
    <row r="81" spans="1:26" ht="14.25" x14ac:dyDescent="0.2">
      <c r="U81" s="152"/>
      <c r="V81" s="21"/>
      <c r="W81" s="21"/>
      <c r="X81" s="21"/>
      <c r="Y81" s="21"/>
      <c r="Z81" s="21"/>
    </row>
    <row r="82" spans="1:26" ht="14.25" x14ac:dyDescent="0.2">
      <c r="U82" s="152"/>
      <c r="V82" s="21"/>
      <c r="W82" s="21"/>
      <c r="X82" s="21"/>
      <c r="Y82" s="21"/>
      <c r="Z82" s="21"/>
    </row>
    <row r="83" spans="1:26" ht="14.25" x14ac:dyDescent="0.2">
      <c r="U83" s="152"/>
      <c r="V83" s="21"/>
      <c r="W83" s="21"/>
      <c r="X83" s="21"/>
      <c r="Y83" s="21"/>
      <c r="Z83" s="21"/>
    </row>
    <row r="84" spans="1:26" ht="14.25" x14ac:dyDescent="0.2">
      <c r="A84" s="23"/>
      <c r="B84" s="23"/>
      <c r="C84" s="23"/>
      <c r="D84" s="23"/>
      <c r="T84" s="151"/>
      <c r="U84" s="152"/>
      <c r="V84" s="21"/>
      <c r="W84" s="21"/>
      <c r="X84" s="21"/>
      <c r="Y84" s="21"/>
      <c r="Z84" s="21"/>
    </row>
    <row r="85" spans="1:26" ht="14.25" x14ac:dyDescent="0.2">
      <c r="T85" s="151"/>
      <c r="U85" s="152"/>
      <c r="V85" s="21"/>
      <c r="W85" s="21"/>
      <c r="X85" s="21"/>
      <c r="Y85" s="21"/>
      <c r="Z85" s="21"/>
    </row>
    <row r="86" spans="1:26" ht="14.25" x14ac:dyDescent="0.2">
      <c r="T86" s="151"/>
      <c r="U86" s="152"/>
      <c r="V86" s="21"/>
      <c r="W86" s="21"/>
      <c r="X86" s="21"/>
      <c r="Y86" s="21"/>
      <c r="Z86" s="21"/>
    </row>
    <row r="87" spans="1:26" ht="14.25" x14ac:dyDescent="0.2">
      <c r="T87" s="151"/>
      <c r="U87" s="152"/>
      <c r="V87" s="21"/>
      <c r="W87" s="21"/>
      <c r="X87" s="21"/>
      <c r="Y87" s="21"/>
      <c r="Z87" s="21"/>
    </row>
    <row r="88" spans="1:26" ht="14.25" x14ac:dyDescent="0.2">
      <c r="T88" s="151"/>
      <c r="U88" s="152"/>
      <c r="V88" s="21"/>
      <c r="W88" s="21"/>
      <c r="X88" s="21"/>
      <c r="Y88" s="21"/>
      <c r="Z88" s="21"/>
    </row>
    <row r="89" spans="1:26" ht="14.25" x14ac:dyDescent="0.2">
      <c r="T89" s="151"/>
      <c r="U89" s="152"/>
      <c r="V89" s="21"/>
      <c r="W89" s="21"/>
      <c r="X89" s="21"/>
      <c r="Y89" s="21"/>
      <c r="Z89" s="21"/>
    </row>
    <row r="90" spans="1:26" ht="14.25" x14ac:dyDescent="0.2">
      <c r="T90" s="151"/>
      <c r="U90" s="152"/>
      <c r="V90" s="21"/>
      <c r="W90" s="21"/>
      <c r="X90" s="21"/>
      <c r="Y90" s="21"/>
      <c r="Z90" s="21"/>
    </row>
    <row r="91" spans="1:26" ht="14.25" x14ac:dyDescent="0.2">
      <c r="T91" s="151"/>
      <c r="U91" s="152"/>
      <c r="V91" s="21"/>
      <c r="W91" s="21"/>
      <c r="X91" s="21"/>
      <c r="Y91" s="21"/>
      <c r="Z91" s="21"/>
    </row>
    <row r="92" spans="1:26" ht="14.25" x14ac:dyDescent="0.2">
      <c r="T92" s="151"/>
      <c r="U92" s="152"/>
      <c r="V92" s="21"/>
      <c r="W92" s="21"/>
      <c r="X92" s="21"/>
      <c r="Y92" s="21"/>
      <c r="Z92" s="21"/>
    </row>
    <row r="93" spans="1:26" ht="14.25" x14ac:dyDescent="0.2">
      <c r="T93" s="151"/>
      <c r="U93" s="152"/>
      <c r="V93" s="21"/>
      <c r="W93" s="21"/>
      <c r="X93" s="21"/>
      <c r="Y93" s="21"/>
      <c r="Z93" s="21"/>
    </row>
    <row r="94" spans="1:26" ht="14.25" x14ac:dyDescent="0.2">
      <c r="T94" s="151"/>
      <c r="U94" s="152"/>
      <c r="V94" s="21"/>
      <c r="W94" s="21"/>
      <c r="X94" s="21"/>
      <c r="Y94" s="21"/>
      <c r="Z94" s="21"/>
    </row>
    <row r="95" spans="1:26" ht="14.25" x14ac:dyDescent="0.2">
      <c r="T95" s="151"/>
      <c r="U95" s="152"/>
      <c r="V95" s="21"/>
      <c r="W95" s="21"/>
      <c r="X95" s="21"/>
      <c r="Y95" s="21"/>
      <c r="Z95" s="21"/>
    </row>
    <row r="96" spans="1:26" ht="14.25" x14ac:dyDescent="0.2">
      <c r="T96" s="151"/>
      <c r="U96" s="152"/>
      <c r="V96" s="21"/>
      <c r="W96" s="21"/>
      <c r="X96" s="21"/>
      <c r="Y96" s="21"/>
      <c r="Z96" s="21"/>
    </row>
    <row r="97" spans="1:26" ht="14.25" x14ac:dyDescent="0.2">
      <c r="A97" s="23"/>
      <c r="B97" s="23"/>
      <c r="C97" s="23"/>
      <c r="D97" s="23"/>
      <c r="T97" s="151"/>
      <c r="U97" s="152"/>
      <c r="V97" s="21"/>
      <c r="W97" s="21"/>
      <c r="X97" s="21"/>
      <c r="Y97" s="21"/>
      <c r="Z97" s="21"/>
    </row>
    <row r="98" spans="1:26" ht="14.25" x14ac:dyDescent="0.2">
      <c r="A98" s="23"/>
      <c r="B98" s="23"/>
      <c r="C98" s="23"/>
      <c r="D98" s="23"/>
      <c r="T98" s="151"/>
      <c r="U98" s="152"/>
      <c r="V98" s="21"/>
      <c r="W98" s="21"/>
      <c r="X98" s="21"/>
      <c r="Y98" s="21"/>
      <c r="Z98" s="21"/>
    </row>
    <row r="99" spans="1:26" ht="14.25" x14ac:dyDescent="0.2">
      <c r="A99" s="23"/>
      <c r="B99" s="23"/>
      <c r="C99" s="23"/>
      <c r="D99" s="23"/>
      <c r="T99" s="151"/>
      <c r="U99" s="152"/>
      <c r="V99" s="21"/>
      <c r="W99" s="21"/>
      <c r="X99" s="21"/>
      <c r="Y99" s="21"/>
      <c r="Z99" s="21"/>
    </row>
    <row r="100" spans="1:26" ht="14.25" x14ac:dyDescent="0.2">
      <c r="A100" s="23"/>
      <c r="B100" s="23"/>
      <c r="C100" s="23"/>
      <c r="D100" s="23"/>
      <c r="T100" s="151"/>
      <c r="U100" s="152"/>
      <c r="V100" s="21"/>
      <c r="W100" s="21"/>
      <c r="X100" s="21"/>
      <c r="Y100" s="21"/>
      <c r="Z100" s="21"/>
    </row>
    <row r="101" spans="1:26" ht="14.25" x14ac:dyDescent="0.2">
      <c r="A101" s="23"/>
      <c r="B101" s="23"/>
      <c r="C101" s="23"/>
      <c r="D101" s="23"/>
      <c r="T101" s="151"/>
      <c r="U101" s="152"/>
      <c r="V101" s="21"/>
      <c r="W101" s="21"/>
      <c r="X101" s="21"/>
      <c r="Y101" s="21"/>
      <c r="Z101" s="21"/>
    </row>
    <row r="102" spans="1:26" ht="14.25" x14ac:dyDescent="0.2">
      <c r="A102" s="23"/>
      <c r="B102" s="23"/>
      <c r="C102" s="23"/>
      <c r="D102" s="23"/>
      <c r="T102" s="151"/>
      <c r="U102" s="152"/>
      <c r="V102" s="21"/>
      <c r="W102" s="21"/>
      <c r="X102" s="21"/>
      <c r="Y102" s="21"/>
      <c r="Z102" s="21"/>
    </row>
    <row r="103" spans="1:26" ht="14.25" x14ac:dyDescent="0.2">
      <c r="A103" s="23"/>
      <c r="B103" s="23"/>
      <c r="C103" s="23"/>
      <c r="D103" s="23"/>
      <c r="T103" s="151"/>
      <c r="U103" s="152"/>
      <c r="V103" s="21"/>
      <c r="W103" s="21"/>
      <c r="X103" s="21"/>
      <c r="Y103" s="21"/>
      <c r="Z103" s="21"/>
    </row>
    <row r="104" spans="1:26" ht="14.25" x14ac:dyDescent="0.2">
      <c r="A104" s="23"/>
      <c r="B104" s="23"/>
      <c r="C104" s="23"/>
      <c r="D104" s="23"/>
      <c r="T104" s="151"/>
      <c r="U104" s="152"/>
      <c r="V104" s="21"/>
      <c r="W104" s="21"/>
      <c r="X104" s="21"/>
      <c r="Y104" s="21"/>
      <c r="Z104" s="21"/>
    </row>
    <row r="105" spans="1:26" ht="14.25" x14ac:dyDescent="0.2">
      <c r="A105" s="23"/>
      <c r="B105" s="23"/>
      <c r="C105" s="23"/>
      <c r="D105" s="23"/>
      <c r="T105" s="151"/>
      <c r="U105" s="152"/>
      <c r="V105" s="21"/>
      <c r="W105" s="21"/>
      <c r="X105" s="21"/>
      <c r="Y105" s="21"/>
      <c r="Z105" s="21"/>
    </row>
    <row r="106" spans="1:26" ht="14.25" x14ac:dyDescent="0.2">
      <c r="A106" s="23"/>
      <c r="B106" s="23"/>
      <c r="C106" s="23"/>
      <c r="D106" s="23"/>
      <c r="T106" s="151"/>
      <c r="U106" s="152"/>
      <c r="V106" s="21"/>
      <c r="W106" s="21"/>
      <c r="X106" s="21"/>
      <c r="Y106" s="21"/>
      <c r="Z106" s="21"/>
    </row>
    <row r="107" spans="1:26" ht="14.25" x14ac:dyDescent="0.2">
      <c r="A107" s="23"/>
      <c r="B107" s="23"/>
      <c r="C107" s="23"/>
      <c r="D107" s="23"/>
      <c r="T107" s="151"/>
      <c r="U107" s="152"/>
      <c r="V107" s="21"/>
      <c r="W107" s="21"/>
      <c r="X107" s="21"/>
      <c r="Y107" s="21"/>
      <c r="Z107" s="21"/>
    </row>
    <row r="108" spans="1:26" ht="14.25" x14ac:dyDescent="0.2">
      <c r="A108" s="23"/>
      <c r="B108" s="23"/>
      <c r="C108" s="23"/>
      <c r="D108" s="23"/>
      <c r="T108" s="151"/>
      <c r="U108" s="152"/>
      <c r="V108" s="21"/>
      <c r="W108" s="21"/>
      <c r="X108" s="21"/>
      <c r="Y108" s="21"/>
      <c r="Z108" s="21"/>
    </row>
    <row r="109" spans="1:26" ht="14.25" x14ac:dyDescent="0.2">
      <c r="A109" s="23"/>
      <c r="B109" s="23"/>
      <c r="C109" s="23"/>
      <c r="D109" s="23"/>
      <c r="T109" s="151"/>
      <c r="U109" s="152"/>
      <c r="V109" s="21"/>
      <c r="W109" s="21"/>
      <c r="X109" s="21"/>
      <c r="Y109" s="21"/>
      <c r="Z109" s="21"/>
    </row>
    <row r="110" spans="1:26" ht="14.25" x14ac:dyDescent="0.2">
      <c r="A110" s="23"/>
      <c r="B110" s="23"/>
      <c r="C110" s="23"/>
      <c r="D110" s="23"/>
      <c r="T110" s="151"/>
      <c r="U110" s="152"/>
      <c r="V110" s="21"/>
      <c r="W110" s="21"/>
      <c r="X110" s="21"/>
      <c r="Y110" s="21"/>
      <c r="Z110" s="21"/>
    </row>
    <row r="111" spans="1:26" ht="13.5" x14ac:dyDescent="0.2">
      <c r="A111" s="24"/>
      <c r="B111" s="24"/>
      <c r="T111" s="153"/>
      <c r="V111" s="21"/>
      <c r="W111" s="21"/>
      <c r="X111" s="21"/>
      <c r="Y111" s="21"/>
      <c r="Z111" s="21"/>
    </row>
    <row r="125" spans="1:1" ht="16.899999999999999" customHeight="1" x14ac:dyDescent="0.2">
      <c r="A125" s="25"/>
    </row>
    <row r="126" spans="1:1" ht="12" customHeight="1" x14ac:dyDescent="0.2">
      <c r="A126" s="4"/>
    </row>
    <row r="127" spans="1:1" ht="13.15" customHeight="1" x14ac:dyDescent="0.2"/>
    <row r="128" spans="1:1" ht="13.15" customHeight="1" x14ac:dyDescent="0.2"/>
    <row r="129" spans="1:26" ht="13.15" customHeight="1" x14ac:dyDescent="0.2"/>
    <row r="130" spans="1:26" s="149" customFormat="1" ht="13.15" customHeight="1" x14ac:dyDescent="0.2">
      <c r="A130" s="1"/>
      <c r="B130" s="1"/>
      <c r="C130" s="1"/>
      <c r="D130" s="1"/>
      <c r="E130" s="1"/>
      <c r="F130" s="1"/>
      <c r="G130" s="1"/>
      <c r="H130" s="1"/>
      <c r="P130" s="1"/>
      <c r="Q130" s="1"/>
      <c r="T130" s="150"/>
      <c r="U130" s="150"/>
      <c r="V130" s="1"/>
      <c r="W130" s="1"/>
      <c r="X130" s="1"/>
      <c r="Y130" s="1"/>
      <c r="Z130" s="1"/>
    </row>
    <row r="131" spans="1:26" s="149" customFormat="1" ht="13.15" customHeight="1" x14ac:dyDescent="0.2">
      <c r="A131" s="1"/>
      <c r="B131" s="1"/>
      <c r="C131" s="1"/>
      <c r="D131" s="1"/>
      <c r="E131" s="1"/>
      <c r="F131" s="1"/>
      <c r="G131" s="1"/>
      <c r="H131" s="1"/>
      <c r="P131" s="1"/>
      <c r="Q131" s="1"/>
      <c r="T131" s="150"/>
      <c r="U131" s="150"/>
      <c r="V131" s="1"/>
      <c r="W131" s="1"/>
      <c r="X131" s="1"/>
      <c r="Y131" s="1"/>
      <c r="Z131" s="1"/>
    </row>
    <row r="132" spans="1:26" s="149" customFormat="1" ht="13.15" customHeight="1" x14ac:dyDescent="0.2">
      <c r="A132" s="1"/>
      <c r="B132" s="1"/>
      <c r="C132" s="1"/>
      <c r="D132" s="1"/>
      <c r="E132" s="1"/>
      <c r="F132" s="1"/>
      <c r="G132" s="1"/>
      <c r="H132" s="1"/>
      <c r="P132" s="1"/>
      <c r="Q132" s="1"/>
      <c r="T132" s="150"/>
      <c r="U132" s="150"/>
      <c r="V132" s="1"/>
      <c r="W132" s="1"/>
      <c r="X132" s="1"/>
      <c r="Y132" s="1"/>
      <c r="Z132" s="1"/>
    </row>
    <row r="133" spans="1:26" s="149" customFormat="1" ht="12" customHeight="1" x14ac:dyDescent="0.2">
      <c r="A133" s="1"/>
      <c r="B133" s="1"/>
      <c r="C133" s="1"/>
      <c r="D133" s="1"/>
      <c r="E133" s="1"/>
      <c r="F133" s="1"/>
      <c r="G133" s="1"/>
      <c r="H133" s="1"/>
      <c r="P133" s="1"/>
      <c r="Q133" s="1"/>
      <c r="T133" s="150"/>
      <c r="U133" s="150"/>
      <c r="V133" s="1"/>
      <c r="W133" s="1"/>
      <c r="X133" s="1"/>
      <c r="Y133" s="1"/>
      <c r="Z133" s="1"/>
    </row>
    <row r="134" spans="1:26" s="149" customFormat="1" ht="12" customHeight="1" x14ac:dyDescent="0.2">
      <c r="A134" s="1"/>
      <c r="B134" s="1"/>
      <c r="C134" s="1"/>
      <c r="D134" s="1"/>
      <c r="E134" s="1"/>
      <c r="F134" s="1"/>
      <c r="G134" s="1"/>
      <c r="H134" s="1"/>
      <c r="P134" s="1"/>
      <c r="Q134" s="1"/>
      <c r="T134" s="150"/>
      <c r="U134" s="150"/>
      <c r="V134" s="1"/>
      <c r="W134" s="1"/>
      <c r="X134" s="1"/>
      <c r="Y134" s="1"/>
      <c r="Z134" s="1"/>
    </row>
    <row r="135" spans="1:26" s="149" customFormat="1" ht="15" customHeight="1" x14ac:dyDescent="0.2">
      <c r="A135" s="1"/>
      <c r="B135" s="1"/>
      <c r="C135" s="1"/>
      <c r="D135" s="1"/>
      <c r="E135" s="1"/>
      <c r="F135" s="1"/>
      <c r="G135" s="1"/>
      <c r="H135" s="1"/>
      <c r="P135" s="1"/>
      <c r="Q135" s="1"/>
      <c r="T135" s="150"/>
      <c r="U135" s="150"/>
      <c r="V135" s="1"/>
      <c r="W135" s="1"/>
      <c r="X135" s="1"/>
      <c r="Y135" s="1"/>
      <c r="Z135" s="1"/>
    </row>
    <row r="136" spans="1:26" s="149" customFormat="1" ht="15" customHeight="1" x14ac:dyDescent="0.2">
      <c r="A136" s="1"/>
      <c r="B136" s="1"/>
      <c r="C136" s="1"/>
      <c r="D136" s="1"/>
      <c r="E136" s="1"/>
      <c r="F136" s="1"/>
      <c r="G136" s="1"/>
      <c r="H136" s="1"/>
      <c r="P136" s="1"/>
      <c r="Q136" s="1"/>
      <c r="T136" s="150"/>
      <c r="U136" s="150"/>
      <c r="V136" s="1"/>
      <c r="W136" s="1"/>
      <c r="X136" s="1"/>
      <c r="Y136" s="1"/>
      <c r="Z136" s="1"/>
    </row>
  </sheetData>
  <sheetProtection sheet="1" formatCells="0" formatColumns="0" formatRows="0"/>
  <phoneticPr fontId="4"/>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4EAFF-AA4B-4840-830A-CD6EA6092B8D}">
  <dimension ref="A1:Z175"/>
  <sheetViews>
    <sheetView zoomScale="160" zoomScaleNormal="160" workbookViewId="0">
      <selection activeCell="X80" sqref="X80:Y90"/>
    </sheetView>
  </sheetViews>
  <sheetFormatPr defaultColWidth="9.33203125" defaultRowHeight="12.75" x14ac:dyDescent="0.2"/>
  <cols>
    <col min="1" max="2" width="9.33203125" style="1"/>
    <col min="3" max="7" width="10.1640625" style="1" customWidth="1"/>
    <col min="8" max="8" width="11.1640625" style="1" bestFit="1" customWidth="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1" ht="20.25" x14ac:dyDescent="0.2">
      <c r="A1" s="96" t="s">
        <v>688</v>
      </c>
      <c r="B1" s="97"/>
      <c r="C1" s="97"/>
      <c r="D1" s="97"/>
      <c r="E1" s="97"/>
      <c r="F1" s="97"/>
      <c r="G1" s="97"/>
      <c r="H1" s="97"/>
      <c r="I1" s="113"/>
      <c r="J1" s="154" t="s">
        <v>130</v>
      </c>
      <c r="K1" s="210">
        <v>10</v>
      </c>
      <c r="L1" s="154" t="s">
        <v>129</v>
      </c>
      <c r="M1" s="113"/>
      <c r="N1" s="113" t="s">
        <v>1059</v>
      </c>
      <c r="O1" s="113"/>
      <c r="R1" s="113"/>
      <c r="S1" s="113"/>
      <c r="T1" s="146"/>
      <c r="U1" s="146"/>
    </row>
    <row r="2" spans="1:21" x14ac:dyDescent="0.2">
      <c r="A2" s="99" t="s">
        <v>689</v>
      </c>
      <c r="B2" s="97"/>
      <c r="C2" s="97"/>
      <c r="D2" s="97"/>
      <c r="E2" s="97"/>
      <c r="F2" s="97"/>
      <c r="G2" s="97"/>
      <c r="H2" s="97"/>
      <c r="I2" s="113"/>
      <c r="J2" s="154" t="s">
        <v>4</v>
      </c>
      <c r="K2" s="210">
        <v>1</v>
      </c>
      <c r="L2" s="154" t="s">
        <v>129</v>
      </c>
      <c r="M2" s="113"/>
      <c r="N2" s="113" t="s">
        <v>79</v>
      </c>
      <c r="O2" s="113"/>
      <c r="R2" s="113"/>
      <c r="S2" s="113"/>
      <c r="T2" s="146"/>
      <c r="U2" s="146"/>
    </row>
    <row r="3" spans="1:21" x14ac:dyDescent="0.2">
      <c r="A3" s="97"/>
      <c r="B3" s="97"/>
      <c r="C3" s="97"/>
      <c r="D3" s="97"/>
      <c r="E3" s="97"/>
      <c r="F3" s="97"/>
      <c r="G3" s="97"/>
      <c r="H3" s="97"/>
      <c r="I3" s="113"/>
      <c r="J3" s="113"/>
      <c r="K3" s="113"/>
      <c r="L3" s="113"/>
      <c r="M3" s="113"/>
      <c r="N3" s="113" t="s">
        <v>311</v>
      </c>
      <c r="O3" s="113"/>
      <c r="R3" s="113"/>
      <c r="S3" s="113"/>
      <c r="T3" s="146"/>
      <c r="U3" s="146"/>
    </row>
    <row r="4" spans="1:21" s="227" customFormat="1" x14ac:dyDescent="0.2">
      <c r="A4" s="523" t="s">
        <v>690</v>
      </c>
    </row>
    <row r="5" spans="1:21" s="227" customFormat="1" x14ac:dyDescent="0.2">
      <c r="A5" s="1387" t="s">
        <v>691</v>
      </c>
      <c r="B5" s="1388"/>
      <c r="C5" s="1389" t="s">
        <v>692</v>
      </c>
      <c r="D5" s="1390"/>
    </row>
    <row r="6" spans="1:21" s="227" customFormat="1" x14ac:dyDescent="0.2">
      <c r="A6" s="1383" t="s">
        <v>693</v>
      </c>
      <c r="B6" s="1384"/>
      <c r="C6" s="1385" t="s">
        <v>694</v>
      </c>
      <c r="D6" s="1386"/>
    </row>
    <row r="7" spans="1:21" s="227" customFormat="1" x14ac:dyDescent="0.2">
      <c r="A7" s="1383" t="s">
        <v>695</v>
      </c>
      <c r="B7" s="1384"/>
      <c r="C7" s="1391" t="s">
        <v>721</v>
      </c>
      <c r="D7" s="1392"/>
    </row>
    <row r="8" spans="1:21" s="227" customFormat="1" x14ac:dyDescent="0.2">
      <c r="A8" s="1383" t="s">
        <v>696</v>
      </c>
      <c r="B8" s="1384"/>
      <c r="C8" s="1385" t="s">
        <v>694</v>
      </c>
      <c r="D8" s="1386"/>
    </row>
    <row r="9" spans="1:21" s="227" customFormat="1" x14ac:dyDescent="0.2">
      <c r="A9" s="1383" t="s">
        <v>697</v>
      </c>
      <c r="B9" s="1384"/>
      <c r="C9" s="1385" t="s">
        <v>698</v>
      </c>
      <c r="D9" s="1386"/>
    </row>
    <row r="10" spans="1:21" s="227" customFormat="1" x14ac:dyDescent="0.2">
      <c r="A10" s="1383" t="s">
        <v>699</v>
      </c>
      <c r="B10" s="1384"/>
      <c r="C10" s="1385" t="s">
        <v>700</v>
      </c>
      <c r="D10" s="1386"/>
    </row>
    <row r="11" spans="1:21" x14ac:dyDescent="0.2">
      <c r="A11" s="100"/>
      <c r="B11" s="97"/>
      <c r="C11" s="97"/>
      <c r="D11" s="97"/>
      <c r="E11" s="97"/>
      <c r="F11" s="97"/>
      <c r="G11" s="97"/>
      <c r="H11" s="97"/>
      <c r="I11" s="113"/>
      <c r="J11" s="113"/>
      <c r="K11" s="113"/>
      <c r="L11" s="113"/>
      <c r="M11" s="113"/>
      <c r="N11" s="113"/>
      <c r="O11" s="113"/>
      <c r="R11" s="113"/>
      <c r="S11" s="113"/>
      <c r="T11" s="146"/>
      <c r="U11" s="146"/>
    </row>
    <row r="12" spans="1:21" ht="20.25" x14ac:dyDescent="0.2">
      <c r="A12" s="101" t="s">
        <v>78</v>
      </c>
      <c r="B12" s="97"/>
      <c r="C12" s="97"/>
      <c r="D12" s="97"/>
      <c r="E12" s="97"/>
      <c r="F12" s="97"/>
      <c r="G12" s="97"/>
      <c r="H12" s="97"/>
      <c r="I12" s="113"/>
      <c r="J12" s="113"/>
      <c r="K12" s="113"/>
      <c r="L12" s="113"/>
      <c r="M12" s="113"/>
      <c r="N12" s="113"/>
      <c r="O12" s="113"/>
      <c r="R12" s="113"/>
      <c r="S12" s="113"/>
      <c r="T12" s="146"/>
      <c r="U12" s="146"/>
    </row>
    <row r="13" spans="1:21" s="227" customFormat="1" x14ac:dyDescent="0.2">
      <c r="A13" s="675" t="s">
        <v>701</v>
      </c>
    </row>
    <row r="14" spans="1:21" s="227" customFormat="1" x14ac:dyDescent="0.2">
      <c r="A14" s="227" t="s">
        <v>702</v>
      </c>
    </row>
    <row r="15" spans="1:21" s="227" customFormat="1" x14ac:dyDescent="0.2">
      <c r="A15" s="675" t="s">
        <v>703</v>
      </c>
    </row>
    <row r="16" spans="1:21" s="227" customFormat="1" x14ac:dyDescent="0.2">
      <c r="A16" s="675" t="s">
        <v>704</v>
      </c>
    </row>
    <row r="17" spans="1:25" s="227" customFormat="1" x14ac:dyDescent="0.2">
      <c r="A17" s="227" t="s">
        <v>705</v>
      </c>
    </row>
    <row r="18" spans="1:25" s="227" customFormat="1" x14ac:dyDescent="0.2">
      <c r="A18" s="227" t="s">
        <v>706</v>
      </c>
    </row>
    <row r="19" spans="1:25" s="227" customFormat="1" x14ac:dyDescent="0.2">
      <c r="A19" s="227" t="s">
        <v>707</v>
      </c>
    </row>
    <row r="20" spans="1:25" x14ac:dyDescent="0.2">
      <c r="A20" s="97"/>
      <c r="B20" s="97"/>
      <c r="C20" s="97"/>
      <c r="D20" s="97"/>
      <c r="E20" s="97"/>
      <c r="F20" s="97"/>
      <c r="G20" s="97"/>
      <c r="H20" s="97"/>
      <c r="I20" s="113"/>
      <c r="J20" s="113"/>
      <c r="K20" s="113"/>
      <c r="L20" s="113"/>
      <c r="M20" s="113"/>
      <c r="N20" s="113"/>
      <c r="O20" s="113"/>
      <c r="R20" s="113"/>
      <c r="S20" s="113"/>
      <c r="T20" s="146"/>
      <c r="U20" s="146"/>
    </row>
    <row r="21" spans="1:25" ht="15.75" x14ac:dyDescent="0.2">
      <c r="A21" s="103" t="s">
        <v>321</v>
      </c>
      <c r="B21" s="97"/>
      <c r="C21" s="97"/>
      <c r="D21" s="97"/>
      <c r="E21" s="97"/>
      <c r="F21" s="97"/>
      <c r="G21" s="97"/>
      <c r="H21" s="97"/>
      <c r="I21" s="113"/>
      <c r="J21" s="113"/>
      <c r="K21" s="113"/>
      <c r="L21" s="113"/>
      <c r="M21" s="113"/>
      <c r="N21" s="113"/>
      <c r="O21" s="113"/>
      <c r="R21" s="113"/>
      <c r="S21" s="113"/>
      <c r="T21" s="146"/>
      <c r="U21" s="146"/>
    </row>
    <row r="22" spans="1:25" ht="102" x14ac:dyDescent="0.2">
      <c r="A22" s="211" t="s">
        <v>0</v>
      </c>
      <c r="B22" s="212" t="s">
        <v>1</v>
      </c>
      <c r="C22" s="212" t="s">
        <v>133</v>
      </c>
      <c r="D22" s="212" t="s">
        <v>199</v>
      </c>
      <c r="E22" s="212" t="s">
        <v>135</v>
      </c>
      <c r="F22" s="212" t="s">
        <v>200</v>
      </c>
      <c r="G22" s="212" t="s">
        <v>137</v>
      </c>
      <c r="H22" s="212" t="s">
        <v>201</v>
      </c>
      <c r="I22" s="104" t="s">
        <v>8</v>
      </c>
      <c r="J22" s="104" t="s">
        <v>9</v>
      </c>
      <c r="K22" s="104" t="s">
        <v>107</v>
      </c>
      <c r="L22" s="104" t="s">
        <v>14</v>
      </c>
      <c r="M22" s="104" t="s">
        <v>12</v>
      </c>
      <c r="N22" s="104" t="s">
        <v>1058</v>
      </c>
      <c r="O22" s="104" t="s">
        <v>100</v>
      </c>
      <c r="P22" s="6" t="s">
        <v>105</v>
      </c>
      <c r="Q22" s="6" t="s">
        <v>106</v>
      </c>
      <c r="R22" s="104" t="s">
        <v>70</v>
      </c>
      <c r="S22" s="104" t="s">
        <v>71</v>
      </c>
      <c r="T22" s="147" t="s">
        <v>80</v>
      </c>
      <c r="U22" s="147" t="s">
        <v>81</v>
      </c>
      <c r="V22" s="5" t="s">
        <v>101</v>
      </c>
      <c r="W22" s="5" t="s">
        <v>102</v>
      </c>
      <c r="X22" s="112" t="s">
        <v>103</v>
      </c>
      <c r="Y22" s="112" t="s">
        <v>104</v>
      </c>
    </row>
    <row r="23" spans="1:25" x14ac:dyDescent="0.2">
      <c r="A23" s="213" t="str">
        <f>A108</f>
        <v>NIST</v>
      </c>
      <c r="B23" s="213" t="str">
        <f>B108</f>
        <v>M937423</v>
      </c>
      <c r="C23" s="213">
        <f>C108</f>
        <v>40.082999999999998</v>
      </c>
      <c r="D23" s="777">
        <f t="shared" ref="D23:D33" si="0">F108</f>
        <v>6.9070000000000006E-2</v>
      </c>
      <c r="E23" s="777">
        <f t="shared" ref="E23:E33" si="1">G108</f>
        <v>40.112000000000002</v>
      </c>
      <c r="F23" s="777">
        <f t="shared" ref="F23:F33" si="2">H108/I108</f>
        <v>3.15E-2</v>
      </c>
      <c r="G23" s="777">
        <f t="shared" ref="G23:G33" si="3">J108</f>
        <v>0.03</v>
      </c>
      <c r="H23" s="777">
        <f t="shared" ref="H23:H33" si="4">M108</f>
        <v>0.15179999999999999</v>
      </c>
      <c r="I23" s="155">
        <f t="shared" ref="I23:I33" si="5">IF(ABS(G23)&gt;ABS(H23), 1, 0)</f>
        <v>0</v>
      </c>
      <c r="J23" s="155">
        <f t="shared" ref="J23:J33" si="6">I23*ABS(C23-E23)</f>
        <v>0</v>
      </c>
      <c r="K23" s="155">
        <f t="shared" ref="K23:K33" si="7">SQRT(SUMSQ(F23,J23))*2</f>
        <v>6.3E-2</v>
      </c>
      <c r="L23" s="155">
        <f t="shared" ref="L23:L33" si="8">IF(C23&lt;$K$2, C23, $K$1)</f>
        <v>10</v>
      </c>
      <c r="M23" s="156">
        <f t="shared" ref="M23:M33" si="9">IF(AND(C23&lt;$K$1,C23&gt; $K$2), K23/L23*100, K23/C23*100)</f>
        <v>0.1571738642317192</v>
      </c>
      <c r="N23" s="157">
        <f t="shared" ref="N23:N33" si="10">M23*L23/100</f>
        <v>1.5717386423171921E-2</v>
      </c>
      <c r="O23" s="155">
        <f t="shared" ref="O23:O33" si="11">N23/(M23*L23/100)*100</f>
        <v>100</v>
      </c>
      <c r="P23" s="250">
        <v>1</v>
      </c>
      <c r="Q23" s="250">
        <v>1000</v>
      </c>
      <c r="R23" s="148">
        <f t="shared" ref="R23:R33" si="12">IF( IF(P23&lt;L23, M23*L23/P23, M23)&gt;100, "ERROR",  IF(P23&lt;L23, M23*L23/P23, M23))</f>
        <v>1.571738642317192</v>
      </c>
      <c r="S23" s="148">
        <f t="shared" ref="S23:S33" si="13">IF(IF(Q23&lt;L23, M23*L23/Q23, M23)&gt;100, "ERROR", IF(Q23&lt;L23, M23*L23/Q23, M23))</f>
        <v>0.1571738642317192</v>
      </c>
      <c r="T23" s="148">
        <f>R23*P23*0.01</f>
        <v>1.5717386423171921E-2</v>
      </c>
      <c r="U23" s="148">
        <f>S23*Q23*0.01</f>
        <v>1.571738642317192</v>
      </c>
      <c r="V23" s="7">
        <f>P23*1000</f>
        <v>1000</v>
      </c>
      <c r="W23" s="7">
        <f>Q23*1000</f>
        <v>1000000</v>
      </c>
      <c r="X23" s="1345">
        <f>T23*1000</f>
        <v>15.717386423171922</v>
      </c>
      <c r="Y23" s="1345">
        <f>U23*1000</f>
        <v>1571.738642317192</v>
      </c>
    </row>
    <row r="24" spans="1:25" x14ac:dyDescent="0.2">
      <c r="A24" s="213" t="str">
        <f t="shared" ref="A24:C24" si="14">A109</f>
        <v>NIM</v>
      </c>
      <c r="B24" s="213" t="str">
        <f t="shared" si="14"/>
        <v>M937410</v>
      </c>
      <c r="C24" s="213">
        <f t="shared" si="14"/>
        <v>40.091999999999999</v>
      </c>
      <c r="D24" s="777">
        <f t="shared" si="0"/>
        <v>6.9080000000000003E-2</v>
      </c>
      <c r="E24" s="777">
        <f t="shared" si="1"/>
        <v>40.049999999999997</v>
      </c>
      <c r="F24" s="777">
        <f t="shared" si="2"/>
        <v>0.12</v>
      </c>
      <c r="G24" s="777">
        <f t="shared" si="3"/>
        <v>-0.04</v>
      </c>
      <c r="H24" s="777">
        <f t="shared" si="4"/>
        <v>0.27689999999999998</v>
      </c>
      <c r="I24" s="155">
        <f t="shared" si="5"/>
        <v>0</v>
      </c>
      <c r="J24" s="155">
        <f t="shared" si="6"/>
        <v>0</v>
      </c>
      <c r="K24" s="155">
        <f t="shared" si="7"/>
        <v>0.24</v>
      </c>
      <c r="L24" s="155">
        <f t="shared" si="8"/>
        <v>10</v>
      </c>
      <c r="M24" s="156">
        <f t="shared" si="9"/>
        <v>0.59862316671655191</v>
      </c>
      <c r="N24" s="157">
        <f t="shared" si="10"/>
        <v>5.9862316671655195E-2</v>
      </c>
      <c r="O24" s="155">
        <f t="shared" si="11"/>
        <v>100</v>
      </c>
      <c r="P24" s="250">
        <v>1</v>
      </c>
      <c r="Q24" s="250">
        <v>1000</v>
      </c>
      <c r="R24" s="148">
        <f t="shared" si="12"/>
        <v>5.9862316671655194</v>
      </c>
      <c r="S24" s="148">
        <f t="shared" si="13"/>
        <v>0.59862316671655191</v>
      </c>
      <c r="T24" s="148">
        <f t="shared" ref="T24:U33" si="15">R24*P24*0.01</f>
        <v>5.9862316671655195E-2</v>
      </c>
      <c r="U24" s="148">
        <f t="shared" si="15"/>
        <v>5.9862316671655194</v>
      </c>
      <c r="V24" s="7">
        <f t="shared" ref="V24:W33" si="16">P24*1000</f>
        <v>1000</v>
      </c>
      <c r="W24" s="7">
        <f t="shared" si="16"/>
        <v>1000000</v>
      </c>
      <c r="X24" s="1345">
        <f t="shared" ref="X24:Y33" si="17">T24*1000</f>
        <v>59.862316671655194</v>
      </c>
      <c r="Y24" s="1345">
        <f t="shared" si="17"/>
        <v>5986.231667165519</v>
      </c>
    </row>
    <row r="25" spans="1:25" x14ac:dyDescent="0.2">
      <c r="A25" s="213" t="str">
        <f t="shared" ref="A25:C25" si="18">A110</f>
        <v>NPL</v>
      </c>
      <c r="B25" s="213" t="str">
        <f t="shared" si="18"/>
        <v>M937411</v>
      </c>
      <c r="C25" s="213">
        <f t="shared" si="18"/>
        <v>40.046999999999997</v>
      </c>
      <c r="D25" s="777">
        <f t="shared" si="0"/>
        <v>6.9029999999999994E-2</v>
      </c>
      <c r="E25" s="777">
        <f t="shared" si="1"/>
        <v>40</v>
      </c>
      <c r="F25" s="777">
        <f t="shared" si="2"/>
        <v>0.1</v>
      </c>
      <c r="G25" s="777">
        <f t="shared" si="3"/>
        <v>-0.05</v>
      </c>
      <c r="H25" s="777">
        <f t="shared" si="4"/>
        <v>0.24299999999999999</v>
      </c>
      <c r="I25" s="155">
        <f t="shared" si="5"/>
        <v>0</v>
      </c>
      <c r="J25" s="155">
        <f t="shared" si="6"/>
        <v>0</v>
      </c>
      <c r="K25" s="155">
        <f t="shared" si="7"/>
        <v>0.2</v>
      </c>
      <c r="L25" s="155">
        <f t="shared" si="8"/>
        <v>10</v>
      </c>
      <c r="M25" s="156">
        <f t="shared" si="9"/>
        <v>0.49941318950233488</v>
      </c>
      <c r="N25" s="157">
        <f t="shared" si="10"/>
        <v>4.9941318950233488E-2</v>
      </c>
      <c r="O25" s="155">
        <f t="shared" si="11"/>
        <v>100</v>
      </c>
      <c r="P25" s="250">
        <v>1</v>
      </c>
      <c r="Q25" s="250">
        <v>1000</v>
      </c>
      <c r="R25" s="148">
        <f t="shared" si="12"/>
        <v>4.9941318950233491</v>
      </c>
      <c r="S25" s="148">
        <f t="shared" si="13"/>
        <v>0.49941318950233488</v>
      </c>
      <c r="T25" s="148">
        <f t="shared" si="15"/>
        <v>4.9941318950233494E-2</v>
      </c>
      <c r="U25" s="148">
        <f t="shared" si="15"/>
        <v>4.9941318950233491</v>
      </c>
      <c r="V25" s="7">
        <f t="shared" si="16"/>
        <v>1000</v>
      </c>
      <c r="W25" s="7">
        <f t="shared" si="16"/>
        <v>1000000</v>
      </c>
      <c r="X25" s="1345">
        <f t="shared" si="17"/>
        <v>49.941318950233494</v>
      </c>
      <c r="Y25" s="1345">
        <f t="shared" si="17"/>
        <v>4994.131895023349</v>
      </c>
    </row>
    <row r="26" spans="1:25" x14ac:dyDescent="0.2">
      <c r="A26" s="213" t="str">
        <f t="shared" ref="A26:C26" si="19">A111</f>
        <v>VSL</v>
      </c>
      <c r="B26" s="213" t="str">
        <f t="shared" si="19"/>
        <v>M937400</v>
      </c>
      <c r="C26" s="213">
        <f t="shared" si="19"/>
        <v>40.100999999999999</v>
      </c>
      <c r="D26" s="777">
        <f t="shared" si="0"/>
        <v>6.9099999999999995E-2</v>
      </c>
      <c r="E26" s="777">
        <f t="shared" si="1"/>
        <v>40.200000000000003</v>
      </c>
      <c r="F26" s="777">
        <f t="shared" si="2"/>
        <v>0.19</v>
      </c>
      <c r="G26" s="777">
        <f t="shared" si="3"/>
        <v>0.1</v>
      </c>
      <c r="H26" s="777">
        <f t="shared" si="4"/>
        <v>0.40429999999999999</v>
      </c>
      <c r="I26" s="155">
        <f t="shared" si="5"/>
        <v>0</v>
      </c>
      <c r="J26" s="155">
        <f t="shared" si="6"/>
        <v>0</v>
      </c>
      <c r="K26" s="155">
        <f t="shared" si="7"/>
        <v>0.38</v>
      </c>
      <c r="L26" s="155">
        <f t="shared" si="8"/>
        <v>10</v>
      </c>
      <c r="M26" s="156">
        <f t="shared" si="9"/>
        <v>0.94760729158873858</v>
      </c>
      <c r="N26" s="157">
        <f t="shared" si="10"/>
        <v>9.476072915887386E-2</v>
      </c>
      <c r="O26" s="155">
        <f t="shared" si="11"/>
        <v>100</v>
      </c>
      <c r="P26" s="250">
        <v>1</v>
      </c>
      <c r="Q26" s="250">
        <v>1000</v>
      </c>
      <c r="R26" s="148">
        <f t="shared" si="12"/>
        <v>9.4760729158873858</v>
      </c>
      <c r="S26" s="148">
        <f t="shared" si="13"/>
        <v>0.94760729158873858</v>
      </c>
      <c r="T26" s="148">
        <f t="shared" si="15"/>
        <v>9.476072915887386E-2</v>
      </c>
      <c r="U26" s="148">
        <f t="shared" si="15"/>
        <v>9.4760729158873858</v>
      </c>
      <c r="V26" s="7">
        <f t="shared" si="16"/>
        <v>1000</v>
      </c>
      <c r="W26" s="7">
        <f t="shared" si="16"/>
        <v>1000000</v>
      </c>
      <c r="X26" s="1345">
        <f t="shared" si="17"/>
        <v>94.760729158873858</v>
      </c>
      <c r="Y26" s="1345">
        <f t="shared" si="17"/>
        <v>9476.0729158873855</v>
      </c>
    </row>
    <row r="27" spans="1:25" x14ac:dyDescent="0.2">
      <c r="A27" s="213" t="str">
        <f t="shared" ref="A27:C27" si="20">A112</f>
        <v>CENAM</v>
      </c>
      <c r="B27" s="213" t="str">
        <f t="shared" si="20"/>
        <v>M937407</v>
      </c>
      <c r="C27" s="213">
        <f t="shared" si="20"/>
        <v>39.953000000000003</v>
      </c>
      <c r="D27" s="777">
        <f t="shared" si="0"/>
        <v>6.8900000000000003E-2</v>
      </c>
      <c r="E27" s="777">
        <f t="shared" si="1"/>
        <v>40.1</v>
      </c>
      <c r="F27" s="777">
        <f t="shared" si="2"/>
        <v>0.255</v>
      </c>
      <c r="G27" s="777">
        <f t="shared" si="3"/>
        <v>0.15</v>
      </c>
      <c r="H27" s="777">
        <f t="shared" si="4"/>
        <v>0.52829999999999999</v>
      </c>
      <c r="I27" s="155">
        <f t="shared" si="5"/>
        <v>0</v>
      </c>
      <c r="J27" s="155">
        <f t="shared" si="6"/>
        <v>0</v>
      </c>
      <c r="K27" s="155">
        <f t="shared" si="7"/>
        <v>0.51</v>
      </c>
      <c r="L27" s="155">
        <f t="shared" si="8"/>
        <v>10</v>
      </c>
      <c r="M27" s="156">
        <f t="shared" si="9"/>
        <v>1.276499887367657</v>
      </c>
      <c r="N27" s="157">
        <f t="shared" si="10"/>
        <v>0.1276499887367657</v>
      </c>
      <c r="O27" s="155">
        <f t="shared" si="11"/>
        <v>100</v>
      </c>
      <c r="P27" s="250">
        <v>1</v>
      </c>
      <c r="Q27" s="250">
        <v>1000</v>
      </c>
      <c r="R27" s="148">
        <f t="shared" si="12"/>
        <v>12.76499887367657</v>
      </c>
      <c r="S27" s="148">
        <f t="shared" si="13"/>
        <v>1.276499887367657</v>
      </c>
      <c r="T27" s="148">
        <f t="shared" si="15"/>
        <v>0.1276499887367657</v>
      </c>
      <c r="U27" s="148">
        <f t="shared" si="15"/>
        <v>12.764998873676571</v>
      </c>
      <c r="V27" s="7">
        <f t="shared" si="16"/>
        <v>1000</v>
      </c>
      <c r="W27" s="7">
        <f t="shared" si="16"/>
        <v>1000000</v>
      </c>
      <c r="X27" s="1345">
        <f t="shared" si="17"/>
        <v>127.64998873676569</v>
      </c>
      <c r="Y27" s="1345">
        <f t="shared" si="17"/>
        <v>12764.998873676572</v>
      </c>
    </row>
    <row r="28" spans="1:25" x14ac:dyDescent="0.2">
      <c r="A28" s="213" t="str">
        <f t="shared" ref="A28:C28" si="21">A113</f>
        <v>SMU</v>
      </c>
      <c r="B28" s="213" t="str">
        <f t="shared" si="21"/>
        <v>M937405</v>
      </c>
      <c r="C28" s="213">
        <f t="shared" si="21"/>
        <v>40.128</v>
      </c>
      <c r="D28" s="777">
        <f t="shared" si="0"/>
        <v>6.9129999999999997E-2</v>
      </c>
      <c r="E28" s="777">
        <f t="shared" si="1"/>
        <v>40.11</v>
      </c>
      <c r="F28" s="777">
        <f t="shared" si="2"/>
        <v>9.5000000000000001E-2</v>
      </c>
      <c r="G28" s="777">
        <f t="shared" si="3"/>
        <v>-0.02</v>
      </c>
      <c r="H28" s="777">
        <f t="shared" si="4"/>
        <v>0.23499999999999999</v>
      </c>
      <c r="I28" s="155">
        <f t="shared" si="5"/>
        <v>0</v>
      </c>
      <c r="J28" s="155">
        <f t="shared" si="6"/>
        <v>0</v>
      </c>
      <c r="K28" s="155">
        <f t="shared" si="7"/>
        <v>0.19</v>
      </c>
      <c r="L28" s="155">
        <f t="shared" si="8"/>
        <v>10</v>
      </c>
      <c r="M28" s="156">
        <f t="shared" si="9"/>
        <v>0.47348484848484851</v>
      </c>
      <c r="N28" s="157">
        <f t="shared" si="10"/>
        <v>4.7348484848484855E-2</v>
      </c>
      <c r="O28" s="155">
        <f t="shared" si="11"/>
        <v>100</v>
      </c>
      <c r="P28" s="250">
        <v>1</v>
      </c>
      <c r="Q28" s="250">
        <v>1000</v>
      </c>
      <c r="R28" s="148">
        <f t="shared" si="12"/>
        <v>4.7348484848484853</v>
      </c>
      <c r="S28" s="148">
        <f t="shared" si="13"/>
        <v>0.47348484848484851</v>
      </c>
      <c r="T28" s="148">
        <f t="shared" si="15"/>
        <v>4.7348484848484855E-2</v>
      </c>
      <c r="U28" s="148">
        <f t="shared" si="15"/>
        <v>4.7348484848484853</v>
      </c>
      <c r="V28" s="7">
        <f t="shared" si="16"/>
        <v>1000</v>
      </c>
      <c r="W28" s="7">
        <f t="shared" si="16"/>
        <v>1000000</v>
      </c>
      <c r="X28" s="1345">
        <f t="shared" si="17"/>
        <v>47.348484848484858</v>
      </c>
      <c r="Y28" s="1345">
        <f t="shared" si="17"/>
        <v>4734.848484848485</v>
      </c>
    </row>
    <row r="29" spans="1:25" x14ac:dyDescent="0.2">
      <c r="A29" s="213" t="str">
        <f t="shared" ref="A29:C29" si="22">A114</f>
        <v>VNIIM</v>
      </c>
      <c r="B29" s="213" t="str">
        <f t="shared" si="22"/>
        <v>M937403</v>
      </c>
      <c r="C29" s="213">
        <f t="shared" si="22"/>
        <v>40.116</v>
      </c>
      <c r="D29" s="777">
        <f t="shared" si="0"/>
        <v>6.9120000000000001E-2</v>
      </c>
      <c r="E29" s="777">
        <f t="shared" si="1"/>
        <v>45.22</v>
      </c>
      <c r="F29" s="777">
        <f t="shared" si="2"/>
        <v>0.125</v>
      </c>
      <c r="G29" s="777">
        <f t="shared" si="3"/>
        <v>5.0999999999999996</v>
      </c>
      <c r="H29" s="777">
        <f t="shared" si="4"/>
        <v>0.28570000000000001</v>
      </c>
      <c r="I29" s="155">
        <f t="shared" si="5"/>
        <v>1</v>
      </c>
      <c r="J29" s="155">
        <f t="shared" si="6"/>
        <v>5.1039999999999992</v>
      </c>
      <c r="K29" s="155">
        <f t="shared" si="7"/>
        <v>10.211060865551628</v>
      </c>
      <c r="L29" s="155">
        <f t="shared" si="8"/>
        <v>10</v>
      </c>
      <c r="M29" s="156">
        <f t="shared" si="9"/>
        <v>25.453836039364912</v>
      </c>
      <c r="N29" s="157">
        <f t="shared" si="10"/>
        <v>2.5453836039364912</v>
      </c>
      <c r="O29" s="155">
        <f t="shared" si="11"/>
        <v>100</v>
      </c>
      <c r="P29" s="250">
        <v>10</v>
      </c>
      <c r="Q29" s="250">
        <v>1000</v>
      </c>
      <c r="R29" s="148">
        <f t="shared" si="12"/>
        <v>25.453836039364912</v>
      </c>
      <c r="S29" s="148">
        <f t="shared" si="13"/>
        <v>25.453836039364912</v>
      </c>
      <c r="T29" s="148">
        <f t="shared" si="15"/>
        <v>2.5453836039364912</v>
      </c>
      <c r="U29" s="148">
        <f t="shared" si="15"/>
        <v>254.53836039364913</v>
      </c>
      <c r="V29" s="7">
        <f t="shared" si="16"/>
        <v>10000</v>
      </c>
      <c r="W29" s="7">
        <f t="shared" si="16"/>
        <v>1000000</v>
      </c>
      <c r="X29" s="1345">
        <f t="shared" si="17"/>
        <v>2545.383603936491</v>
      </c>
      <c r="Y29" s="1345">
        <f t="shared" si="17"/>
        <v>254538.36039364914</v>
      </c>
    </row>
    <row r="30" spans="1:25" x14ac:dyDescent="0.2">
      <c r="A30" s="213" t="str">
        <f t="shared" ref="A30:C30" si="23">A115</f>
        <v>NMISA</v>
      </c>
      <c r="B30" s="213" t="str">
        <f t="shared" si="23"/>
        <v>M937424</v>
      </c>
      <c r="C30" s="213">
        <f t="shared" si="23"/>
        <v>40.094000000000001</v>
      </c>
      <c r="D30" s="777">
        <f t="shared" si="0"/>
        <v>6.9089999999999999E-2</v>
      </c>
      <c r="E30" s="777">
        <f t="shared" si="1"/>
        <v>39.799999999999997</v>
      </c>
      <c r="F30" s="777">
        <f t="shared" si="2"/>
        <v>0.105</v>
      </c>
      <c r="G30" s="777">
        <f t="shared" si="3"/>
        <v>-0.28999999999999998</v>
      </c>
      <c r="H30" s="777">
        <f t="shared" si="4"/>
        <v>0.25140000000000001</v>
      </c>
      <c r="I30" s="155">
        <f t="shared" si="5"/>
        <v>1</v>
      </c>
      <c r="J30" s="155">
        <f t="shared" si="6"/>
        <v>0.29400000000000404</v>
      </c>
      <c r="K30" s="155">
        <f t="shared" si="7"/>
        <v>0.62437488738738478</v>
      </c>
      <c r="L30" s="155">
        <f t="shared" si="8"/>
        <v>10</v>
      </c>
      <c r="M30" s="156">
        <f t="shared" si="9"/>
        <v>1.5572776160706958</v>
      </c>
      <c r="N30" s="157">
        <f t="shared" si="10"/>
        <v>0.15572776160706958</v>
      </c>
      <c r="O30" s="155">
        <f t="shared" si="11"/>
        <v>100</v>
      </c>
      <c r="P30" s="250">
        <v>1</v>
      </c>
      <c r="Q30" s="250">
        <v>1000</v>
      </c>
      <c r="R30" s="148">
        <f t="shared" si="12"/>
        <v>15.572776160706958</v>
      </c>
      <c r="S30" s="148">
        <f t="shared" si="13"/>
        <v>1.5572776160706958</v>
      </c>
      <c r="T30" s="148">
        <f t="shared" si="15"/>
        <v>0.15572776160706958</v>
      </c>
      <c r="U30" s="148">
        <f t="shared" si="15"/>
        <v>15.572776160706958</v>
      </c>
      <c r="V30" s="7">
        <f t="shared" si="16"/>
        <v>1000</v>
      </c>
      <c r="W30" s="7">
        <f t="shared" si="16"/>
        <v>1000000</v>
      </c>
      <c r="X30" s="1345">
        <f t="shared" si="17"/>
        <v>155.72776160706957</v>
      </c>
      <c r="Y30" s="1345">
        <f t="shared" si="17"/>
        <v>15572.776160706959</v>
      </c>
    </row>
    <row r="31" spans="1:25" x14ac:dyDescent="0.2">
      <c r="A31" s="213" t="str">
        <f t="shared" ref="A31:C31" si="24">A116</f>
        <v>KRISS</v>
      </c>
      <c r="B31" s="213" t="str">
        <f t="shared" si="24"/>
        <v>M937414</v>
      </c>
      <c r="C31" s="213">
        <f t="shared" si="24"/>
        <v>40.110999999999997</v>
      </c>
      <c r="D31" s="777">
        <f t="shared" si="0"/>
        <v>6.9110000000000005E-2</v>
      </c>
      <c r="E31" s="777">
        <f t="shared" si="1"/>
        <v>39.909999999999997</v>
      </c>
      <c r="F31" s="777">
        <f t="shared" si="2"/>
        <v>7.0000000000000007E-2</v>
      </c>
      <c r="G31" s="777">
        <f t="shared" si="3"/>
        <v>-0.2</v>
      </c>
      <c r="H31" s="777">
        <f t="shared" si="4"/>
        <v>0.19670000000000001</v>
      </c>
      <c r="I31" s="155">
        <f t="shared" si="5"/>
        <v>1</v>
      </c>
      <c r="J31" s="155">
        <f t="shared" si="6"/>
        <v>0.20100000000000051</v>
      </c>
      <c r="K31" s="155">
        <f t="shared" si="7"/>
        <v>0.42568063145978446</v>
      </c>
      <c r="L31" s="155">
        <f t="shared" si="8"/>
        <v>10</v>
      </c>
      <c r="M31" s="156">
        <f t="shared" si="9"/>
        <v>1.0612565916077499</v>
      </c>
      <c r="N31" s="157">
        <f t="shared" si="10"/>
        <v>0.10612565916077499</v>
      </c>
      <c r="O31" s="155">
        <f t="shared" si="11"/>
        <v>100</v>
      </c>
      <c r="P31" s="250">
        <v>1</v>
      </c>
      <c r="Q31" s="250">
        <v>1000</v>
      </c>
      <c r="R31" s="148">
        <f t="shared" si="12"/>
        <v>10.612565916077498</v>
      </c>
      <c r="S31" s="148">
        <f t="shared" si="13"/>
        <v>1.0612565916077499</v>
      </c>
      <c r="T31" s="148">
        <f t="shared" si="15"/>
        <v>0.10612565916077499</v>
      </c>
      <c r="U31" s="148">
        <f t="shared" si="15"/>
        <v>10.612565916077498</v>
      </c>
      <c r="V31" s="7">
        <f t="shared" si="16"/>
        <v>1000</v>
      </c>
      <c r="W31" s="7">
        <f t="shared" si="16"/>
        <v>1000000</v>
      </c>
      <c r="X31" s="1345">
        <f t="shared" si="17"/>
        <v>106.12565916077499</v>
      </c>
      <c r="Y31" s="1345">
        <f t="shared" si="17"/>
        <v>10612.565916077498</v>
      </c>
    </row>
    <row r="32" spans="1:25" x14ac:dyDescent="0.2">
      <c r="A32" s="213" t="str">
        <f t="shared" ref="A32:C32" si="25">A117</f>
        <v>IPQ</v>
      </c>
      <c r="B32" s="213" t="str">
        <f t="shared" si="25"/>
        <v>M937419</v>
      </c>
      <c r="C32" s="213">
        <f t="shared" si="25"/>
        <v>40.090000000000003</v>
      </c>
      <c r="D32" s="777">
        <f t="shared" si="0"/>
        <v>6.9080000000000003E-2</v>
      </c>
      <c r="E32" s="777">
        <f t="shared" si="1"/>
        <v>38.53</v>
      </c>
      <c r="F32" s="777">
        <f t="shared" si="2"/>
        <v>0.15</v>
      </c>
      <c r="G32" s="777">
        <f t="shared" si="3"/>
        <v>-1.56</v>
      </c>
      <c r="H32" s="777">
        <f t="shared" si="4"/>
        <v>0.33029999999999998</v>
      </c>
      <c r="I32" s="155">
        <f t="shared" si="5"/>
        <v>1</v>
      </c>
      <c r="J32" s="155">
        <f t="shared" si="6"/>
        <v>1.5600000000000023</v>
      </c>
      <c r="K32" s="155">
        <f t="shared" si="7"/>
        <v>3.1343898927861589</v>
      </c>
      <c r="L32" s="155">
        <f t="shared" si="8"/>
        <v>10</v>
      </c>
      <c r="M32" s="156">
        <f t="shared" si="9"/>
        <v>7.8183833693842821</v>
      </c>
      <c r="N32" s="157">
        <f t="shared" si="10"/>
        <v>0.78183833693842819</v>
      </c>
      <c r="O32" s="155">
        <f t="shared" si="11"/>
        <v>100</v>
      </c>
      <c r="P32" s="250">
        <v>1</v>
      </c>
      <c r="Q32" s="250">
        <v>1000</v>
      </c>
      <c r="R32" s="148">
        <f t="shared" si="12"/>
        <v>78.183833693842814</v>
      </c>
      <c r="S32" s="148">
        <f t="shared" si="13"/>
        <v>7.8183833693842821</v>
      </c>
      <c r="T32" s="148">
        <f t="shared" si="15"/>
        <v>0.78183833693842819</v>
      </c>
      <c r="U32" s="148">
        <f t="shared" si="15"/>
        <v>78.183833693842828</v>
      </c>
      <c r="V32" s="7">
        <f t="shared" si="16"/>
        <v>1000</v>
      </c>
      <c r="W32" s="7">
        <f t="shared" si="16"/>
        <v>1000000</v>
      </c>
      <c r="X32" s="1345">
        <f t="shared" si="17"/>
        <v>781.83833693842814</v>
      </c>
      <c r="Y32" s="1345">
        <f t="shared" si="17"/>
        <v>78183.833693842826</v>
      </c>
    </row>
    <row r="33" spans="1:26" x14ac:dyDescent="0.2">
      <c r="A33" s="213" t="str">
        <f t="shared" ref="A33:C33" si="26">A118</f>
        <v>INMETRO</v>
      </c>
      <c r="B33" s="213" t="str">
        <f t="shared" si="26"/>
        <v>M937401</v>
      </c>
      <c r="C33" s="213">
        <f t="shared" si="26"/>
        <v>40.127000000000002</v>
      </c>
      <c r="D33" s="777">
        <f t="shared" si="0"/>
        <v>6.9129999999999997E-2</v>
      </c>
      <c r="E33" s="777">
        <f t="shared" si="1"/>
        <v>29.495000000000001</v>
      </c>
      <c r="F33" s="777">
        <f t="shared" si="2"/>
        <v>0.1845</v>
      </c>
      <c r="G33" s="777">
        <f t="shared" si="3"/>
        <v>-10.63</v>
      </c>
      <c r="H33" s="777">
        <f t="shared" si="4"/>
        <v>0.39410000000000001</v>
      </c>
      <c r="I33" s="155">
        <f t="shared" si="5"/>
        <v>1</v>
      </c>
      <c r="J33" s="155">
        <f t="shared" si="6"/>
        <v>10.632000000000001</v>
      </c>
      <c r="K33" s="155">
        <f t="shared" si="7"/>
        <v>21.267201437894929</v>
      </c>
      <c r="L33" s="155">
        <f t="shared" si="8"/>
        <v>10</v>
      </c>
      <c r="M33" s="156">
        <f t="shared" si="9"/>
        <v>52.999729453721756</v>
      </c>
      <c r="N33" s="157">
        <f t="shared" si="10"/>
        <v>5.2999729453721764</v>
      </c>
      <c r="O33" s="155">
        <f t="shared" si="11"/>
        <v>100</v>
      </c>
      <c r="P33" s="250">
        <v>10</v>
      </c>
      <c r="Q33" s="250">
        <v>1000</v>
      </c>
      <c r="R33" s="148">
        <f t="shared" si="12"/>
        <v>52.999729453721756</v>
      </c>
      <c r="S33" s="148">
        <f t="shared" si="13"/>
        <v>52.999729453721756</v>
      </c>
      <c r="T33" s="148">
        <f t="shared" si="15"/>
        <v>5.2999729453721764</v>
      </c>
      <c r="U33" s="148">
        <f t="shared" si="15"/>
        <v>529.9972945372175</v>
      </c>
      <c r="V33" s="7">
        <f t="shared" si="16"/>
        <v>10000</v>
      </c>
      <c r="W33" s="7">
        <f t="shared" si="16"/>
        <v>1000000</v>
      </c>
      <c r="X33" s="1345">
        <f t="shared" si="17"/>
        <v>5299.9729453721766</v>
      </c>
      <c r="Y33" s="1345">
        <f t="shared" si="17"/>
        <v>529997.29453721747</v>
      </c>
    </row>
    <row r="34" spans="1:26" x14ac:dyDescent="0.2">
      <c r="A34" s="213"/>
      <c r="B34" s="213"/>
      <c r="C34" s="214"/>
      <c r="D34" s="214"/>
      <c r="E34" s="214"/>
      <c r="F34" s="214"/>
      <c r="G34" s="214"/>
      <c r="H34" s="214"/>
      <c r="I34" s="155"/>
      <c r="J34" s="155"/>
      <c r="K34" s="155"/>
      <c r="L34" s="155"/>
      <c r="M34" s="156"/>
      <c r="N34" s="157"/>
      <c r="O34" s="155"/>
      <c r="P34" s="110"/>
      <c r="Q34" s="111"/>
      <c r="R34" s="148"/>
      <c r="S34" s="148"/>
      <c r="T34" s="148"/>
      <c r="U34" s="148"/>
      <c r="V34" s="7"/>
      <c r="W34" s="7"/>
      <c r="X34" s="114"/>
      <c r="Y34" s="115"/>
    </row>
    <row r="35" spans="1:26" ht="14.25" x14ac:dyDescent="0.2">
      <c r="H35" s="9"/>
      <c r="U35" s="152"/>
      <c r="V35" s="21"/>
      <c r="W35" s="21"/>
      <c r="X35" s="21"/>
      <c r="Y35" s="21"/>
      <c r="Z35" s="21"/>
    </row>
    <row r="36" spans="1:26" ht="15.75" x14ac:dyDescent="0.2">
      <c r="A36" s="103" t="s">
        <v>722</v>
      </c>
      <c r="B36" s="97"/>
      <c r="C36" s="97"/>
      <c r="D36" s="97"/>
      <c r="E36" s="97"/>
      <c r="F36" s="97"/>
      <c r="G36" s="97"/>
      <c r="H36" s="97"/>
      <c r="I36" s="113"/>
      <c r="J36" s="113"/>
      <c r="K36" s="113"/>
      <c r="L36" s="113"/>
      <c r="M36" s="113"/>
      <c r="N36" s="113"/>
      <c r="O36" s="113"/>
      <c r="R36" s="113"/>
      <c r="S36" s="113"/>
      <c r="T36" s="146"/>
      <c r="U36" s="146"/>
    </row>
    <row r="37" spans="1:26" ht="102" x14ac:dyDescent="0.2">
      <c r="A37" s="211" t="s">
        <v>0</v>
      </c>
      <c r="B37" s="212" t="s">
        <v>1</v>
      </c>
      <c r="C37" s="212" t="s">
        <v>133</v>
      </c>
      <c r="D37" s="212" t="s">
        <v>199</v>
      </c>
      <c r="E37" s="212" t="s">
        <v>135</v>
      </c>
      <c r="F37" s="212" t="s">
        <v>200</v>
      </c>
      <c r="G37" s="212" t="s">
        <v>137</v>
      </c>
      <c r="H37" s="212" t="s">
        <v>201</v>
      </c>
      <c r="I37" s="104" t="s">
        <v>8</v>
      </c>
      <c r="J37" s="104" t="s">
        <v>9</v>
      </c>
      <c r="K37" s="104" t="s">
        <v>107</v>
      </c>
      <c r="L37" s="104" t="s">
        <v>14</v>
      </c>
      <c r="M37" s="104" t="s">
        <v>12</v>
      </c>
      <c r="N37" s="104" t="s">
        <v>1058</v>
      </c>
      <c r="O37" s="104" t="s">
        <v>100</v>
      </c>
      <c r="P37" s="6" t="s">
        <v>105</v>
      </c>
      <c r="Q37" s="6" t="s">
        <v>106</v>
      </c>
      <c r="R37" s="104" t="s">
        <v>70</v>
      </c>
      <c r="S37" s="104" t="s">
        <v>71</v>
      </c>
      <c r="T37" s="147" t="s">
        <v>80</v>
      </c>
      <c r="U37" s="147" t="s">
        <v>81</v>
      </c>
      <c r="V37" s="5" t="s">
        <v>101</v>
      </c>
      <c r="W37" s="5" t="s">
        <v>102</v>
      </c>
      <c r="X37" s="112" t="s">
        <v>103</v>
      </c>
      <c r="Y37" s="112" t="s">
        <v>104</v>
      </c>
    </row>
    <row r="38" spans="1:26" x14ac:dyDescent="0.2">
      <c r="A38" s="213" t="str">
        <f>A123</f>
        <v>NIST</v>
      </c>
      <c r="B38" s="213" t="str">
        <f>B123</f>
        <v>M937423</v>
      </c>
      <c r="C38" s="219">
        <f>C123*1000</f>
        <v>119800</v>
      </c>
      <c r="D38" s="219">
        <f>F123*1000</f>
        <v>120.39999999999999</v>
      </c>
      <c r="E38" s="219">
        <f>G123*1000</f>
        <v>119930</v>
      </c>
      <c r="F38" s="219">
        <f>H123/I123*1000</f>
        <v>55</v>
      </c>
      <c r="G38" s="219">
        <f>J123*1000</f>
        <v>130</v>
      </c>
      <c r="H38" s="219">
        <f>M123*1000</f>
        <v>265</v>
      </c>
      <c r="I38" s="155">
        <f t="shared" ref="I38:I48" si="27">IF(ABS(G38)&gt;ABS(H38), 1, 0)</f>
        <v>0</v>
      </c>
      <c r="J38" s="155">
        <f t="shared" ref="J38:J48" si="28">I38*ABS(C38-E38)</f>
        <v>0</v>
      </c>
      <c r="K38" s="155">
        <f t="shared" ref="K38:K48" si="29">SQRT(SUMSQ(F38,J38))*2</f>
        <v>110</v>
      </c>
      <c r="L38" s="155">
        <f t="shared" ref="L38:L48" si="30">IF(C38&lt;$K$2, C38, $K$1)</f>
        <v>10</v>
      </c>
      <c r="M38" s="156">
        <f t="shared" ref="M38:M48" si="31">IF(AND(C38&lt;$K$1,C38&gt; $K$2), K38/L38*100, K38/C38*100)</f>
        <v>9.1819699499165283E-2</v>
      </c>
      <c r="N38" s="157">
        <f t="shared" ref="N38:N48" si="32">M38*L38/100</f>
        <v>9.181969949916529E-3</v>
      </c>
      <c r="O38" s="155">
        <f t="shared" ref="O38:O48" si="33">N38/(M38*L38/100)*100</f>
        <v>100</v>
      </c>
      <c r="P38" s="250">
        <v>1</v>
      </c>
      <c r="Q38" s="250">
        <v>1000</v>
      </c>
      <c r="R38" s="148">
        <f t="shared" ref="R38:R48" si="34">IF( IF(P38&lt;L38, M38*L38/P38, M38)&gt;100, "ERROR",  IF(P38&lt;L38, M38*L38/P38, M38))</f>
        <v>0.91819699499165286</v>
      </c>
      <c r="S38" s="148">
        <f t="shared" ref="S38:S48" si="35">IF(IF(Q38&lt;L38, M38*L38/Q38, M38)&gt;100, "ERROR", IF(Q38&lt;L38, M38*L38/Q38, M38))</f>
        <v>9.1819699499165283E-2</v>
      </c>
      <c r="T38" s="148">
        <f>R38*P38*0.01</f>
        <v>9.181969949916529E-3</v>
      </c>
      <c r="U38" s="148">
        <f>S38*Q38*0.01</f>
        <v>0.91819699499165286</v>
      </c>
      <c r="V38" s="7">
        <f>P38*1000</f>
        <v>1000</v>
      </c>
      <c r="W38" s="7">
        <f>Q38*1000</f>
        <v>1000000</v>
      </c>
      <c r="X38" s="1345">
        <f>T38*1000</f>
        <v>9.1819699499165282</v>
      </c>
      <c r="Y38" s="1345">
        <f>U38*1000</f>
        <v>918.1969949916529</v>
      </c>
    </row>
    <row r="39" spans="1:26" x14ac:dyDescent="0.2">
      <c r="A39" s="213" t="str">
        <f t="shared" ref="A39:B39" si="36">A124</f>
        <v>NIM</v>
      </c>
      <c r="B39" s="213" t="str">
        <f t="shared" si="36"/>
        <v>M937410</v>
      </c>
      <c r="C39" s="219">
        <f t="shared" ref="C39:C48" si="37">C124*1000</f>
        <v>120100</v>
      </c>
      <c r="D39" s="219">
        <f t="shared" ref="D39:E39" si="38">F124*1000</f>
        <v>120.7</v>
      </c>
      <c r="E39" s="219">
        <f t="shared" si="38"/>
        <v>120200</v>
      </c>
      <c r="F39" s="219">
        <f t="shared" ref="F39:F48" si="39">H124/I124*1000</f>
        <v>300</v>
      </c>
      <c r="G39" s="219">
        <f t="shared" ref="G39:G48" si="40">J124*1000</f>
        <v>100</v>
      </c>
      <c r="H39" s="219">
        <f t="shared" ref="H39:H48" si="41">M124*1000</f>
        <v>647</v>
      </c>
      <c r="I39" s="155">
        <f t="shared" si="27"/>
        <v>0</v>
      </c>
      <c r="J39" s="155">
        <f t="shared" si="28"/>
        <v>0</v>
      </c>
      <c r="K39" s="155">
        <f t="shared" si="29"/>
        <v>600</v>
      </c>
      <c r="L39" s="155">
        <f t="shared" si="30"/>
        <v>10</v>
      </c>
      <c r="M39" s="156">
        <f t="shared" si="31"/>
        <v>0.49958368026644462</v>
      </c>
      <c r="N39" s="157">
        <f t="shared" si="32"/>
        <v>4.995836802664446E-2</v>
      </c>
      <c r="O39" s="155">
        <f t="shared" si="33"/>
        <v>100</v>
      </c>
      <c r="P39" s="250">
        <v>1</v>
      </c>
      <c r="Q39" s="250">
        <v>1000</v>
      </c>
      <c r="R39" s="148">
        <f t="shared" si="34"/>
        <v>4.9958368026644457</v>
      </c>
      <c r="S39" s="148">
        <f t="shared" si="35"/>
        <v>0.49958368026644462</v>
      </c>
      <c r="T39" s="148">
        <f t="shared" ref="T39:T48" si="42">R39*P39*0.01</f>
        <v>4.995836802664446E-2</v>
      </c>
      <c r="U39" s="148">
        <f t="shared" ref="U39:U48" si="43">S39*Q39*0.01</f>
        <v>4.9958368026644466</v>
      </c>
      <c r="V39" s="7">
        <f t="shared" ref="V39:V48" si="44">P39*1000</f>
        <v>1000</v>
      </c>
      <c r="W39" s="7">
        <f t="shared" ref="W39:W48" si="45">Q39*1000</f>
        <v>1000000</v>
      </c>
      <c r="X39" s="1345">
        <f t="shared" ref="X39:X48" si="46">T39*1000</f>
        <v>49.958368026644457</v>
      </c>
      <c r="Y39" s="1345">
        <f t="shared" ref="Y39:Y48" si="47">U39*1000</f>
        <v>4995.8368026644466</v>
      </c>
    </row>
    <row r="40" spans="1:26" x14ac:dyDescent="0.2">
      <c r="A40" s="213" t="str">
        <f t="shared" ref="A40:B40" si="48">A125</f>
        <v>NPL</v>
      </c>
      <c r="B40" s="213" t="str">
        <f t="shared" si="48"/>
        <v>M937411</v>
      </c>
      <c r="C40" s="219">
        <f t="shared" si="37"/>
        <v>119790</v>
      </c>
      <c r="D40" s="219">
        <f t="shared" ref="D40:E40" si="49">F125*1000</f>
        <v>120.39</v>
      </c>
      <c r="E40" s="219">
        <f t="shared" si="49"/>
        <v>119700</v>
      </c>
      <c r="F40" s="219">
        <f t="shared" si="39"/>
        <v>100</v>
      </c>
      <c r="G40" s="219">
        <f t="shared" si="40"/>
        <v>-90</v>
      </c>
      <c r="H40" s="219">
        <f t="shared" si="41"/>
        <v>313</v>
      </c>
      <c r="I40" s="155">
        <f t="shared" si="27"/>
        <v>0</v>
      </c>
      <c r="J40" s="155">
        <f t="shared" si="28"/>
        <v>0</v>
      </c>
      <c r="K40" s="155">
        <f t="shared" si="29"/>
        <v>200</v>
      </c>
      <c r="L40" s="155">
        <f t="shared" si="30"/>
        <v>10</v>
      </c>
      <c r="M40" s="156">
        <f t="shared" si="31"/>
        <v>0.16695884464479505</v>
      </c>
      <c r="N40" s="157">
        <f t="shared" si="32"/>
        <v>1.6695884464479505E-2</v>
      </c>
      <c r="O40" s="155">
        <f t="shared" si="33"/>
        <v>100</v>
      </c>
      <c r="P40" s="250">
        <v>1</v>
      </c>
      <c r="Q40" s="250">
        <v>1000</v>
      </c>
      <c r="R40" s="148">
        <f t="shared" si="34"/>
        <v>1.6695884464479505</v>
      </c>
      <c r="S40" s="148">
        <f t="shared" si="35"/>
        <v>0.16695884464479505</v>
      </c>
      <c r="T40" s="148">
        <f t="shared" si="42"/>
        <v>1.6695884464479505E-2</v>
      </c>
      <c r="U40" s="148">
        <f t="shared" si="43"/>
        <v>1.6695884464479505</v>
      </c>
      <c r="V40" s="7">
        <f t="shared" si="44"/>
        <v>1000</v>
      </c>
      <c r="W40" s="7">
        <f t="shared" si="45"/>
        <v>1000000</v>
      </c>
      <c r="X40" s="1345">
        <f t="shared" si="46"/>
        <v>16.695884464479505</v>
      </c>
      <c r="Y40" s="1345">
        <f t="shared" si="47"/>
        <v>1669.5884464479504</v>
      </c>
    </row>
    <row r="41" spans="1:26" x14ac:dyDescent="0.2">
      <c r="A41" s="213" t="str">
        <f t="shared" ref="A41:B41" si="50">A126</f>
        <v>VSL</v>
      </c>
      <c r="B41" s="213" t="str">
        <f t="shared" si="50"/>
        <v>M937400</v>
      </c>
      <c r="C41" s="219">
        <f t="shared" si="37"/>
        <v>120010</v>
      </c>
      <c r="D41" s="219">
        <f t="shared" ref="D41:E41" si="51">F126*1000</f>
        <v>120.61</v>
      </c>
      <c r="E41" s="219">
        <f t="shared" si="51"/>
        <v>120070</v>
      </c>
      <c r="F41" s="219">
        <f t="shared" si="39"/>
        <v>170</v>
      </c>
      <c r="G41" s="219">
        <f t="shared" si="40"/>
        <v>60</v>
      </c>
      <c r="H41" s="219">
        <f t="shared" si="41"/>
        <v>417</v>
      </c>
      <c r="I41" s="155">
        <f t="shared" si="27"/>
        <v>0</v>
      </c>
      <c r="J41" s="155">
        <f t="shared" si="28"/>
        <v>0</v>
      </c>
      <c r="K41" s="155">
        <f t="shared" si="29"/>
        <v>340</v>
      </c>
      <c r="L41" s="155">
        <f t="shared" si="30"/>
        <v>10</v>
      </c>
      <c r="M41" s="156">
        <f t="shared" si="31"/>
        <v>0.28330972418965084</v>
      </c>
      <c r="N41" s="157">
        <f t="shared" si="32"/>
        <v>2.8330972418965084E-2</v>
      </c>
      <c r="O41" s="155">
        <f t="shared" si="33"/>
        <v>100</v>
      </c>
      <c r="P41" s="250">
        <v>1</v>
      </c>
      <c r="Q41" s="250">
        <v>1000</v>
      </c>
      <c r="R41" s="148">
        <f t="shared" si="34"/>
        <v>2.8330972418965086</v>
      </c>
      <c r="S41" s="148">
        <f t="shared" si="35"/>
        <v>0.28330972418965084</v>
      </c>
      <c r="T41" s="148">
        <f t="shared" si="42"/>
        <v>2.8330972418965088E-2</v>
      </c>
      <c r="U41" s="148">
        <f t="shared" si="43"/>
        <v>2.8330972418965081</v>
      </c>
      <c r="V41" s="7">
        <f t="shared" si="44"/>
        <v>1000</v>
      </c>
      <c r="W41" s="7">
        <f t="shared" si="45"/>
        <v>1000000</v>
      </c>
      <c r="X41" s="1345">
        <f t="shared" si="46"/>
        <v>28.330972418965089</v>
      </c>
      <c r="Y41" s="1345">
        <f t="shared" si="47"/>
        <v>2833.097241896508</v>
      </c>
    </row>
    <row r="42" spans="1:26" x14ac:dyDescent="0.2">
      <c r="A42" s="213" t="str">
        <f t="shared" ref="A42:B42" si="52">A127</f>
        <v>CENAM</v>
      </c>
      <c r="B42" s="213" t="str">
        <f t="shared" si="52"/>
        <v>M937407</v>
      </c>
      <c r="C42" s="219">
        <f t="shared" si="37"/>
        <v>120330</v>
      </c>
      <c r="D42" s="219">
        <f t="shared" ref="D42:E42" si="53">F127*1000</f>
        <v>120.92999999999999</v>
      </c>
      <c r="E42" s="219">
        <f t="shared" si="53"/>
        <v>120170</v>
      </c>
      <c r="F42" s="219">
        <f t="shared" si="39"/>
        <v>470</v>
      </c>
      <c r="G42" s="219">
        <f t="shared" si="40"/>
        <v>-160</v>
      </c>
      <c r="H42" s="219">
        <f t="shared" si="41"/>
        <v>971</v>
      </c>
      <c r="I42" s="155">
        <f t="shared" si="27"/>
        <v>0</v>
      </c>
      <c r="J42" s="155">
        <f t="shared" si="28"/>
        <v>0</v>
      </c>
      <c r="K42" s="155">
        <f t="shared" si="29"/>
        <v>940</v>
      </c>
      <c r="L42" s="155">
        <f t="shared" si="30"/>
        <v>10</v>
      </c>
      <c r="M42" s="156">
        <f t="shared" si="31"/>
        <v>0.78118507437879159</v>
      </c>
      <c r="N42" s="157">
        <f t="shared" si="32"/>
        <v>7.8118507437879167E-2</v>
      </c>
      <c r="O42" s="155">
        <f t="shared" si="33"/>
        <v>100</v>
      </c>
      <c r="P42" s="250">
        <v>1</v>
      </c>
      <c r="Q42" s="250">
        <v>1000</v>
      </c>
      <c r="R42" s="148">
        <f t="shared" si="34"/>
        <v>7.8118507437879163</v>
      </c>
      <c r="S42" s="148">
        <f t="shared" si="35"/>
        <v>0.78118507437879159</v>
      </c>
      <c r="T42" s="148">
        <f t="shared" si="42"/>
        <v>7.8118507437879167E-2</v>
      </c>
      <c r="U42" s="148">
        <f t="shared" si="43"/>
        <v>7.8118507437879154</v>
      </c>
      <c r="V42" s="7">
        <f t="shared" si="44"/>
        <v>1000</v>
      </c>
      <c r="W42" s="7">
        <f t="shared" si="45"/>
        <v>1000000</v>
      </c>
      <c r="X42" s="1345">
        <f t="shared" si="46"/>
        <v>78.118507437879174</v>
      </c>
      <c r="Y42" s="1345">
        <f t="shared" si="47"/>
        <v>7811.8507437879152</v>
      </c>
    </row>
    <row r="43" spans="1:26" x14ac:dyDescent="0.2">
      <c r="A43" s="213" t="str">
        <f t="shared" ref="A43:B43" si="54">A128</f>
        <v>SMU</v>
      </c>
      <c r="B43" s="213" t="str">
        <f t="shared" si="54"/>
        <v>M937405</v>
      </c>
      <c r="C43" s="219">
        <f t="shared" si="37"/>
        <v>120040</v>
      </c>
      <c r="D43" s="219">
        <f t="shared" ref="D43:E43" si="55">F128*1000</f>
        <v>120.64</v>
      </c>
      <c r="E43" s="219">
        <f t="shared" si="55"/>
        <v>119980</v>
      </c>
      <c r="F43" s="219">
        <f t="shared" si="39"/>
        <v>60</v>
      </c>
      <c r="G43" s="219">
        <f t="shared" si="40"/>
        <v>-60</v>
      </c>
      <c r="H43" s="219">
        <f t="shared" si="41"/>
        <v>269</v>
      </c>
      <c r="I43" s="155">
        <f t="shared" si="27"/>
        <v>0</v>
      </c>
      <c r="J43" s="155">
        <f t="shared" si="28"/>
        <v>0</v>
      </c>
      <c r="K43" s="155">
        <f t="shared" si="29"/>
        <v>120</v>
      </c>
      <c r="L43" s="155">
        <f t="shared" si="30"/>
        <v>10</v>
      </c>
      <c r="M43" s="156">
        <f t="shared" si="31"/>
        <v>9.9966677774075308E-2</v>
      </c>
      <c r="N43" s="157">
        <f t="shared" si="32"/>
        <v>9.9966677774075315E-3</v>
      </c>
      <c r="O43" s="155">
        <f t="shared" si="33"/>
        <v>100</v>
      </c>
      <c r="P43" s="250">
        <v>1</v>
      </c>
      <c r="Q43" s="250">
        <v>1000</v>
      </c>
      <c r="R43" s="148">
        <f t="shared" si="34"/>
        <v>0.99966677774075308</v>
      </c>
      <c r="S43" s="148">
        <f t="shared" si="35"/>
        <v>9.9966677774075308E-2</v>
      </c>
      <c r="T43" s="148">
        <f t="shared" si="42"/>
        <v>9.9966677774075315E-3</v>
      </c>
      <c r="U43" s="148">
        <f t="shared" si="43"/>
        <v>0.99966677774075308</v>
      </c>
      <c r="V43" s="7">
        <f t="shared" si="44"/>
        <v>1000</v>
      </c>
      <c r="W43" s="7">
        <f t="shared" si="45"/>
        <v>1000000</v>
      </c>
      <c r="X43" s="1345">
        <f t="shared" si="46"/>
        <v>9.9966677774075308</v>
      </c>
      <c r="Y43" s="1345">
        <f t="shared" si="47"/>
        <v>999.6667777407531</v>
      </c>
    </row>
    <row r="44" spans="1:26" x14ac:dyDescent="0.2">
      <c r="A44" s="213" t="str">
        <f t="shared" ref="A44:B44" si="56">A129</f>
        <v>VNIIM</v>
      </c>
      <c r="B44" s="213" t="str">
        <f t="shared" si="56"/>
        <v>M937403</v>
      </c>
      <c r="C44" s="219">
        <f t="shared" si="37"/>
        <v>120240</v>
      </c>
      <c r="D44" s="219">
        <f t="shared" ref="D44:E44" si="57">F129*1000</f>
        <v>120.84</v>
      </c>
      <c r="E44" s="219">
        <f t="shared" si="57"/>
        <v>120000</v>
      </c>
      <c r="F44" s="219">
        <f t="shared" si="39"/>
        <v>285</v>
      </c>
      <c r="G44" s="219">
        <f t="shared" si="40"/>
        <v>-240</v>
      </c>
      <c r="H44" s="219">
        <f t="shared" si="41"/>
        <v>619</v>
      </c>
      <c r="I44" s="155">
        <f t="shared" si="27"/>
        <v>0</v>
      </c>
      <c r="J44" s="155">
        <f t="shared" si="28"/>
        <v>0</v>
      </c>
      <c r="K44" s="155">
        <f t="shared" si="29"/>
        <v>570</v>
      </c>
      <c r="L44" s="155">
        <f t="shared" si="30"/>
        <v>10</v>
      </c>
      <c r="M44" s="156">
        <f t="shared" si="31"/>
        <v>0.47405189620758487</v>
      </c>
      <c r="N44" s="157">
        <f t="shared" si="32"/>
        <v>4.7405189620758487E-2</v>
      </c>
      <c r="O44" s="155">
        <f t="shared" si="33"/>
        <v>100</v>
      </c>
      <c r="P44" s="250">
        <v>1</v>
      </c>
      <c r="Q44" s="250">
        <v>1000</v>
      </c>
      <c r="R44" s="148">
        <f t="shared" si="34"/>
        <v>4.740518962075849</v>
      </c>
      <c r="S44" s="148">
        <f t="shared" si="35"/>
        <v>0.47405189620758487</v>
      </c>
      <c r="T44" s="148">
        <f t="shared" si="42"/>
        <v>4.7405189620758494E-2</v>
      </c>
      <c r="U44" s="148">
        <f t="shared" si="43"/>
        <v>4.740518962075849</v>
      </c>
      <c r="V44" s="7">
        <f t="shared" si="44"/>
        <v>1000</v>
      </c>
      <c r="W44" s="7">
        <f t="shared" si="45"/>
        <v>1000000</v>
      </c>
      <c r="X44" s="1345">
        <f t="shared" si="46"/>
        <v>47.405189620758492</v>
      </c>
      <c r="Y44" s="1345">
        <f t="shared" si="47"/>
        <v>4740.5189620758492</v>
      </c>
    </row>
    <row r="45" spans="1:26" x14ac:dyDescent="0.2">
      <c r="A45" s="213" t="str">
        <f t="shared" ref="A45:B45" si="58">A130</f>
        <v>NMISA</v>
      </c>
      <c r="B45" s="213" t="str">
        <f t="shared" si="58"/>
        <v>M937424</v>
      </c>
      <c r="C45" s="219">
        <f t="shared" si="37"/>
        <v>119970</v>
      </c>
      <c r="D45" s="219">
        <f t="shared" ref="D45:E45" si="59">F130*1000</f>
        <v>120.57</v>
      </c>
      <c r="E45" s="219">
        <f t="shared" si="59"/>
        <v>120170</v>
      </c>
      <c r="F45" s="219">
        <f t="shared" si="39"/>
        <v>130</v>
      </c>
      <c r="G45" s="219">
        <f t="shared" si="40"/>
        <v>200</v>
      </c>
      <c r="H45" s="219">
        <f t="shared" si="41"/>
        <v>355</v>
      </c>
      <c r="I45" s="155">
        <f t="shared" si="27"/>
        <v>0</v>
      </c>
      <c r="J45" s="155">
        <f t="shared" si="28"/>
        <v>0</v>
      </c>
      <c r="K45" s="155">
        <f t="shared" si="29"/>
        <v>260</v>
      </c>
      <c r="L45" s="155">
        <f t="shared" si="30"/>
        <v>10</v>
      </c>
      <c r="M45" s="156">
        <f t="shared" si="31"/>
        <v>0.21672084687838628</v>
      </c>
      <c r="N45" s="157">
        <f t="shared" si="32"/>
        <v>2.1672084687838628E-2</v>
      </c>
      <c r="O45" s="155">
        <f t="shared" si="33"/>
        <v>100</v>
      </c>
      <c r="P45" s="250">
        <v>1</v>
      </c>
      <c r="Q45" s="250">
        <v>1000</v>
      </c>
      <c r="R45" s="148">
        <f t="shared" si="34"/>
        <v>2.1672084687838629</v>
      </c>
      <c r="S45" s="148">
        <f t="shared" si="35"/>
        <v>0.21672084687838628</v>
      </c>
      <c r="T45" s="148">
        <f t="shared" si="42"/>
        <v>2.1672084687838628E-2</v>
      </c>
      <c r="U45" s="148">
        <f t="shared" si="43"/>
        <v>2.1672084687838629</v>
      </c>
      <c r="V45" s="7">
        <f t="shared" si="44"/>
        <v>1000</v>
      </c>
      <c r="W45" s="7">
        <f t="shared" si="45"/>
        <v>1000000</v>
      </c>
      <c r="X45" s="1345">
        <f t="shared" si="46"/>
        <v>21.672084687838627</v>
      </c>
      <c r="Y45" s="1345">
        <f t="shared" si="47"/>
        <v>2167.2084687838628</v>
      </c>
    </row>
    <row r="46" spans="1:26" x14ac:dyDescent="0.2">
      <c r="A46" s="213" t="str">
        <f t="shared" ref="A46:B46" si="60">A131</f>
        <v>KRISS</v>
      </c>
      <c r="B46" s="213" t="str">
        <f t="shared" si="60"/>
        <v>M937414</v>
      </c>
      <c r="C46" s="219">
        <f t="shared" si="37"/>
        <v>119890</v>
      </c>
      <c r="D46" s="219">
        <f t="shared" ref="D46:E46" si="61">F131*1000</f>
        <v>120.49</v>
      </c>
      <c r="E46" s="219">
        <f t="shared" si="61"/>
        <v>119880</v>
      </c>
      <c r="F46" s="219">
        <f t="shared" si="39"/>
        <v>60</v>
      </c>
      <c r="G46" s="219">
        <f t="shared" si="40"/>
        <v>-10</v>
      </c>
      <c r="H46" s="219">
        <f t="shared" si="41"/>
        <v>269</v>
      </c>
      <c r="I46" s="155">
        <f t="shared" si="27"/>
        <v>0</v>
      </c>
      <c r="J46" s="155">
        <f t="shared" si="28"/>
        <v>0</v>
      </c>
      <c r="K46" s="155">
        <f t="shared" si="29"/>
        <v>120</v>
      </c>
      <c r="L46" s="155">
        <f t="shared" si="30"/>
        <v>10</v>
      </c>
      <c r="M46" s="156">
        <f t="shared" si="31"/>
        <v>0.10009175077154057</v>
      </c>
      <c r="N46" s="157">
        <f t="shared" si="32"/>
        <v>1.0009175077154058E-2</v>
      </c>
      <c r="O46" s="155">
        <f t="shared" si="33"/>
        <v>100</v>
      </c>
      <c r="P46" s="250">
        <v>1</v>
      </c>
      <c r="Q46" s="250">
        <v>1000</v>
      </c>
      <c r="R46" s="148">
        <f t="shared" si="34"/>
        <v>1.0009175077154058</v>
      </c>
      <c r="S46" s="148">
        <f t="shared" si="35"/>
        <v>0.10009175077154057</v>
      </c>
      <c r="T46" s="148">
        <f t="shared" si="42"/>
        <v>1.0009175077154058E-2</v>
      </c>
      <c r="U46" s="148">
        <f t="shared" si="43"/>
        <v>1.0009175077154058</v>
      </c>
      <c r="V46" s="7">
        <f t="shared" si="44"/>
        <v>1000</v>
      </c>
      <c r="W46" s="7">
        <f t="shared" si="45"/>
        <v>1000000</v>
      </c>
      <c r="X46" s="1345">
        <f t="shared" si="46"/>
        <v>10.009175077154058</v>
      </c>
      <c r="Y46" s="1345">
        <f t="shared" si="47"/>
        <v>1000.9175077154058</v>
      </c>
    </row>
    <row r="47" spans="1:26" x14ac:dyDescent="0.2">
      <c r="A47" s="213" t="str">
        <f t="shared" ref="A47:B47" si="62">A132</f>
        <v>IPQ</v>
      </c>
      <c r="B47" s="213" t="str">
        <f t="shared" si="62"/>
        <v>M937419</v>
      </c>
      <c r="C47" s="219">
        <f t="shared" si="37"/>
        <v>119920</v>
      </c>
      <c r="D47" s="219">
        <f t="shared" ref="D47:E47" si="63">F132*1000</f>
        <v>120.52</v>
      </c>
      <c r="E47" s="219">
        <f t="shared" si="63"/>
        <v>120610</v>
      </c>
      <c r="F47" s="219">
        <f t="shared" si="39"/>
        <v>160</v>
      </c>
      <c r="G47" s="219">
        <f t="shared" si="40"/>
        <v>690</v>
      </c>
      <c r="H47" s="219">
        <f t="shared" si="41"/>
        <v>401</v>
      </c>
      <c r="I47" s="155">
        <f t="shared" si="27"/>
        <v>1</v>
      </c>
      <c r="J47" s="155">
        <f t="shared" si="28"/>
        <v>690</v>
      </c>
      <c r="K47" s="155">
        <f t="shared" si="29"/>
        <v>1416.6156853571824</v>
      </c>
      <c r="L47" s="155">
        <f t="shared" si="30"/>
        <v>10</v>
      </c>
      <c r="M47" s="156">
        <f t="shared" si="31"/>
        <v>1.1813006048675638</v>
      </c>
      <c r="N47" s="157">
        <f t="shared" si="32"/>
        <v>0.11813006048675639</v>
      </c>
      <c r="O47" s="155">
        <f t="shared" si="33"/>
        <v>100</v>
      </c>
      <c r="P47" s="250">
        <v>1</v>
      </c>
      <c r="Q47" s="250">
        <v>1000</v>
      </c>
      <c r="R47" s="148">
        <f t="shared" si="34"/>
        <v>11.813006048675639</v>
      </c>
      <c r="S47" s="148">
        <f t="shared" si="35"/>
        <v>1.1813006048675638</v>
      </c>
      <c r="T47" s="148">
        <f t="shared" si="42"/>
        <v>0.11813006048675639</v>
      </c>
      <c r="U47" s="148">
        <f t="shared" si="43"/>
        <v>11.813006048675639</v>
      </c>
      <c r="V47" s="7">
        <f t="shared" si="44"/>
        <v>1000</v>
      </c>
      <c r="W47" s="7">
        <f t="shared" si="45"/>
        <v>1000000</v>
      </c>
      <c r="X47" s="1345">
        <f t="shared" si="46"/>
        <v>118.13006048675639</v>
      </c>
      <c r="Y47" s="1345">
        <f t="shared" si="47"/>
        <v>11813.006048675639</v>
      </c>
    </row>
    <row r="48" spans="1:26" x14ac:dyDescent="0.2">
      <c r="A48" s="213" t="str">
        <f t="shared" ref="A48:B48" si="64">A133</f>
        <v>INMETRO</v>
      </c>
      <c r="B48" s="213" t="str">
        <f t="shared" si="64"/>
        <v>M937401</v>
      </c>
      <c r="C48" s="219">
        <f t="shared" si="37"/>
        <v>119900</v>
      </c>
      <c r="D48" s="219">
        <f t="shared" ref="D48:E48" si="65">F133*1000</f>
        <v>120.5</v>
      </c>
      <c r="E48" s="219">
        <f t="shared" si="65"/>
        <v>119720</v>
      </c>
      <c r="F48" s="219">
        <f t="shared" si="39"/>
        <v>555</v>
      </c>
      <c r="G48" s="219">
        <f t="shared" si="40"/>
        <v>-180</v>
      </c>
      <c r="H48" s="219">
        <f t="shared" si="41"/>
        <v>1136</v>
      </c>
      <c r="I48" s="155">
        <f t="shared" si="27"/>
        <v>0</v>
      </c>
      <c r="J48" s="155">
        <f t="shared" si="28"/>
        <v>0</v>
      </c>
      <c r="K48" s="155">
        <f t="shared" si="29"/>
        <v>1110</v>
      </c>
      <c r="L48" s="155">
        <f t="shared" si="30"/>
        <v>10</v>
      </c>
      <c r="M48" s="156">
        <f t="shared" si="31"/>
        <v>0.92577147623019185</v>
      </c>
      <c r="N48" s="157">
        <f t="shared" si="32"/>
        <v>9.257714762301919E-2</v>
      </c>
      <c r="O48" s="155">
        <f t="shared" si="33"/>
        <v>100</v>
      </c>
      <c r="P48" s="250">
        <v>1</v>
      </c>
      <c r="Q48" s="250">
        <v>1000</v>
      </c>
      <c r="R48" s="148">
        <f t="shared" si="34"/>
        <v>9.2577147623019194</v>
      </c>
      <c r="S48" s="148">
        <f t="shared" si="35"/>
        <v>0.92577147623019185</v>
      </c>
      <c r="T48" s="148">
        <f t="shared" si="42"/>
        <v>9.257714762301919E-2</v>
      </c>
      <c r="U48" s="148">
        <f t="shared" si="43"/>
        <v>9.2577147623019194</v>
      </c>
      <c r="V48" s="7">
        <f t="shared" si="44"/>
        <v>1000</v>
      </c>
      <c r="W48" s="7">
        <f t="shared" si="45"/>
        <v>1000000</v>
      </c>
      <c r="X48" s="1345">
        <f t="shared" si="46"/>
        <v>92.577147623019187</v>
      </c>
      <c r="Y48" s="1345">
        <f t="shared" si="47"/>
        <v>9257.7147623019191</v>
      </c>
    </row>
    <row r="49" spans="1:26" ht="14.25" x14ac:dyDescent="0.2">
      <c r="H49" s="9"/>
      <c r="X49" s="21"/>
      <c r="Y49" s="21"/>
      <c r="Z49" s="21"/>
    </row>
    <row r="50" spans="1:26" ht="15.75" x14ac:dyDescent="0.2">
      <c r="A50" s="778" t="s">
        <v>723</v>
      </c>
      <c r="B50" s="97"/>
      <c r="C50" s="97"/>
      <c r="D50" s="97"/>
      <c r="E50" s="97"/>
      <c r="F50" s="97"/>
      <c r="G50" s="97"/>
      <c r="H50" s="97"/>
      <c r="I50" s="113"/>
      <c r="J50" s="113"/>
      <c r="K50" s="113"/>
      <c r="L50" s="113"/>
      <c r="M50" s="113"/>
      <c r="N50" s="113"/>
      <c r="O50" s="113"/>
      <c r="R50" s="113"/>
      <c r="S50" s="113"/>
      <c r="T50" s="146"/>
      <c r="U50" s="146"/>
    </row>
    <row r="51" spans="1:26" ht="102" x14ac:dyDescent="0.2">
      <c r="A51" s="211" t="s">
        <v>0</v>
      </c>
      <c r="B51" s="212" t="s">
        <v>1</v>
      </c>
      <c r="C51" s="212" t="s">
        <v>133</v>
      </c>
      <c r="D51" s="212" t="s">
        <v>199</v>
      </c>
      <c r="E51" s="212" t="s">
        <v>135</v>
      </c>
      <c r="F51" s="212" t="s">
        <v>200</v>
      </c>
      <c r="G51" s="212" t="s">
        <v>137</v>
      </c>
      <c r="H51" s="212" t="s">
        <v>201</v>
      </c>
      <c r="I51" s="104" t="s">
        <v>8</v>
      </c>
      <c r="J51" s="104" t="s">
        <v>9</v>
      </c>
      <c r="K51" s="104" t="s">
        <v>107</v>
      </c>
      <c r="L51" s="104" t="s">
        <v>14</v>
      </c>
      <c r="M51" s="104" t="s">
        <v>12</v>
      </c>
      <c r="N51" s="104" t="s">
        <v>1058</v>
      </c>
      <c r="O51" s="104" t="s">
        <v>100</v>
      </c>
      <c r="P51" s="6" t="s">
        <v>105</v>
      </c>
      <c r="Q51" s="6" t="s">
        <v>106</v>
      </c>
      <c r="R51" s="104" t="s">
        <v>70</v>
      </c>
      <c r="S51" s="104" t="s">
        <v>71</v>
      </c>
      <c r="T51" s="147" t="s">
        <v>80</v>
      </c>
      <c r="U51" s="147" t="s">
        <v>81</v>
      </c>
      <c r="V51" s="5" t="s">
        <v>101</v>
      </c>
      <c r="W51" s="5" t="s">
        <v>102</v>
      </c>
      <c r="X51" s="112" t="s">
        <v>103</v>
      </c>
      <c r="Y51" s="112" t="s">
        <v>104</v>
      </c>
    </row>
    <row r="52" spans="1:26" x14ac:dyDescent="0.2">
      <c r="A52" s="213" t="str">
        <f>A137</f>
        <v>NIST</v>
      </c>
      <c r="B52" s="213" t="str">
        <f>B137</f>
        <v>M937423</v>
      </c>
      <c r="C52" s="213">
        <f>C137</f>
        <v>5.9744999999999999</v>
      </c>
      <c r="D52" s="777">
        <f>F137</f>
        <v>7.0299999999999998E-3</v>
      </c>
      <c r="E52" s="777">
        <f>G137</f>
        <v>5.9790000000000001</v>
      </c>
      <c r="F52" s="777">
        <f>H137/I137</f>
        <v>7.4999999999999997E-3</v>
      </c>
      <c r="G52" s="777">
        <f>J137</f>
        <v>4.4999999999999997E-3</v>
      </c>
      <c r="H52" s="777">
        <f>M137</f>
        <v>2.06E-2</v>
      </c>
      <c r="I52" s="155">
        <f t="shared" ref="I52:I62" si="66">IF(ABS(G52)&gt;ABS(H52), 1, 0)</f>
        <v>0</v>
      </c>
      <c r="J52" s="155">
        <f t="shared" ref="J52:J62" si="67">I52*ABS(C52-E52)</f>
        <v>0</v>
      </c>
      <c r="K52" s="155">
        <f t="shared" ref="K52:K62" si="68">SQRT(SUMSQ(F52,J52))*2</f>
        <v>1.4999999999999999E-2</v>
      </c>
      <c r="L52" s="155">
        <f t="shared" ref="L52:L62" si="69">IF(C52&lt;$K$2, C52, $K$1)</f>
        <v>10</v>
      </c>
      <c r="M52" s="156">
        <f t="shared" ref="M52:M62" si="70">IF(AND(C52&lt;$K$1,C52&gt; $K$2), K52/L52*100, K52/C52*100)</f>
        <v>0.15</v>
      </c>
      <c r="N52" s="157">
        <f t="shared" ref="N52:N62" si="71">M52*L52/100</f>
        <v>1.4999999999999999E-2</v>
      </c>
      <c r="O52" s="155">
        <f t="shared" ref="O52:O62" si="72">N52/(M52*L52/100)*100</f>
        <v>100</v>
      </c>
      <c r="P52" s="250">
        <v>1</v>
      </c>
      <c r="Q52" s="250">
        <v>1000</v>
      </c>
      <c r="R52" s="148">
        <f t="shared" ref="R52:R60" si="73">IF( IF(P52&lt;L52, M52*L52/P52, M52)&gt;100, "ERROR",  IF(P52&lt;L52, M52*L52/P52, M52))</f>
        <v>1.5</v>
      </c>
      <c r="S52" s="148">
        <f t="shared" ref="S52:S60" si="74">IF(IF(Q52&lt;L52, M52*L52/Q52, M52)&gt;100, "ERROR", IF(Q52&lt;L52, M52*L52/Q52, M52))</f>
        <v>0.15</v>
      </c>
      <c r="T52" s="148">
        <f>R52*P52*0.01</f>
        <v>1.4999999999999999E-2</v>
      </c>
      <c r="U52" s="148">
        <f>S52*Q52*0.01</f>
        <v>1.5</v>
      </c>
      <c r="V52" s="7">
        <f>P52*1000</f>
        <v>1000</v>
      </c>
      <c r="W52" s="7">
        <f>Q52*1000</f>
        <v>1000000</v>
      </c>
      <c r="X52" s="1345">
        <f>T52*1000</f>
        <v>15</v>
      </c>
      <c r="Y52" s="1345">
        <f>U52*1000</f>
        <v>1500</v>
      </c>
    </row>
    <row r="53" spans="1:26" x14ac:dyDescent="0.2">
      <c r="A53" s="213" t="str">
        <f t="shared" ref="A53:C53" si="75">A138</f>
        <v>NIM</v>
      </c>
      <c r="B53" s="213" t="str">
        <f t="shared" si="75"/>
        <v>M937410</v>
      </c>
      <c r="C53" s="213">
        <f t="shared" si="75"/>
        <v>5.9757999999999996</v>
      </c>
      <c r="D53" s="777">
        <f t="shared" ref="D53:E53" si="76">F138</f>
        <v>7.0299999999999998E-3</v>
      </c>
      <c r="E53" s="777">
        <f t="shared" si="76"/>
        <v>5.9690000000000003</v>
      </c>
      <c r="F53" s="777">
        <f t="shared" ref="F53:F62" si="77">H138/I138</f>
        <v>1.7999999999999999E-2</v>
      </c>
      <c r="G53" s="777">
        <f t="shared" ref="G53:G62" si="78">J138</f>
        <v>-6.7999999999999996E-3</v>
      </c>
      <c r="H53" s="777">
        <f t="shared" ref="H53:H62" si="79">M138</f>
        <v>3.8600000000000002E-2</v>
      </c>
      <c r="I53" s="155">
        <f t="shared" si="66"/>
        <v>0</v>
      </c>
      <c r="J53" s="155">
        <f t="shared" si="67"/>
        <v>0</v>
      </c>
      <c r="K53" s="155">
        <f t="shared" si="68"/>
        <v>3.5999999999999997E-2</v>
      </c>
      <c r="L53" s="155">
        <f t="shared" si="69"/>
        <v>10</v>
      </c>
      <c r="M53" s="156">
        <f t="shared" si="70"/>
        <v>0.36</v>
      </c>
      <c r="N53" s="157">
        <f t="shared" si="71"/>
        <v>3.5999999999999997E-2</v>
      </c>
      <c r="O53" s="155">
        <f t="shared" si="72"/>
        <v>100</v>
      </c>
      <c r="P53" s="250">
        <v>1</v>
      </c>
      <c r="Q53" s="250">
        <v>1000</v>
      </c>
      <c r="R53" s="148">
        <f t="shared" si="73"/>
        <v>3.5999999999999996</v>
      </c>
      <c r="S53" s="148">
        <f t="shared" si="74"/>
        <v>0.36</v>
      </c>
      <c r="T53" s="148">
        <f t="shared" ref="T53:T62" si="80">R53*P53*0.01</f>
        <v>3.5999999999999997E-2</v>
      </c>
      <c r="U53" s="148">
        <f t="shared" ref="U53:U62" si="81">S53*Q53*0.01</f>
        <v>3.6</v>
      </c>
      <c r="V53" s="7">
        <f t="shared" ref="V53:V62" si="82">P53*1000</f>
        <v>1000</v>
      </c>
      <c r="W53" s="7">
        <f t="shared" ref="W53:W62" si="83">Q53*1000</f>
        <v>1000000</v>
      </c>
      <c r="X53" s="1345">
        <f t="shared" ref="X53:X62" si="84">T53*1000</f>
        <v>36</v>
      </c>
      <c r="Y53" s="1345">
        <f t="shared" ref="Y53:Y62" si="85">U53*1000</f>
        <v>3600</v>
      </c>
    </row>
    <row r="54" spans="1:26" x14ac:dyDescent="0.2">
      <c r="A54" s="213" t="str">
        <f t="shared" ref="A54:C54" si="86">A139</f>
        <v>NPL</v>
      </c>
      <c r="B54" s="213" t="str">
        <f t="shared" si="86"/>
        <v>M937411</v>
      </c>
      <c r="C54" s="213">
        <f t="shared" si="86"/>
        <v>5.9691999999999998</v>
      </c>
      <c r="D54" s="777">
        <f t="shared" ref="D54:E54" si="87">F139</f>
        <v>7.0200000000000002E-3</v>
      </c>
      <c r="E54" s="777">
        <f t="shared" si="87"/>
        <v>5.98</v>
      </c>
      <c r="F54" s="777">
        <f t="shared" si="77"/>
        <v>0.01</v>
      </c>
      <c r="G54" s="777">
        <f t="shared" si="78"/>
        <v>1.0800000000000001E-2</v>
      </c>
      <c r="H54" s="777">
        <f t="shared" si="79"/>
        <v>2.4400000000000002E-2</v>
      </c>
      <c r="I54" s="155">
        <f t="shared" si="66"/>
        <v>0</v>
      </c>
      <c r="J54" s="155">
        <f t="shared" si="67"/>
        <v>0</v>
      </c>
      <c r="K54" s="155">
        <f t="shared" si="68"/>
        <v>0.02</v>
      </c>
      <c r="L54" s="155">
        <f t="shared" si="69"/>
        <v>10</v>
      </c>
      <c r="M54" s="156">
        <f t="shared" si="70"/>
        <v>0.2</v>
      </c>
      <c r="N54" s="157">
        <f t="shared" si="71"/>
        <v>0.02</v>
      </c>
      <c r="O54" s="155">
        <f t="shared" si="72"/>
        <v>100</v>
      </c>
      <c r="P54" s="250">
        <v>1</v>
      </c>
      <c r="Q54" s="250">
        <v>1000</v>
      </c>
      <c r="R54" s="148">
        <f t="shared" si="73"/>
        <v>2</v>
      </c>
      <c r="S54" s="148">
        <f t="shared" si="74"/>
        <v>0.2</v>
      </c>
      <c r="T54" s="148">
        <f t="shared" si="80"/>
        <v>0.02</v>
      </c>
      <c r="U54" s="148">
        <f t="shared" si="81"/>
        <v>2</v>
      </c>
      <c r="V54" s="7">
        <f t="shared" si="82"/>
        <v>1000</v>
      </c>
      <c r="W54" s="7">
        <f t="shared" si="83"/>
        <v>1000000</v>
      </c>
      <c r="X54" s="1345">
        <f t="shared" si="84"/>
        <v>20</v>
      </c>
      <c r="Y54" s="1345">
        <f t="shared" si="85"/>
        <v>2000</v>
      </c>
    </row>
    <row r="55" spans="1:26" x14ac:dyDescent="0.2">
      <c r="A55" s="213" t="str">
        <f t="shared" ref="A55:C55" si="88">A140</f>
        <v>VSL</v>
      </c>
      <c r="B55" s="213" t="str">
        <f t="shared" si="88"/>
        <v>M937400</v>
      </c>
      <c r="C55" s="213">
        <f t="shared" si="88"/>
        <v>5.9770000000000003</v>
      </c>
      <c r="D55" s="777">
        <f t="shared" ref="D55:E55" si="89">F140</f>
        <v>7.0299999999999998E-3</v>
      </c>
      <c r="E55" s="777">
        <f t="shared" si="89"/>
        <v>5.98</v>
      </c>
      <c r="F55" s="777">
        <f t="shared" si="77"/>
        <v>8.5000000000000006E-3</v>
      </c>
      <c r="G55" s="777">
        <f t="shared" si="78"/>
        <v>3.0000000000000001E-3</v>
      </c>
      <c r="H55" s="777">
        <f t="shared" si="79"/>
        <v>2.2100000000000002E-2</v>
      </c>
      <c r="I55" s="155">
        <f t="shared" si="66"/>
        <v>0</v>
      </c>
      <c r="J55" s="155">
        <f t="shared" si="67"/>
        <v>0</v>
      </c>
      <c r="K55" s="155">
        <f t="shared" si="68"/>
        <v>1.7000000000000001E-2</v>
      </c>
      <c r="L55" s="155">
        <f t="shared" si="69"/>
        <v>10</v>
      </c>
      <c r="M55" s="156">
        <f t="shared" si="70"/>
        <v>0.17</v>
      </c>
      <c r="N55" s="157">
        <f t="shared" si="71"/>
        <v>1.7000000000000001E-2</v>
      </c>
      <c r="O55" s="155">
        <f t="shared" si="72"/>
        <v>100</v>
      </c>
      <c r="P55" s="250">
        <v>1</v>
      </c>
      <c r="Q55" s="250">
        <v>1000</v>
      </c>
      <c r="R55" s="148">
        <f t="shared" si="73"/>
        <v>1.7000000000000002</v>
      </c>
      <c r="S55" s="148">
        <f t="shared" si="74"/>
        <v>0.17</v>
      </c>
      <c r="T55" s="148">
        <f t="shared" si="80"/>
        <v>1.7000000000000001E-2</v>
      </c>
      <c r="U55" s="148">
        <f t="shared" si="81"/>
        <v>1.7</v>
      </c>
      <c r="V55" s="7">
        <f t="shared" si="82"/>
        <v>1000</v>
      </c>
      <c r="W55" s="7">
        <f t="shared" si="83"/>
        <v>1000000</v>
      </c>
      <c r="X55" s="1345">
        <f t="shared" si="84"/>
        <v>17</v>
      </c>
      <c r="Y55" s="1345">
        <f t="shared" si="85"/>
        <v>1700</v>
      </c>
    </row>
    <row r="56" spans="1:26" x14ac:dyDescent="0.2">
      <c r="A56" s="213" t="str">
        <f t="shared" ref="A56:C56" si="90">A141</f>
        <v>CENAM</v>
      </c>
      <c r="B56" s="213" t="str">
        <f t="shared" si="90"/>
        <v>M937407</v>
      </c>
      <c r="C56" s="213">
        <f t="shared" si="90"/>
        <v>5.9550000000000001</v>
      </c>
      <c r="D56" s="777">
        <f t="shared" ref="D56:E56" si="91">F141</f>
        <v>7.0099999999999997E-3</v>
      </c>
      <c r="E56" s="777">
        <f t="shared" si="91"/>
        <v>5.9340000000000002</v>
      </c>
      <c r="F56" s="777">
        <f t="shared" si="77"/>
        <v>1.7000000000000001E-2</v>
      </c>
      <c r="G56" s="777">
        <f t="shared" si="78"/>
        <v>-2.1000000000000001E-2</v>
      </c>
      <c r="H56" s="777">
        <f t="shared" si="79"/>
        <v>3.6799999999999999E-2</v>
      </c>
      <c r="I56" s="155">
        <f t="shared" si="66"/>
        <v>0</v>
      </c>
      <c r="J56" s="155">
        <f t="shared" si="67"/>
        <v>0</v>
      </c>
      <c r="K56" s="155">
        <f t="shared" si="68"/>
        <v>3.4000000000000002E-2</v>
      </c>
      <c r="L56" s="155">
        <f t="shared" si="69"/>
        <v>10</v>
      </c>
      <c r="M56" s="156">
        <f t="shared" si="70"/>
        <v>0.34</v>
      </c>
      <c r="N56" s="157">
        <f t="shared" si="71"/>
        <v>3.4000000000000002E-2</v>
      </c>
      <c r="O56" s="155">
        <f t="shared" si="72"/>
        <v>100</v>
      </c>
      <c r="P56" s="250">
        <v>1</v>
      </c>
      <c r="Q56" s="250">
        <v>1000</v>
      </c>
      <c r="R56" s="148">
        <f t="shared" si="73"/>
        <v>3.4000000000000004</v>
      </c>
      <c r="S56" s="148">
        <f t="shared" si="74"/>
        <v>0.34</v>
      </c>
      <c r="T56" s="148">
        <f t="shared" si="80"/>
        <v>3.4000000000000002E-2</v>
      </c>
      <c r="U56" s="148">
        <f t="shared" si="81"/>
        <v>3.4</v>
      </c>
      <c r="V56" s="7">
        <f t="shared" si="82"/>
        <v>1000</v>
      </c>
      <c r="W56" s="7">
        <f t="shared" si="83"/>
        <v>1000000</v>
      </c>
      <c r="X56" s="1345">
        <f t="shared" si="84"/>
        <v>34</v>
      </c>
      <c r="Y56" s="1345">
        <f t="shared" si="85"/>
        <v>3400</v>
      </c>
    </row>
    <row r="57" spans="1:26" x14ac:dyDescent="0.2">
      <c r="A57" s="213" t="str">
        <f t="shared" ref="A57:C57" si="92">A142</f>
        <v>SMU</v>
      </c>
      <c r="B57" s="213" t="str">
        <f t="shared" si="92"/>
        <v>M937405</v>
      </c>
      <c r="C57" s="213">
        <f t="shared" si="92"/>
        <v>5.9812000000000003</v>
      </c>
      <c r="D57" s="777">
        <f t="shared" ref="D57:E57" si="93">F142</f>
        <v>7.0299999999999998E-3</v>
      </c>
      <c r="E57" s="777">
        <f t="shared" si="93"/>
        <v>6.0039999999999996</v>
      </c>
      <c r="F57" s="777">
        <f t="shared" si="77"/>
        <v>2.9000000000000001E-2</v>
      </c>
      <c r="G57" s="777">
        <f t="shared" si="78"/>
        <v>2.2800000000000001E-2</v>
      </c>
      <c r="H57" s="777">
        <f t="shared" si="79"/>
        <v>5.9700000000000003E-2</v>
      </c>
      <c r="I57" s="155">
        <f t="shared" si="66"/>
        <v>0</v>
      </c>
      <c r="J57" s="155">
        <f t="shared" si="67"/>
        <v>0</v>
      </c>
      <c r="K57" s="155">
        <f t="shared" si="68"/>
        <v>5.8000000000000003E-2</v>
      </c>
      <c r="L57" s="155">
        <f t="shared" si="69"/>
        <v>10</v>
      </c>
      <c r="M57" s="156">
        <f t="shared" si="70"/>
        <v>0.58000000000000007</v>
      </c>
      <c r="N57" s="157">
        <f t="shared" si="71"/>
        <v>5.800000000000001E-2</v>
      </c>
      <c r="O57" s="155">
        <f t="shared" si="72"/>
        <v>100</v>
      </c>
      <c r="P57" s="250">
        <v>1</v>
      </c>
      <c r="Q57" s="250">
        <v>1000</v>
      </c>
      <c r="R57" s="148">
        <f t="shared" si="73"/>
        <v>5.8000000000000007</v>
      </c>
      <c r="S57" s="148">
        <f t="shared" si="74"/>
        <v>0.58000000000000007</v>
      </c>
      <c r="T57" s="148">
        <f t="shared" si="80"/>
        <v>5.800000000000001E-2</v>
      </c>
      <c r="U57" s="148">
        <f t="shared" si="81"/>
        <v>5.8000000000000016</v>
      </c>
      <c r="V57" s="7">
        <f t="shared" si="82"/>
        <v>1000</v>
      </c>
      <c r="W57" s="7">
        <f t="shared" si="83"/>
        <v>1000000</v>
      </c>
      <c r="X57" s="1345">
        <f t="shared" si="84"/>
        <v>58.000000000000007</v>
      </c>
      <c r="Y57" s="1345">
        <f t="shared" si="85"/>
        <v>5800.0000000000018</v>
      </c>
    </row>
    <row r="58" spans="1:26" x14ac:dyDescent="0.2">
      <c r="A58" s="213" t="str">
        <f t="shared" ref="A58:C58" si="94">A143</f>
        <v>VNIIM</v>
      </c>
      <c r="B58" s="213" t="str">
        <f t="shared" si="94"/>
        <v>M937403</v>
      </c>
      <c r="C58" s="213">
        <f t="shared" si="94"/>
        <v>5.9793000000000003</v>
      </c>
      <c r="D58" s="777">
        <f t="shared" ref="D58:E58" si="95">F143</f>
        <v>7.0299999999999998E-3</v>
      </c>
      <c r="E58" s="777">
        <f t="shared" si="95"/>
        <v>5.9009999999999998</v>
      </c>
      <c r="F58" s="777">
        <f t="shared" si="77"/>
        <v>2.1499999999999998E-2</v>
      </c>
      <c r="G58" s="777">
        <f t="shared" si="78"/>
        <v>-7.8299999999999995E-2</v>
      </c>
      <c r="H58" s="777">
        <f t="shared" si="79"/>
        <v>4.5199999999999997E-2</v>
      </c>
      <c r="I58" s="155">
        <f t="shared" si="66"/>
        <v>1</v>
      </c>
      <c r="J58" s="155">
        <f t="shared" si="67"/>
        <v>7.830000000000048E-2</v>
      </c>
      <c r="K58" s="155">
        <f t="shared" si="68"/>
        <v>0.16239630537669353</v>
      </c>
      <c r="L58" s="155">
        <f t="shared" si="69"/>
        <v>10</v>
      </c>
      <c r="M58" s="156">
        <f t="shared" si="70"/>
        <v>1.6239630537669352</v>
      </c>
      <c r="N58" s="157">
        <f t="shared" si="71"/>
        <v>0.16239630537669353</v>
      </c>
      <c r="O58" s="155">
        <f t="shared" si="72"/>
        <v>100</v>
      </c>
      <c r="P58" s="250">
        <v>1</v>
      </c>
      <c r="Q58" s="250">
        <v>1000</v>
      </c>
      <c r="R58" s="148">
        <f t="shared" si="73"/>
        <v>16.239630537669353</v>
      </c>
      <c r="S58" s="148">
        <f t="shared" si="74"/>
        <v>1.6239630537669352</v>
      </c>
      <c r="T58" s="148">
        <f t="shared" si="80"/>
        <v>0.16239630537669353</v>
      </c>
      <c r="U58" s="148">
        <f t="shared" si="81"/>
        <v>16.239630537669353</v>
      </c>
      <c r="V58" s="7">
        <f t="shared" si="82"/>
        <v>1000</v>
      </c>
      <c r="W58" s="7">
        <f t="shared" si="83"/>
        <v>1000000</v>
      </c>
      <c r="X58" s="1345">
        <f t="shared" si="84"/>
        <v>162.39630537669353</v>
      </c>
      <c r="Y58" s="1345">
        <f t="shared" si="85"/>
        <v>16239.630537669353</v>
      </c>
    </row>
    <row r="59" spans="1:26" x14ac:dyDescent="0.2">
      <c r="A59" s="213" t="str">
        <f t="shared" ref="A59:C59" si="96">A144</f>
        <v>NMISA</v>
      </c>
      <c r="B59" s="213" t="str">
        <f t="shared" si="96"/>
        <v>M937424</v>
      </c>
      <c r="C59" s="213">
        <f t="shared" si="96"/>
        <v>5.976</v>
      </c>
      <c r="D59" s="777">
        <f t="shared" ref="D59:E59" si="97">F144</f>
        <v>7.0299999999999998E-3</v>
      </c>
      <c r="E59" s="777">
        <f t="shared" si="97"/>
        <v>6.048</v>
      </c>
      <c r="F59" s="777">
        <f t="shared" si="77"/>
        <v>1.4999999999999999E-2</v>
      </c>
      <c r="G59" s="777">
        <f t="shared" si="78"/>
        <v>7.1999999999999995E-2</v>
      </c>
      <c r="H59" s="777">
        <f t="shared" si="79"/>
        <v>3.3099999999999997E-2</v>
      </c>
      <c r="I59" s="155">
        <f t="shared" si="66"/>
        <v>1</v>
      </c>
      <c r="J59" s="155">
        <f t="shared" si="67"/>
        <v>7.2000000000000064E-2</v>
      </c>
      <c r="K59" s="155">
        <f t="shared" si="68"/>
        <v>0.14709180806557529</v>
      </c>
      <c r="L59" s="155">
        <f t="shared" si="69"/>
        <v>10</v>
      </c>
      <c r="M59" s="156">
        <f t="shared" si="70"/>
        <v>1.4709180806557527</v>
      </c>
      <c r="N59" s="157">
        <f t="shared" si="71"/>
        <v>0.14709180806557526</v>
      </c>
      <c r="O59" s="155">
        <f t="shared" si="72"/>
        <v>100</v>
      </c>
      <c r="P59" s="250">
        <v>1</v>
      </c>
      <c r="Q59" s="250">
        <v>1000</v>
      </c>
      <c r="R59" s="148">
        <f t="shared" si="73"/>
        <v>14.709180806557526</v>
      </c>
      <c r="S59" s="148">
        <f t="shared" si="74"/>
        <v>1.4709180806557527</v>
      </c>
      <c r="T59" s="148">
        <f t="shared" si="80"/>
        <v>0.14709180806557526</v>
      </c>
      <c r="U59" s="148">
        <f t="shared" si="81"/>
        <v>14.709180806557526</v>
      </c>
      <c r="V59" s="7">
        <f t="shared" si="82"/>
        <v>1000</v>
      </c>
      <c r="W59" s="7">
        <f t="shared" si="83"/>
        <v>1000000</v>
      </c>
      <c r="X59" s="1345">
        <f t="shared" si="84"/>
        <v>147.09180806557526</v>
      </c>
      <c r="Y59" s="1345">
        <f t="shared" si="85"/>
        <v>14709.180806557526</v>
      </c>
    </row>
    <row r="60" spans="1:26" x14ac:dyDescent="0.2">
      <c r="A60" s="213" t="str">
        <f t="shared" ref="A60:C60" si="98">A145</f>
        <v>KRISS</v>
      </c>
      <c r="B60" s="213" t="str">
        <f t="shared" si="98"/>
        <v>M937414</v>
      </c>
      <c r="C60" s="213">
        <f t="shared" si="98"/>
        <v>5.9786999999999999</v>
      </c>
      <c r="D60" s="777">
        <f t="shared" ref="D60:E60" si="99">F145</f>
        <v>7.0299999999999998E-3</v>
      </c>
      <c r="E60" s="777">
        <f t="shared" si="99"/>
        <v>5.98</v>
      </c>
      <c r="F60" s="777">
        <f t="shared" si="77"/>
        <v>0.03</v>
      </c>
      <c r="G60" s="777">
        <f t="shared" si="78"/>
        <v>1.2999999999999999E-3</v>
      </c>
      <c r="H60" s="777">
        <f t="shared" si="79"/>
        <v>6.1600000000000002E-2</v>
      </c>
      <c r="I60" s="155">
        <f t="shared" si="66"/>
        <v>0</v>
      </c>
      <c r="J60" s="155">
        <f t="shared" si="67"/>
        <v>0</v>
      </c>
      <c r="K60" s="155">
        <f t="shared" si="68"/>
        <v>0.06</v>
      </c>
      <c r="L60" s="155">
        <f t="shared" si="69"/>
        <v>10</v>
      </c>
      <c r="M60" s="156">
        <f t="shared" si="70"/>
        <v>0.6</v>
      </c>
      <c r="N60" s="157">
        <f t="shared" si="71"/>
        <v>0.06</v>
      </c>
      <c r="O60" s="155">
        <f t="shared" si="72"/>
        <v>100</v>
      </c>
      <c r="P60" s="250">
        <v>1</v>
      </c>
      <c r="Q60" s="250">
        <v>1000</v>
      </c>
      <c r="R60" s="148">
        <f t="shared" si="73"/>
        <v>6</v>
      </c>
      <c r="S60" s="148">
        <f t="shared" si="74"/>
        <v>0.6</v>
      </c>
      <c r="T60" s="148">
        <f t="shared" si="80"/>
        <v>0.06</v>
      </c>
      <c r="U60" s="148">
        <f t="shared" si="81"/>
        <v>6</v>
      </c>
      <c r="V60" s="7">
        <f t="shared" si="82"/>
        <v>1000</v>
      </c>
      <c r="W60" s="7">
        <f t="shared" si="83"/>
        <v>1000000</v>
      </c>
      <c r="X60" s="1345">
        <f t="shared" si="84"/>
        <v>60</v>
      </c>
      <c r="Y60" s="1345">
        <f t="shared" si="85"/>
        <v>6000</v>
      </c>
    </row>
    <row r="61" spans="1:26" x14ac:dyDescent="0.2">
      <c r="A61" s="213" t="str">
        <f t="shared" ref="A61" si="100">A146</f>
        <v>IPQ</v>
      </c>
      <c r="B61" s="213"/>
      <c r="C61" s="213"/>
      <c r="D61" s="777"/>
      <c r="E61" s="777"/>
      <c r="F61" s="777"/>
      <c r="G61" s="777"/>
      <c r="H61" s="777"/>
      <c r="I61" s="155"/>
      <c r="J61" s="155"/>
      <c r="K61" s="155"/>
      <c r="L61" s="155"/>
      <c r="M61" s="156"/>
      <c r="N61" s="157"/>
      <c r="O61" s="155"/>
      <c r="P61" s="250"/>
      <c r="Q61" s="250"/>
      <c r="R61" s="148"/>
      <c r="S61" s="148"/>
      <c r="T61" s="148"/>
      <c r="U61" s="148"/>
      <c r="V61" s="7"/>
      <c r="W61" s="7"/>
      <c r="X61" s="1345"/>
      <c r="Y61" s="1345"/>
    </row>
    <row r="62" spans="1:26" x14ac:dyDescent="0.2">
      <c r="A62" s="213" t="str">
        <f t="shared" ref="A62:C62" si="101">A147</f>
        <v>INMETRO</v>
      </c>
      <c r="B62" s="213" t="str">
        <f t="shared" si="101"/>
        <v>M937401</v>
      </c>
      <c r="C62" s="213">
        <f t="shared" si="101"/>
        <v>5.9809999999999999</v>
      </c>
      <c r="D62" s="777">
        <f t="shared" ref="D62:E62" si="102">F147</f>
        <v>7.0299999999999998E-3</v>
      </c>
      <c r="E62" s="777">
        <f t="shared" si="102"/>
        <v>5.62</v>
      </c>
      <c r="F62" s="777">
        <f t="shared" si="77"/>
        <v>8.5999999999999993E-2</v>
      </c>
      <c r="G62" s="777">
        <f t="shared" si="78"/>
        <v>-0.36099999999999999</v>
      </c>
      <c r="H62" s="777">
        <f t="shared" si="79"/>
        <v>0.1726</v>
      </c>
      <c r="I62" s="155">
        <f t="shared" si="66"/>
        <v>1</v>
      </c>
      <c r="J62" s="155">
        <f t="shared" si="67"/>
        <v>0.36099999999999977</v>
      </c>
      <c r="K62" s="155">
        <f t="shared" si="68"/>
        <v>0.74220482348203531</v>
      </c>
      <c r="L62" s="155">
        <f t="shared" si="69"/>
        <v>10</v>
      </c>
      <c r="M62" s="156">
        <f t="shared" si="70"/>
        <v>7.4220482348203527</v>
      </c>
      <c r="N62" s="157">
        <f t="shared" si="71"/>
        <v>0.74220482348203531</v>
      </c>
      <c r="O62" s="155">
        <f t="shared" si="72"/>
        <v>100</v>
      </c>
      <c r="P62" s="250">
        <v>1</v>
      </c>
      <c r="Q62" s="250">
        <v>1000</v>
      </c>
      <c r="R62" s="148">
        <f>IF( IF(P62&lt;L62, M62*L62/P62, M62)&gt;100, "ERROR",  IF(P62&lt;L62, M62*L62/P62, M62))</f>
        <v>74.220482348203532</v>
      </c>
      <c r="S62" s="148">
        <f>IF(IF(Q62&lt;L62, M62*L62/Q62, M62)&gt;100, "ERROR", IF(Q62&lt;L62, M62*L62/Q62, M62))</f>
        <v>7.4220482348203527</v>
      </c>
      <c r="T62" s="148">
        <f t="shared" si="80"/>
        <v>0.74220482348203531</v>
      </c>
      <c r="U62" s="148">
        <f t="shared" si="81"/>
        <v>74.220482348203518</v>
      </c>
      <c r="V62" s="7">
        <f t="shared" si="82"/>
        <v>1000</v>
      </c>
      <c r="W62" s="7">
        <f t="shared" si="83"/>
        <v>1000000</v>
      </c>
      <c r="X62" s="1345">
        <f t="shared" si="84"/>
        <v>742.20482348203529</v>
      </c>
      <c r="Y62" s="1345">
        <f t="shared" si="85"/>
        <v>74220.482348203514</v>
      </c>
    </row>
    <row r="63" spans="1:26" ht="14.25" x14ac:dyDescent="0.2">
      <c r="H63" s="9"/>
      <c r="X63" s="21"/>
      <c r="Y63" s="21"/>
      <c r="Z63" s="21"/>
    </row>
    <row r="64" spans="1:26" ht="15.75" x14ac:dyDescent="0.2">
      <c r="A64" s="778" t="s">
        <v>362</v>
      </c>
      <c r="B64" s="97"/>
      <c r="C64" s="97"/>
      <c r="D64" s="97"/>
      <c r="E64" s="97"/>
      <c r="F64" s="97"/>
      <c r="G64" s="97"/>
      <c r="H64" s="97"/>
      <c r="I64" s="113"/>
      <c r="J64" s="113"/>
      <c r="K64" s="113"/>
      <c r="L64" s="113"/>
      <c r="M64" s="113"/>
      <c r="N64" s="113"/>
      <c r="O64" s="113"/>
      <c r="R64" s="113"/>
      <c r="S64" s="113"/>
      <c r="T64" s="146"/>
      <c r="U64" s="146"/>
    </row>
    <row r="65" spans="1:26" ht="102" x14ac:dyDescent="0.2">
      <c r="A65" s="211" t="s">
        <v>0</v>
      </c>
      <c r="B65" s="212" t="s">
        <v>1</v>
      </c>
      <c r="C65" s="212" t="s">
        <v>133</v>
      </c>
      <c r="D65" s="212" t="s">
        <v>199</v>
      </c>
      <c r="E65" s="212" t="s">
        <v>135</v>
      </c>
      <c r="F65" s="212" t="s">
        <v>200</v>
      </c>
      <c r="G65" s="212" t="s">
        <v>137</v>
      </c>
      <c r="H65" s="212" t="s">
        <v>201</v>
      </c>
      <c r="I65" s="104" t="s">
        <v>8</v>
      </c>
      <c r="J65" s="104" t="s">
        <v>9</v>
      </c>
      <c r="K65" s="104" t="s">
        <v>107</v>
      </c>
      <c r="L65" s="104" t="s">
        <v>14</v>
      </c>
      <c r="M65" s="104" t="s">
        <v>12</v>
      </c>
      <c r="N65" s="104" t="s">
        <v>1058</v>
      </c>
      <c r="O65" s="104" t="s">
        <v>100</v>
      </c>
      <c r="P65" s="6" t="s">
        <v>105</v>
      </c>
      <c r="Q65" s="6" t="s">
        <v>106</v>
      </c>
      <c r="R65" s="104" t="s">
        <v>70</v>
      </c>
      <c r="S65" s="104" t="s">
        <v>71</v>
      </c>
      <c r="T65" s="147" t="s">
        <v>80</v>
      </c>
      <c r="U65" s="147" t="s">
        <v>81</v>
      </c>
      <c r="V65" s="5" t="s">
        <v>101</v>
      </c>
      <c r="W65" s="5" t="s">
        <v>102</v>
      </c>
      <c r="X65" s="112" t="s">
        <v>103</v>
      </c>
      <c r="Y65" s="112" t="s">
        <v>104</v>
      </c>
    </row>
    <row r="66" spans="1:26" x14ac:dyDescent="0.2">
      <c r="A66" s="213" t="str">
        <f>A151</f>
        <v>NIST</v>
      </c>
      <c r="B66" s="213" t="str">
        <f>B151</f>
        <v>M937423</v>
      </c>
      <c r="C66" s="213">
        <f>C151</f>
        <v>80.12</v>
      </c>
      <c r="D66" s="777">
        <f>F151</f>
        <v>9.5500000000000002E-2</v>
      </c>
      <c r="E66" s="777">
        <f>G151</f>
        <v>80.14</v>
      </c>
      <c r="F66" s="777">
        <f>H151/I151</f>
        <v>0.14499999999999999</v>
      </c>
      <c r="G66" s="777">
        <f>J151</f>
        <v>0.02</v>
      </c>
      <c r="H66" s="777">
        <f>M151</f>
        <v>0.34699999999999998</v>
      </c>
      <c r="I66" s="155">
        <f t="shared" ref="I66:I76" si="103">IF(ABS(G66)&gt;ABS(H66), 1, 0)</f>
        <v>0</v>
      </c>
      <c r="J66" s="155">
        <f t="shared" ref="J66:J76" si="104">I66*ABS(C66-E66)</f>
        <v>0</v>
      </c>
      <c r="K66" s="155">
        <f t="shared" ref="K66:K76" si="105">SQRT(SUMSQ(F66,J66))*2</f>
        <v>0.28999999999999998</v>
      </c>
      <c r="L66" s="155">
        <f t="shared" ref="L66:L76" si="106">IF(C66&lt;$K$2, C66, $K$1)</f>
        <v>10</v>
      </c>
      <c r="M66" s="156">
        <f t="shared" ref="M66:M76" si="107">IF(AND(C66&lt;$K$1,C66&gt; $K$2), K66/L66*100, K66/C66*100)</f>
        <v>0.36195706440339487</v>
      </c>
      <c r="N66" s="157">
        <f t="shared" ref="N66:N76" si="108">M66*L66/100</f>
        <v>3.6195706440339488E-2</v>
      </c>
      <c r="O66" s="155">
        <f t="shared" ref="O66:O76" si="109">N66/(M66*L66/100)*100</f>
        <v>100</v>
      </c>
      <c r="P66" s="250">
        <v>1</v>
      </c>
      <c r="Q66" s="250">
        <v>1000</v>
      </c>
      <c r="R66" s="148">
        <f t="shared" ref="R66:R74" si="110">IF( IF(P66&lt;L66, M66*L66/P66, M66)&gt;100, "ERROR",  IF(P66&lt;L66, M66*L66/P66, M66))</f>
        <v>3.6195706440339488</v>
      </c>
      <c r="S66" s="148">
        <f t="shared" ref="S66:S74" si="111">IF(IF(Q66&lt;L66, M66*L66/Q66, M66)&gt;100, "ERROR", IF(Q66&lt;L66, M66*L66/Q66, M66))</f>
        <v>0.36195706440339487</v>
      </c>
      <c r="T66" s="148">
        <f>R66*P66*0.01</f>
        <v>3.6195706440339488E-2</v>
      </c>
      <c r="U66" s="148">
        <f>S66*Q66*0.01</f>
        <v>3.6195706440339492</v>
      </c>
      <c r="V66" s="7">
        <f>P66*1000</f>
        <v>1000</v>
      </c>
      <c r="W66" s="7">
        <f>Q66*1000</f>
        <v>1000000</v>
      </c>
      <c r="X66" s="1345">
        <f>T66*1000</f>
        <v>36.195706440339485</v>
      </c>
      <c r="Y66" s="1345">
        <f>U66*1000</f>
        <v>3619.5706440339491</v>
      </c>
    </row>
    <row r="67" spans="1:26" x14ac:dyDescent="0.2">
      <c r="A67" s="213" t="str">
        <f t="shared" ref="A67:C67" si="112">A152</f>
        <v>NIM</v>
      </c>
      <c r="B67" s="213" t="str">
        <f t="shared" si="112"/>
        <v>M937410</v>
      </c>
      <c r="C67" s="213">
        <f t="shared" si="112"/>
        <v>80.138000000000005</v>
      </c>
      <c r="D67" s="777">
        <f t="shared" ref="D67:D76" si="113">F152</f>
        <v>9.5000000000000001E-2</v>
      </c>
      <c r="E67" s="777">
        <f t="shared" ref="E67:E76" si="114">G152</f>
        <v>79.650000000000006</v>
      </c>
      <c r="F67" s="777">
        <f t="shared" ref="F67:F76" si="115">H152/I152</f>
        <v>0.4</v>
      </c>
      <c r="G67" s="777">
        <f t="shared" ref="G67:G76" si="116">J152</f>
        <v>-0.48799999999999999</v>
      </c>
      <c r="H67" s="777">
        <f t="shared" ref="H67:H76" si="117">M152</f>
        <v>0.82199999999999995</v>
      </c>
      <c r="I67" s="155">
        <f t="shared" si="103"/>
        <v>0</v>
      </c>
      <c r="J67" s="155">
        <f t="shared" si="104"/>
        <v>0</v>
      </c>
      <c r="K67" s="155">
        <f t="shared" si="105"/>
        <v>0.8</v>
      </c>
      <c r="L67" s="155">
        <f t="shared" si="106"/>
        <v>10</v>
      </c>
      <c r="M67" s="156">
        <f t="shared" si="107"/>
        <v>0.99827797050088596</v>
      </c>
      <c r="N67" s="157">
        <f t="shared" si="108"/>
        <v>9.9827797050088596E-2</v>
      </c>
      <c r="O67" s="155">
        <f t="shared" si="109"/>
        <v>100</v>
      </c>
      <c r="P67" s="250">
        <v>1</v>
      </c>
      <c r="Q67" s="250">
        <v>1000</v>
      </c>
      <c r="R67" s="148">
        <f t="shared" si="110"/>
        <v>9.9827797050088591</v>
      </c>
      <c r="S67" s="148">
        <f t="shared" si="111"/>
        <v>0.99827797050088596</v>
      </c>
      <c r="T67" s="148">
        <f t="shared" ref="T67:T76" si="118">R67*P67*0.01</f>
        <v>9.9827797050088596E-2</v>
      </c>
      <c r="U67" s="148">
        <f t="shared" ref="U67:U76" si="119">S67*Q67*0.01</f>
        <v>9.9827797050088609</v>
      </c>
      <c r="V67" s="7">
        <f t="shared" ref="V67:V76" si="120">P67*1000</f>
        <v>1000</v>
      </c>
      <c r="W67" s="7">
        <f t="shared" ref="W67:W76" si="121">Q67*1000</f>
        <v>1000000</v>
      </c>
      <c r="X67" s="1345">
        <f t="shared" ref="X67:X76" si="122">T67*1000</f>
        <v>99.827797050088591</v>
      </c>
      <c r="Y67" s="1345">
        <f t="shared" ref="Y67:Y76" si="123">U67*1000</f>
        <v>9982.7797050088611</v>
      </c>
    </row>
    <row r="68" spans="1:26" x14ac:dyDescent="0.2">
      <c r="A68" s="213" t="str">
        <f t="shared" ref="A68:C68" si="124">A153</f>
        <v>NPL</v>
      </c>
      <c r="B68" s="213" t="str">
        <f t="shared" si="124"/>
        <v>M937411</v>
      </c>
      <c r="C68" s="213">
        <f t="shared" si="124"/>
        <v>80.049000000000007</v>
      </c>
      <c r="D68" s="777">
        <f t="shared" si="113"/>
        <v>9.4899999999999998E-2</v>
      </c>
      <c r="E68" s="777">
        <f t="shared" si="114"/>
        <v>80.3</v>
      </c>
      <c r="F68" s="777">
        <f t="shared" si="115"/>
        <v>0.4</v>
      </c>
      <c r="G68" s="777">
        <f t="shared" si="116"/>
        <v>0.251</v>
      </c>
      <c r="H68" s="777">
        <f t="shared" si="117"/>
        <v>0.82199999999999995</v>
      </c>
      <c r="I68" s="155">
        <f t="shared" si="103"/>
        <v>0</v>
      </c>
      <c r="J68" s="155">
        <f t="shared" si="104"/>
        <v>0</v>
      </c>
      <c r="K68" s="155">
        <f t="shared" si="105"/>
        <v>0.8</v>
      </c>
      <c r="L68" s="155">
        <f t="shared" si="106"/>
        <v>10</v>
      </c>
      <c r="M68" s="156">
        <f t="shared" si="107"/>
        <v>0.99938787492660741</v>
      </c>
      <c r="N68" s="157">
        <f t="shared" si="108"/>
        <v>9.9938787492660733E-2</v>
      </c>
      <c r="O68" s="155">
        <f t="shared" si="109"/>
        <v>100</v>
      </c>
      <c r="P68" s="250">
        <v>1</v>
      </c>
      <c r="Q68" s="250">
        <v>1000</v>
      </c>
      <c r="R68" s="148">
        <f t="shared" si="110"/>
        <v>9.9938787492660737</v>
      </c>
      <c r="S68" s="148">
        <f t="shared" si="111"/>
        <v>0.99938787492660741</v>
      </c>
      <c r="T68" s="148">
        <f t="shared" si="118"/>
        <v>9.9938787492660733E-2</v>
      </c>
      <c r="U68" s="148">
        <f t="shared" si="119"/>
        <v>9.9938787492660737</v>
      </c>
      <c r="V68" s="7">
        <f t="shared" si="120"/>
        <v>1000</v>
      </c>
      <c r="W68" s="7">
        <f t="shared" si="121"/>
        <v>1000000</v>
      </c>
      <c r="X68" s="1345">
        <f t="shared" si="122"/>
        <v>99.938787492660737</v>
      </c>
      <c r="Y68" s="1345">
        <f t="shared" si="123"/>
        <v>9993.878749266074</v>
      </c>
    </row>
    <row r="69" spans="1:26" x14ac:dyDescent="0.2">
      <c r="A69" s="213" t="str">
        <f t="shared" ref="A69:C69" si="125">A154</f>
        <v>VSL</v>
      </c>
      <c r="B69" s="213" t="str">
        <f t="shared" si="125"/>
        <v>M937400</v>
      </c>
      <c r="C69" s="213">
        <f t="shared" si="125"/>
        <v>80.156000000000006</v>
      </c>
      <c r="D69" s="777">
        <f t="shared" si="113"/>
        <v>9.5500000000000002E-2</v>
      </c>
      <c r="E69" s="777">
        <f t="shared" si="114"/>
        <v>80.34</v>
      </c>
      <c r="F69" s="777">
        <f t="shared" si="115"/>
        <v>0.19500000000000001</v>
      </c>
      <c r="G69" s="777">
        <f t="shared" si="116"/>
        <v>0.184</v>
      </c>
      <c r="H69" s="777">
        <f t="shared" si="117"/>
        <v>0.434</v>
      </c>
      <c r="I69" s="155">
        <f t="shared" si="103"/>
        <v>0</v>
      </c>
      <c r="J69" s="155">
        <f t="shared" si="104"/>
        <v>0</v>
      </c>
      <c r="K69" s="155">
        <f t="shared" si="105"/>
        <v>0.39</v>
      </c>
      <c r="L69" s="155">
        <f t="shared" si="106"/>
        <v>10</v>
      </c>
      <c r="M69" s="156">
        <f t="shared" si="107"/>
        <v>0.48655122511103344</v>
      </c>
      <c r="N69" s="157">
        <f t="shared" si="108"/>
        <v>4.8655122511103342E-2</v>
      </c>
      <c r="O69" s="155">
        <f t="shared" si="109"/>
        <v>100</v>
      </c>
      <c r="P69" s="250">
        <v>1</v>
      </c>
      <c r="Q69" s="250">
        <v>1000</v>
      </c>
      <c r="R69" s="148">
        <f t="shared" si="110"/>
        <v>4.8655122511103341</v>
      </c>
      <c r="S69" s="148">
        <f t="shared" si="111"/>
        <v>0.48655122511103344</v>
      </c>
      <c r="T69" s="148">
        <f t="shared" si="118"/>
        <v>4.8655122511103342E-2</v>
      </c>
      <c r="U69" s="148">
        <f t="shared" si="119"/>
        <v>4.8655122511103341</v>
      </c>
      <c r="V69" s="7">
        <f t="shared" si="120"/>
        <v>1000</v>
      </c>
      <c r="W69" s="7">
        <f t="shared" si="121"/>
        <v>1000000</v>
      </c>
      <c r="X69" s="1345">
        <f t="shared" si="122"/>
        <v>48.655122511103343</v>
      </c>
      <c r="Y69" s="1345">
        <f t="shared" si="123"/>
        <v>4865.5122511103345</v>
      </c>
    </row>
    <row r="70" spans="1:26" x14ac:dyDescent="0.2">
      <c r="A70" s="213" t="str">
        <f t="shared" ref="A70:C70" si="126">A155</f>
        <v>CENAM</v>
      </c>
      <c r="B70" s="213" t="str">
        <f t="shared" si="126"/>
        <v>M937407</v>
      </c>
      <c r="C70" s="213">
        <f t="shared" si="126"/>
        <v>79.858999999999995</v>
      </c>
      <c r="D70" s="777">
        <f t="shared" si="113"/>
        <v>9.5299999999999996E-2</v>
      </c>
      <c r="E70" s="777">
        <f t="shared" si="114"/>
        <v>78.2</v>
      </c>
      <c r="F70" s="777">
        <f t="shared" si="115"/>
        <v>0.85</v>
      </c>
      <c r="G70" s="777">
        <f t="shared" si="116"/>
        <v>-1.659</v>
      </c>
      <c r="H70" s="777">
        <f t="shared" si="117"/>
        <v>1.7110000000000001</v>
      </c>
      <c r="I70" s="155">
        <f t="shared" si="103"/>
        <v>0</v>
      </c>
      <c r="J70" s="155">
        <f t="shared" si="104"/>
        <v>0</v>
      </c>
      <c r="K70" s="155">
        <f t="shared" si="105"/>
        <v>1.7</v>
      </c>
      <c r="L70" s="155">
        <f t="shared" si="106"/>
        <v>10</v>
      </c>
      <c r="M70" s="156">
        <f t="shared" si="107"/>
        <v>2.1287519252682854</v>
      </c>
      <c r="N70" s="157">
        <f t="shared" si="108"/>
        <v>0.21287519252682854</v>
      </c>
      <c r="O70" s="155">
        <f t="shared" si="109"/>
        <v>100</v>
      </c>
      <c r="P70" s="250">
        <v>1</v>
      </c>
      <c r="Q70" s="250">
        <v>1000</v>
      </c>
      <c r="R70" s="148">
        <f t="shared" si="110"/>
        <v>21.287519252682856</v>
      </c>
      <c r="S70" s="148">
        <f t="shared" si="111"/>
        <v>2.1287519252682854</v>
      </c>
      <c r="T70" s="148">
        <f t="shared" si="118"/>
        <v>0.21287519252682857</v>
      </c>
      <c r="U70" s="148">
        <f t="shared" si="119"/>
        <v>21.287519252682856</v>
      </c>
      <c r="V70" s="7">
        <f t="shared" si="120"/>
        <v>1000</v>
      </c>
      <c r="W70" s="7">
        <f t="shared" si="121"/>
        <v>1000000</v>
      </c>
      <c r="X70" s="1345">
        <f t="shared" si="122"/>
        <v>212.87519252682858</v>
      </c>
      <c r="Y70" s="1345">
        <f t="shared" si="123"/>
        <v>21287.519252682854</v>
      </c>
    </row>
    <row r="71" spans="1:26" x14ac:dyDescent="0.2">
      <c r="A71" s="213" t="str">
        <f t="shared" ref="A71:C71" si="127">A156</f>
        <v>SMU</v>
      </c>
      <c r="B71" s="213" t="str">
        <f t="shared" si="127"/>
        <v>M937405</v>
      </c>
      <c r="C71" s="213">
        <f t="shared" si="127"/>
        <v>80.209999999999994</v>
      </c>
      <c r="D71" s="777">
        <f t="shared" si="113"/>
        <v>9.5600000000000004E-2</v>
      </c>
      <c r="E71" s="777">
        <f t="shared" si="114"/>
        <v>80.180000000000007</v>
      </c>
      <c r="F71" s="777">
        <f t="shared" si="115"/>
        <v>0.4</v>
      </c>
      <c r="G71" s="777">
        <f t="shared" si="116"/>
        <v>-0.03</v>
      </c>
      <c r="H71" s="777">
        <f t="shared" si="117"/>
        <v>0.82299999999999995</v>
      </c>
      <c r="I71" s="155">
        <f t="shared" si="103"/>
        <v>0</v>
      </c>
      <c r="J71" s="155">
        <f t="shared" si="104"/>
        <v>0</v>
      </c>
      <c r="K71" s="155">
        <f t="shared" si="105"/>
        <v>0.8</v>
      </c>
      <c r="L71" s="155">
        <f t="shared" si="106"/>
        <v>10</v>
      </c>
      <c r="M71" s="156">
        <f t="shared" si="107"/>
        <v>0.99738187258446598</v>
      </c>
      <c r="N71" s="157">
        <f t="shared" si="108"/>
        <v>9.9738187258446603E-2</v>
      </c>
      <c r="O71" s="155">
        <f t="shared" si="109"/>
        <v>100</v>
      </c>
      <c r="P71" s="250">
        <v>1</v>
      </c>
      <c r="Q71" s="250">
        <v>1000</v>
      </c>
      <c r="R71" s="148">
        <f t="shared" si="110"/>
        <v>9.9738187258446604</v>
      </c>
      <c r="S71" s="148">
        <f t="shared" si="111"/>
        <v>0.99738187258446598</v>
      </c>
      <c r="T71" s="148">
        <f t="shared" si="118"/>
        <v>9.9738187258446603E-2</v>
      </c>
      <c r="U71" s="148">
        <f t="shared" si="119"/>
        <v>9.9738187258446604</v>
      </c>
      <c r="V71" s="7">
        <f t="shared" si="120"/>
        <v>1000</v>
      </c>
      <c r="W71" s="7">
        <f t="shared" si="121"/>
        <v>1000000</v>
      </c>
      <c r="X71" s="1345">
        <f t="shared" si="122"/>
        <v>99.738187258446601</v>
      </c>
      <c r="Y71" s="1345">
        <f t="shared" si="123"/>
        <v>9973.8187258446596</v>
      </c>
    </row>
    <row r="72" spans="1:26" x14ac:dyDescent="0.2">
      <c r="A72" s="213" t="str">
        <f t="shared" ref="A72:C72" si="128">A157</f>
        <v>VNIIM</v>
      </c>
      <c r="B72" s="213" t="str">
        <f t="shared" si="128"/>
        <v>M937403</v>
      </c>
      <c r="C72" s="213">
        <f t="shared" si="128"/>
        <v>80.185000000000002</v>
      </c>
      <c r="D72" s="777">
        <f t="shared" si="113"/>
        <v>9.5600000000000004E-2</v>
      </c>
      <c r="E72" s="777">
        <f t="shared" si="114"/>
        <v>80.78</v>
      </c>
      <c r="F72" s="777">
        <f t="shared" si="115"/>
        <v>0.21</v>
      </c>
      <c r="G72" s="777">
        <f t="shared" si="116"/>
        <v>0.59499999999999997</v>
      </c>
      <c r="H72" s="777">
        <f t="shared" si="117"/>
        <v>0.46100000000000002</v>
      </c>
      <c r="I72" s="155">
        <f t="shared" si="103"/>
        <v>1</v>
      </c>
      <c r="J72" s="155">
        <f t="shared" si="104"/>
        <v>0.59499999999999886</v>
      </c>
      <c r="K72" s="155">
        <f t="shared" si="105"/>
        <v>1.2619429464123941</v>
      </c>
      <c r="L72" s="155">
        <f t="shared" si="106"/>
        <v>10</v>
      </c>
      <c r="M72" s="156">
        <f t="shared" si="107"/>
        <v>1.5737892952701802</v>
      </c>
      <c r="N72" s="157">
        <f t="shared" si="108"/>
        <v>0.15737892952701801</v>
      </c>
      <c r="O72" s="155">
        <f t="shared" si="109"/>
        <v>100</v>
      </c>
      <c r="P72" s="250">
        <v>1</v>
      </c>
      <c r="Q72" s="250">
        <v>1000</v>
      </c>
      <c r="R72" s="148">
        <f t="shared" si="110"/>
        <v>15.737892952701802</v>
      </c>
      <c r="S72" s="148">
        <f t="shared" si="111"/>
        <v>1.5737892952701802</v>
      </c>
      <c r="T72" s="148">
        <f t="shared" si="118"/>
        <v>0.15737892952701801</v>
      </c>
      <c r="U72" s="148">
        <f t="shared" si="119"/>
        <v>15.737892952701802</v>
      </c>
      <c r="V72" s="7">
        <f t="shared" si="120"/>
        <v>1000</v>
      </c>
      <c r="W72" s="7">
        <f t="shared" si="121"/>
        <v>1000000</v>
      </c>
      <c r="X72" s="1345">
        <f t="shared" si="122"/>
        <v>157.37892952701802</v>
      </c>
      <c r="Y72" s="1345">
        <f t="shared" si="123"/>
        <v>15737.892952701803</v>
      </c>
    </row>
    <row r="73" spans="1:26" x14ac:dyDescent="0.2">
      <c r="A73" s="213" t="str">
        <f t="shared" ref="A73:C73" si="129">A158</f>
        <v>NMISA</v>
      </c>
      <c r="B73" s="213" t="str">
        <f t="shared" si="129"/>
        <v>M937424</v>
      </c>
      <c r="C73" s="213">
        <f t="shared" si="129"/>
        <v>80.141999999999996</v>
      </c>
      <c r="D73" s="777">
        <f t="shared" si="113"/>
        <v>9.5500000000000002E-2</v>
      </c>
      <c r="E73" s="777">
        <f t="shared" si="114"/>
        <v>79.42</v>
      </c>
      <c r="F73" s="777">
        <f t="shared" si="115"/>
        <v>0.255</v>
      </c>
      <c r="G73" s="777">
        <f t="shared" si="116"/>
        <v>-0.72199999999999998</v>
      </c>
      <c r="H73" s="777">
        <f t="shared" si="117"/>
        <v>0.54500000000000004</v>
      </c>
      <c r="I73" s="155">
        <f t="shared" si="103"/>
        <v>1</v>
      </c>
      <c r="J73" s="155">
        <f t="shared" si="104"/>
        <v>0.7219999999999942</v>
      </c>
      <c r="K73" s="155">
        <f t="shared" si="105"/>
        <v>1.5314163379042183</v>
      </c>
      <c r="L73" s="155">
        <f t="shared" si="106"/>
        <v>10</v>
      </c>
      <c r="M73" s="156">
        <f t="shared" si="107"/>
        <v>1.9108786128424777</v>
      </c>
      <c r="N73" s="157">
        <f t="shared" si="108"/>
        <v>0.19108786128424779</v>
      </c>
      <c r="O73" s="155">
        <f t="shared" si="109"/>
        <v>100</v>
      </c>
      <c r="P73" s="250">
        <v>1</v>
      </c>
      <c r="Q73" s="250">
        <v>1000</v>
      </c>
      <c r="R73" s="148">
        <f t="shared" si="110"/>
        <v>19.108786128424779</v>
      </c>
      <c r="S73" s="148">
        <f t="shared" si="111"/>
        <v>1.9108786128424777</v>
      </c>
      <c r="T73" s="148">
        <f t="shared" si="118"/>
        <v>0.19108786128424779</v>
      </c>
      <c r="U73" s="148">
        <f t="shared" si="119"/>
        <v>19.108786128424779</v>
      </c>
      <c r="V73" s="7">
        <f t="shared" si="120"/>
        <v>1000</v>
      </c>
      <c r="W73" s="7">
        <f t="shared" si="121"/>
        <v>1000000</v>
      </c>
      <c r="X73" s="1345">
        <f t="shared" si="122"/>
        <v>191.08786128424779</v>
      </c>
      <c r="Y73" s="1345">
        <f t="shared" si="123"/>
        <v>19108.786128424777</v>
      </c>
    </row>
    <row r="74" spans="1:26" x14ac:dyDescent="0.2">
      <c r="A74" s="213" t="str">
        <f t="shared" ref="A74:C74" si="130">A159</f>
        <v>KRISS</v>
      </c>
      <c r="B74" s="213" t="str">
        <f t="shared" si="130"/>
        <v>M937414</v>
      </c>
      <c r="C74" s="213">
        <f t="shared" si="130"/>
        <v>80.176000000000002</v>
      </c>
      <c r="D74" s="777">
        <f t="shared" si="113"/>
        <v>9.5600000000000004E-2</v>
      </c>
      <c r="E74" s="777">
        <f t="shared" si="114"/>
        <v>80.72</v>
      </c>
      <c r="F74" s="777">
        <f t="shared" si="115"/>
        <v>0.22500000000000001</v>
      </c>
      <c r="G74" s="777">
        <f t="shared" si="116"/>
        <v>0.54400000000000004</v>
      </c>
      <c r="H74" s="777">
        <f t="shared" si="117"/>
        <v>0.48899999999999999</v>
      </c>
      <c r="I74" s="155">
        <f t="shared" si="103"/>
        <v>1</v>
      </c>
      <c r="J74" s="155">
        <f t="shared" si="104"/>
        <v>0.54399999999999693</v>
      </c>
      <c r="K74" s="155">
        <f t="shared" si="105"/>
        <v>1.1773886359227299</v>
      </c>
      <c r="L74" s="155">
        <f t="shared" si="106"/>
        <v>10</v>
      </c>
      <c r="M74" s="156">
        <f t="shared" si="107"/>
        <v>1.4685050837192299</v>
      </c>
      <c r="N74" s="157">
        <f t="shared" si="108"/>
        <v>0.14685050837192301</v>
      </c>
      <c r="O74" s="155">
        <f t="shared" si="109"/>
        <v>100</v>
      </c>
      <c r="P74" s="250">
        <v>1</v>
      </c>
      <c r="Q74" s="250">
        <v>1000</v>
      </c>
      <c r="R74" s="148">
        <f t="shared" si="110"/>
        <v>14.6850508371923</v>
      </c>
      <c r="S74" s="148">
        <f t="shared" si="111"/>
        <v>1.4685050837192299</v>
      </c>
      <c r="T74" s="148">
        <f t="shared" si="118"/>
        <v>0.14685050837192301</v>
      </c>
      <c r="U74" s="148">
        <f t="shared" si="119"/>
        <v>14.6850508371923</v>
      </c>
      <c r="V74" s="7">
        <f t="shared" si="120"/>
        <v>1000</v>
      </c>
      <c r="W74" s="7">
        <f t="shared" si="121"/>
        <v>1000000</v>
      </c>
      <c r="X74" s="1345">
        <f t="shared" si="122"/>
        <v>146.85050837192301</v>
      </c>
      <c r="Y74" s="1345">
        <f t="shared" si="123"/>
        <v>14685.050837192301</v>
      </c>
    </row>
    <row r="75" spans="1:26" x14ac:dyDescent="0.2">
      <c r="A75" s="213" t="str">
        <f t="shared" ref="A75" si="131">A160</f>
        <v>IPQ</v>
      </c>
      <c r="B75" s="213"/>
      <c r="C75" s="213"/>
      <c r="D75" s="777"/>
      <c r="E75" s="777"/>
      <c r="F75" s="777"/>
      <c r="G75" s="777"/>
      <c r="H75" s="777"/>
      <c r="I75" s="155"/>
      <c r="J75" s="155"/>
      <c r="K75" s="155"/>
      <c r="L75" s="155"/>
      <c r="M75" s="156"/>
      <c r="N75" s="157"/>
      <c r="O75" s="155"/>
      <c r="P75" s="110"/>
      <c r="Q75" s="111"/>
      <c r="R75" s="148"/>
      <c r="S75" s="148"/>
      <c r="T75" s="148"/>
      <c r="U75" s="148"/>
      <c r="V75" s="7"/>
      <c r="W75" s="7"/>
      <c r="X75" s="1345"/>
      <c r="Y75" s="1345"/>
    </row>
    <row r="76" spans="1:26" x14ac:dyDescent="0.2">
      <c r="A76" s="213" t="str">
        <f t="shared" ref="A76:C76" si="132">A161</f>
        <v>INMETRO</v>
      </c>
      <c r="B76" s="213" t="str">
        <f t="shared" si="132"/>
        <v>M937401</v>
      </c>
      <c r="C76" s="213">
        <f t="shared" si="132"/>
        <v>80.206999999999994</v>
      </c>
      <c r="D76" s="777">
        <f t="shared" si="113"/>
        <v>9.5000000000000001E-2</v>
      </c>
      <c r="E76" s="777">
        <f t="shared" si="114"/>
        <v>79.599999999999994</v>
      </c>
      <c r="F76" s="777">
        <f t="shared" si="115"/>
        <v>0.7</v>
      </c>
      <c r="G76" s="777">
        <f t="shared" si="116"/>
        <v>-0.60699999999999998</v>
      </c>
      <c r="H76" s="777">
        <f t="shared" si="117"/>
        <v>1.413</v>
      </c>
      <c r="I76" s="155">
        <f t="shared" si="103"/>
        <v>0</v>
      </c>
      <c r="J76" s="155">
        <f t="shared" si="104"/>
        <v>0</v>
      </c>
      <c r="K76" s="155">
        <f t="shared" si="105"/>
        <v>1.4</v>
      </c>
      <c r="L76" s="155">
        <f t="shared" si="106"/>
        <v>10</v>
      </c>
      <c r="M76" s="156">
        <f t="shared" si="107"/>
        <v>1.7454835612851747</v>
      </c>
      <c r="N76" s="157">
        <f t="shared" si="108"/>
        <v>0.17454835612851746</v>
      </c>
      <c r="O76" s="155">
        <f t="shared" si="109"/>
        <v>100</v>
      </c>
      <c r="P76" s="250">
        <v>1</v>
      </c>
      <c r="Q76" s="250">
        <v>1000</v>
      </c>
      <c r="R76" s="148">
        <f>IF( IF(P76&lt;L76, M76*L76/P76, M76)&gt;100, "ERROR",  IF(P76&lt;L76, M76*L76/P76, M76))</f>
        <v>17.454835612851745</v>
      </c>
      <c r="S76" s="148">
        <f>IF(IF(Q76&lt;L76, M76*L76/Q76, M76)&gt;100, "ERROR", IF(Q76&lt;L76, M76*L76/Q76, M76))</f>
        <v>1.7454835612851747</v>
      </c>
      <c r="T76" s="148">
        <f t="shared" si="118"/>
        <v>0.17454835612851746</v>
      </c>
      <c r="U76" s="148">
        <f t="shared" si="119"/>
        <v>17.454835612851745</v>
      </c>
      <c r="V76" s="7">
        <f t="shared" si="120"/>
        <v>1000</v>
      </c>
      <c r="W76" s="7">
        <f t="shared" si="121"/>
        <v>1000000</v>
      </c>
      <c r="X76" s="1345">
        <f t="shared" si="122"/>
        <v>174.54835612851747</v>
      </c>
      <c r="Y76" s="1345">
        <f t="shared" si="123"/>
        <v>17454.835612851744</v>
      </c>
    </row>
    <row r="77" spans="1:26" ht="14.25" x14ac:dyDescent="0.2">
      <c r="H77" s="9"/>
      <c r="U77" s="152"/>
      <c r="V77" s="21"/>
      <c r="W77" s="21"/>
      <c r="X77" s="21"/>
      <c r="Y77" s="21"/>
      <c r="Z77" s="21"/>
    </row>
    <row r="78" spans="1:26" ht="15.75" x14ac:dyDescent="0.2">
      <c r="A78" s="778" t="s">
        <v>724</v>
      </c>
      <c r="B78" s="97"/>
      <c r="C78" s="97"/>
      <c r="D78" s="97"/>
      <c r="E78" s="97"/>
      <c r="F78" s="97"/>
      <c r="G78" s="97"/>
      <c r="H78" s="97"/>
      <c r="I78" s="113"/>
      <c r="J78" s="113"/>
      <c r="K78" s="113"/>
      <c r="L78" s="113"/>
      <c r="M78" s="113"/>
      <c r="N78" s="113"/>
      <c r="O78" s="113"/>
      <c r="R78" s="113"/>
      <c r="S78" s="113"/>
      <c r="T78" s="146"/>
      <c r="U78" s="146"/>
    </row>
    <row r="79" spans="1:26" ht="102" x14ac:dyDescent="0.2">
      <c r="A79" s="211" t="s">
        <v>0</v>
      </c>
      <c r="B79" s="212" t="s">
        <v>1</v>
      </c>
      <c r="C79" s="212" t="s">
        <v>133</v>
      </c>
      <c r="D79" s="212" t="s">
        <v>199</v>
      </c>
      <c r="E79" s="212" t="s">
        <v>135</v>
      </c>
      <c r="F79" s="212" t="s">
        <v>200</v>
      </c>
      <c r="G79" s="212" t="s">
        <v>137</v>
      </c>
      <c r="H79" s="212" t="s">
        <v>201</v>
      </c>
      <c r="I79" s="104" t="s">
        <v>8</v>
      </c>
      <c r="J79" s="104" t="s">
        <v>9</v>
      </c>
      <c r="K79" s="104" t="s">
        <v>107</v>
      </c>
      <c r="L79" s="104" t="s">
        <v>14</v>
      </c>
      <c r="M79" s="104" t="s">
        <v>12</v>
      </c>
      <c r="N79" s="104" t="s">
        <v>1058</v>
      </c>
      <c r="O79" s="104" t="s">
        <v>100</v>
      </c>
      <c r="P79" s="6" t="s">
        <v>105</v>
      </c>
      <c r="Q79" s="6" t="s">
        <v>106</v>
      </c>
      <c r="R79" s="104" t="s">
        <v>70</v>
      </c>
      <c r="S79" s="104" t="s">
        <v>71</v>
      </c>
      <c r="T79" s="147" t="s">
        <v>80</v>
      </c>
      <c r="U79" s="147" t="s">
        <v>81</v>
      </c>
      <c r="V79" s="5" t="s">
        <v>101</v>
      </c>
      <c r="W79" s="5" t="s">
        <v>102</v>
      </c>
      <c r="X79" s="112" t="s">
        <v>103</v>
      </c>
      <c r="Y79" s="112" t="s">
        <v>104</v>
      </c>
    </row>
    <row r="80" spans="1:26" x14ac:dyDescent="0.2">
      <c r="A80" s="213" t="str">
        <f>A165</f>
        <v>NIST</v>
      </c>
      <c r="B80" s="213" t="str">
        <f>B165</f>
        <v>M937423</v>
      </c>
      <c r="C80" s="213">
        <f>C165</f>
        <v>80.004000000000005</v>
      </c>
      <c r="D80" s="777">
        <f>F165</f>
        <v>9.3299999999999994E-2</v>
      </c>
      <c r="E80" s="777">
        <f>G165</f>
        <v>80.25</v>
      </c>
      <c r="F80" s="777">
        <f>H165/I165</f>
        <v>0.125</v>
      </c>
      <c r="G80" s="777">
        <f>J165</f>
        <v>0.25</v>
      </c>
      <c r="H80" s="777">
        <f>M165</f>
        <v>0.312</v>
      </c>
      <c r="I80" s="155">
        <f t="shared" ref="I80:I90" si="133">IF(ABS(G80)&gt;ABS(H80), 1, 0)</f>
        <v>0</v>
      </c>
      <c r="J80" s="155">
        <f t="shared" ref="J80:J90" si="134">I80*ABS(C80-E80)</f>
        <v>0</v>
      </c>
      <c r="K80" s="155">
        <f t="shared" ref="K80:K90" si="135">SQRT(SUMSQ(F80,J80))*2</f>
        <v>0.25</v>
      </c>
      <c r="L80" s="155">
        <f t="shared" ref="L80:L90" si="136">IF(C80&lt;$K$2, C80, $K$1)</f>
        <v>10</v>
      </c>
      <c r="M80" s="156">
        <f t="shared" ref="M80:M90" si="137">IF(AND(C80&lt;$K$1,C80&gt; $K$2), K80/L80*100, K80/C80*100)</f>
        <v>0.31248437578121091</v>
      </c>
      <c r="N80" s="157">
        <f t="shared" ref="N80:N90" si="138">M80*L80/100</f>
        <v>3.1248437578121093E-2</v>
      </c>
      <c r="O80" s="155">
        <f t="shared" ref="O80:O90" si="139">N80/(M80*L80/100)*100</f>
        <v>100</v>
      </c>
      <c r="P80" s="250">
        <v>1</v>
      </c>
      <c r="Q80" s="250">
        <v>1000</v>
      </c>
      <c r="R80" s="148">
        <f t="shared" ref="R80:R90" si="140">IF( IF(P80&lt;L80, M80*L80/P80, M80)&gt;100, "ERROR",  IF(P80&lt;L80, M80*L80/P80, M80))</f>
        <v>3.1248437578121093</v>
      </c>
      <c r="S80" s="148">
        <f t="shared" ref="S80:S90" si="141">IF(IF(Q80&lt;L80, M80*L80/Q80, M80)&gt;100, "ERROR", IF(Q80&lt;L80, M80*L80/Q80, M80))</f>
        <v>0.31248437578121091</v>
      </c>
      <c r="T80" s="148">
        <f>R80*P80*0.01</f>
        <v>3.1248437578121093E-2</v>
      </c>
      <c r="U80" s="148">
        <f>S80*Q80*0.01</f>
        <v>3.1248437578121093</v>
      </c>
      <c r="V80" s="7">
        <f>P80*1000</f>
        <v>1000</v>
      </c>
      <c r="W80" s="7">
        <f>Q80*1000</f>
        <v>1000000</v>
      </c>
      <c r="X80" s="1345">
        <f>T80*1000</f>
        <v>31.248437578121091</v>
      </c>
      <c r="Y80" s="1345">
        <f>U80*1000</f>
        <v>3124.8437578121093</v>
      </c>
    </row>
    <row r="81" spans="1:26" x14ac:dyDescent="0.2">
      <c r="A81" s="213" t="str">
        <f t="shared" ref="A81:C81" si="142">A166</f>
        <v>NIM</v>
      </c>
      <c r="B81" s="213" t="str">
        <f t="shared" si="142"/>
        <v>M937410</v>
      </c>
      <c r="C81" s="213">
        <f t="shared" si="142"/>
        <v>80.022000000000006</v>
      </c>
      <c r="D81" s="777">
        <f t="shared" ref="D81:D90" si="143">F166</f>
        <v>9.3299999999999994E-2</v>
      </c>
      <c r="E81" s="777">
        <f t="shared" ref="E81:E90" si="144">G166</f>
        <v>79.16</v>
      </c>
      <c r="F81" s="777">
        <f t="shared" ref="F81:F90" si="145">H166/I166</f>
        <v>0.39500000000000002</v>
      </c>
      <c r="G81" s="777">
        <f t="shared" ref="G81:G90" si="146">J166</f>
        <v>-0.86</v>
      </c>
      <c r="H81" s="777">
        <f t="shared" ref="H81:H90" si="147">M166</f>
        <v>0.81169999999999998</v>
      </c>
      <c r="I81" s="155">
        <f t="shared" si="133"/>
        <v>1</v>
      </c>
      <c r="J81" s="155">
        <f t="shared" si="134"/>
        <v>0.86200000000000898</v>
      </c>
      <c r="K81" s="155">
        <f t="shared" si="135"/>
        <v>1.8963849820118439</v>
      </c>
      <c r="L81" s="155">
        <f t="shared" si="136"/>
        <v>10</v>
      </c>
      <c r="M81" s="156">
        <f t="shared" si="137"/>
        <v>2.369829524395596</v>
      </c>
      <c r="N81" s="157">
        <f t="shared" si="138"/>
        <v>0.23698295243955961</v>
      </c>
      <c r="O81" s="155">
        <f t="shared" si="139"/>
        <v>100</v>
      </c>
      <c r="P81" s="250">
        <v>1</v>
      </c>
      <c r="Q81" s="250">
        <v>1000</v>
      </c>
      <c r="R81" s="148">
        <f t="shared" si="140"/>
        <v>23.698295243955961</v>
      </c>
      <c r="S81" s="148">
        <f t="shared" si="141"/>
        <v>2.369829524395596</v>
      </c>
      <c r="T81" s="148">
        <f t="shared" ref="T81:T90" si="148">R81*P81*0.01</f>
        <v>0.23698295243955961</v>
      </c>
      <c r="U81" s="148">
        <f t="shared" ref="U81:U90" si="149">S81*Q81*0.01</f>
        <v>23.698295243955958</v>
      </c>
      <c r="V81" s="7">
        <f t="shared" ref="V81:V90" si="150">P81*1000</f>
        <v>1000</v>
      </c>
      <c r="W81" s="7">
        <f t="shared" ref="W81:W90" si="151">Q81*1000</f>
        <v>1000000</v>
      </c>
      <c r="X81" s="1345">
        <f t="shared" ref="X81:X90" si="152">T81*1000</f>
        <v>236.9829524395596</v>
      </c>
      <c r="Y81" s="1345">
        <f t="shared" ref="Y81:Y90" si="153">U81*1000</f>
        <v>23698.295243955956</v>
      </c>
    </row>
    <row r="82" spans="1:26" x14ac:dyDescent="0.2">
      <c r="A82" s="213" t="str">
        <f t="shared" ref="A82:C82" si="154">A167</f>
        <v>NPL</v>
      </c>
      <c r="B82" s="213" t="str">
        <f t="shared" si="154"/>
        <v>M937411</v>
      </c>
      <c r="C82" s="213">
        <f t="shared" si="154"/>
        <v>79.933000000000007</v>
      </c>
      <c r="D82" s="777">
        <f t="shared" si="143"/>
        <v>9.3200000000000005E-2</v>
      </c>
      <c r="E82" s="777">
        <f t="shared" si="144"/>
        <v>79.8</v>
      </c>
      <c r="F82" s="777">
        <f t="shared" si="145"/>
        <v>0.2</v>
      </c>
      <c r="G82" s="777">
        <f t="shared" si="146"/>
        <v>-0.13</v>
      </c>
      <c r="H82" s="777">
        <f t="shared" si="147"/>
        <v>0.44130000000000003</v>
      </c>
      <c r="I82" s="155">
        <f t="shared" si="133"/>
        <v>0</v>
      </c>
      <c r="J82" s="155">
        <f t="shared" si="134"/>
        <v>0</v>
      </c>
      <c r="K82" s="155">
        <f t="shared" si="135"/>
        <v>0.4</v>
      </c>
      <c r="L82" s="155">
        <f t="shared" si="136"/>
        <v>10</v>
      </c>
      <c r="M82" s="156">
        <f t="shared" si="137"/>
        <v>0.50041910099708509</v>
      </c>
      <c r="N82" s="157">
        <f t="shared" si="138"/>
        <v>5.0041910099708514E-2</v>
      </c>
      <c r="O82" s="155">
        <f t="shared" si="139"/>
        <v>100</v>
      </c>
      <c r="P82" s="250">
        <v>1</v>
      </c>
      <c r="Q82" s="250">
        <v>1000</v>
      </c>
      <c r="R82" s="148">
        <f t="shared" si="140"/>
        <v>5.0041910099708513</v>
      </c>
      <c r="S82" s="148">
        <f t="shared" si="141"/>
        <v>0.50041910099708509</v>
      </c>
      <c r="T82" s="148">
        <f t="shared" si="148"/>
        <v>5.0041910099708514E-2</v>
      </c>
      <c r="U82" s="148">
        <f t="shared" si="149"/>
        <v>5.0041910099708513</v>
      </c>
      <c r="V82" s="7">
        <f t="shared" si="150"/>
        <v>1000</v>
      </c>
      <c r="W82" s="7">
        <f t="shared" si="151"/>
        <v>1000000</v>
      </c>
      <c r="X82" s="1345">
        <f t="shared" si="152"/>
        <v>50.041910099708517</v>
      </c>
      <c r="Y82" s="1345">
        <f t="shared" si="153"/>
        <v>5004.1910099708512</v>
      </c>
    </row>
    <row r="83" spans="1:26" x14ac:dyDescent="0.2">
      <c r="A83" s="213" t="str">
        <f t="shared" ref="A83:C83" si="155">A168</f>
        <v>VSL</v>
      </c>
      <c r="B83" s="213" t="str">
        <f t="shared" si="155"/>
        <v>M937400</v>
      </c>
      <c r="C83" s="213">
        <f t="shared" si="155"/>
        <v>80.039000000000001</v>
      </c>
      <c r="D83" s="777">
        <f t="shared" si="143"/>
        <v>9.3299999999999994E-2</v>
      </c>
      <c r="E83" s="777">
        <f t="shared" si="144"/>
        <v>79.849999999999994</v>
      </c>
      <c r="F83" s="777">
        <f t="shared" si="145"/>
        <v>0.105</v>
      </c>
      <c r="G83" s="777">
        <f t="shared" si="146"/>
        <v>-0.19</v>
      </c>
      <c r="H83" s="777">
        <f t="shared" si="147"/>
        <v>0.28100000000000003</v>
      </c>
      <c r="I83" s="155">
        <f t="shared" si="133"/>
        <v>0</v>
      </c>
      <c r="J83" s="155">
        <f t="shared" si="134"/>
        <v>0</v>
      </c>
      <c r="K83" s="155">
        <f t="shared" si="135"/>
        <v>0.21</v>
      </c>
      <c r="L83" s="155">
        <f t="shared" si="136"/>
        <v>10</v>
      </c>
      <c r="M83" s="156">
        <f t="shared" si="137"/>
        <v>0.26237209360436786</v>
      </c>
      <c r="N83" s="157">
        <f t="shared" si="138"/>
        <v>2.6237209360436786E-2</v>
      </c>
      <c r="O83" s="155">
        <f t="shared" si="139"/>
        <v>100</v>
      </c>
      <c r="P83" s="250">
        <v>1</v>
      </c>
      <c r="Q83" s="250">
        <v>1000</v>
      </c>
      <c r="R83" s="148">
        <f t="shared" si="140"/>
        <v>2.6237209360436786</v>
      </c>
      <c r="S83" s="148">
        <f t="shared" si="141"/>
        <v>0.26237209360436786</v>
      </c>
      <c r="T83" s="148">
        <f t="shared" si="148"/>
        <v>2.6237209360436786E-2</v>
      </c>
      <c r="U83" s="148">
        <f t="shared" si="149"/>
        <v>2.6237209360436786</v>
      </c>
      <c r="V83" s="7">
        <f t="shared" si="150"/>
        <v>1000</v>
      </c>
      <c r="W83" s="7">
        <f t="shared" si="151"/>
        <v>1000000</v>
      </c>
      <c r="X83" s="1345">
        <f t="shared" si="152"/>
        <v>26.237209360436786</v>
      </c>
      <c r="Y83" s="1345">
        <f t="shared" si="153"/>
        <v>2623.7209360436786</v>
      </c>
    </row>
    <row r="84" spans="1:26" x14ac:dyDescent="0.2">
      <c r="A84" s="213" t="str">
        <f t="shared" ref="A84:C84" si="156">A169</f>
        <v>CENAM</v>
      </c>
      <c r="B84" s="213" t="str">
        <f t="shared" si="156"/>
        <v>M937407</v>
      </c>
      <c r="C84" s="213">
        <f t="shared" si="156"/>
        <v>79.742999999999995</v>
      </c>
      <c r="D84" s="777">
        <f t="shared" si="143"/>
        <v>9.3100000000000002E-2</v>
      </c>
      <c r="E84" s="777">
        <f t="shared" si="144"/>
        <v>80.5</v>
      </c>
      <c r="F84" s="777">
        <f t="shared" si="145"/>
        <v>1.65</v>
      </c>
      <c r="G84" s="777">
        <f t="shared" si="146"/>
        <v>0.76</v>
      </c>
      <c r="H84" s="777">
        <f t="shared" si="147"/>
        <v>3.3052000000000001</v>
      </c>
      <c r="I84" s="155">
        <f t="shared" si="133"/>
        <v>0</v>
      </c>
      <c r="J84" s="155">
        <f t="shared" si="134"/>
        <v>0</v>
      </c>
      <c r="K84" s="155">
        <f t="shared" si="135"/>
        <v>3.3</v>
      </c>
      <c r="L84" s="155">
        <f t="shared" si="136"/>
        <v>10</v>
      </c>
      <c r="M84" s="156">
        <f t="shared" si="137"/>
        <v>4.1382942703434784</v>
      </c>
      <c r="N84" s="157">
        <f t="shared" si="138"/>
        <v>0.41382942703434789</v>
      </c>
      <c r="O84" s="155">
        <f t="shared" si="139"/>
        <v>100</v>
      </c>
      <c r="P84" s="250">
        <v>1</v>
      </c>
      <c r="Q84" s="250">
        <v>1000</v>
      </c>
      <c r="R84" s="148">
        <f t="shared" si="140"/>
        <v>41.382942703434786</v>
      </c>
      <c r="S84" s="148">
        <f t="shared" si="141"/>
        <v>4.1382942703434784</v>
      </c>
      <c r="T84" s="148">
        <f t="shared" si="148"/>
        <v>0.41382942703434789</v>
      </c>
      <c r="U84" s="148">
        <f t="shared" si="149"/>
        <v>41.382942703434786</v>
      </c>
      <c r="V84" s="7">
        <f t="shared" si="150"/>
        <v>1000</v>
      </c>
      <c r="W84" s="7">
        <f t="shared" si="151"/>
        <v>1000000</v>
      </c>
      <c r="X84" s="1345">
        <f t="shared" si="152"/>
        <v>413.82942703434787</v>
      </c>
      <c r="Y84" s="1345">
        <f t="shared" si="153"/>
        <v>41382.942703434783</v>
      </c>
    </row>
    <row r="85" spans="1:26" x14ac:dyDescent="0.2">
      <c r="A85" s="213" t="str">
        <f t="shared" ref="A85:C85" si="157">A170</f>
        <v>SMU</v>
      </c>
      <c r="B85" s="213" t="str">
        <f t="shared" si="157"/>
        <v>M937405</v>
      </c>
      <c r="C85" s="213">
        <f t="shared" si="157"/>
        <v>80.093999999999994</v>
      </c>
      <c r="D85" s="777">
        <f t="shared" si="143"/>
        <v>9.3399999999999997E-2</v>
      </c>
      <c r="E85" s="777">
        <f t="shared" si="144"/>
        <v>80.47</v>
      </c>
      <c r="F85" s="777">
        <f t="shared" si="145"/>
        <v>0.435</v>
      </c>
      <c r="G85" s="777">
        <f t="shared" si="146"/>
        <v>0.38</v>
      </c>
      <c r="H85" s="777">
        <f t="shared" si="147"/>
        <v>0.88980000000000004</v>
      </c>
      <c r="I85" s="155">
        <f t="shared" si="133"/>
        <v>0</v>
      </c>
      <c r="J85" s="155">
        <f t="shared" si="134"/>
        <v>0</v>
      </c>
      <c r="K85" s="155">
        <f t="shared" si="135"/>
        <v>0.87</v>
      </c>
      <c r="L85" s="155">
        <f t="shared" si="136"/>
        <v>10</v>
      </c>
      <c r="M85" s="156">
        <f t="shared" si="137"/>
        <v>1.0862236871675781</v>
      </c>
      <c r="N85" s="157">
        <f t="shared" si="138"/>
        <v>0.10862236871675782</v>
      </c>
      <c r="O85" s="155">
        <f t="shared" si="139"/>
        <v>100</v>
      </c>
      <c r="P85" s="250">
        <v>1</v>
      </c>
      <c r="Q85" s="250">
        <v>1000</v>
      </c>
      <c r="R85" s="148">
        <f t="shared" si="140"/>
        <v>10.862236871675782</v>
      </c>
      <c r="S85" s="148">
        <f t="shared" si="141"/>
        <v>1.0862236871675781</v>
      </c>
      <c r="T85" s="148">
        <f t="shared" si="148"/>
        <v>0.10862236871675782</v>
      </c>
      <c r="U85" s="148">
        <f t="shared" si="149"/>
        <v>10.862236871675782</v>
      </c>
      <c r="V85" s="7">
        <f t="shared" si="150"/>
        <v>1000</v>
      </c>
      <c r="W85" s="7">
        <f t="shared" si="151"/>
        <v>1000000</v>
      </c>
      <c r="X85" s="1345">
        <f t="shared" si="152"/>
        <v>108.62236871675782</v>
      </c>
      <c r="Y85" s="1345">
        <f t="shared" si="153"/>
        <v>10862.236871675781</v>
      </c>
    </row>
    <row r="86" spans="1:26" x14ac:dyDescent="0.2">
      <c r="A86" s="213" t="str">
        <f t="shared" ref="A86:C86" si="158">A171</f>
        <v>VNIIM</v>
      </c>
      <c r="B86" s="213" t="str">
        <f t="shared" si="158"/>
        <v>M937403</v>
      </c>
      <c r="C86" s="213">
        <f t="shared" si="158"/>
        <v>80.067999999999998</v>
      </c>
      <c r="D86" s="777">
        <f t="shared" si="143"/>
        <v>9.3399999999999997E-2</v>
      </c>
      <c r="E86" s="777">
        <f t="shared" si="144"/>
        <v>80.77</v>
      </c>
      <c r="F86" s="777">
        <f t="shared" si="145"/>
        <v>0.23499999999999999</v>
      </c>
      <c r="G86" s="777">
        <f t="shared" si="146"/>
        <v>0.7</v>
      </c>
      <c r="H86" s="777">
        <f t="shared" si="147"/>
        <v>0.50570000000000004</v>
      </c>
      <c r="I86" s="155">
        <f t="shared" si="133"/>
        <v>1</v>
      </c>
      <c r="J86" s="155">
        <f t="shared" si="134"/>
        <v>0.70199999999999818</v>
      </c>
      <c r="K86" s="155">
        <f t="shared" si="135"/>
        <v>1.4805796162314238</v>
      </c>
      <c r="L86" s="155">
        <f t="shared" si="136"/>
        <v>10</v>
      </c>
      <c r="M86" s="156">
        <f t="shared" si="137"/>
        <v>1.8491527404598891</v>
      </c>
      <c r="N86" s="157">
        <f t="shared" si="138"/>
        <v>0.1849152740459889</v>
      </c>
      <c r="O86" s="155">
        <f t="shared" si="139"/>
        <v>100</v>
      </c>
      <c r="P86" s="250">
        <v>1</v>
      </c>
      <c r="Q86" s="250">
        <v>1000</v>
      </c>
      <c r="R86" s="148">
        <f t="shared" si="140"/>
        <v>18.491527404598891</v>
      </c>
      <c r="S86" s="148">
        <f t="shared" si="141"/>
        <v>1.8491527404598891</v>
      </c>
      <c r="T86" s="148">
        <f t="shared" si="148"/>
        <v>0.18491527404598893</v>
      </c>
      <c r="U86" s="148">
        <f t="shared" si="149"/>
        <v>18.491527404598891</v>
      </c>
      <c r="V86" s="7">
        <f t="shared" si="150"/>
        <v>1000</v>
      </c>
      <c r="W86" s="7">
        <f t="shared" si="151"/>
        <v>1000000</v>
      </c>
      <c r="X86" s="1345">
        <f t="shared" si="152"/>
        <v>184.91527404598892</v>
      </c>
      <c r="Y86" s="1345">
        <f t="shared" si="153"/>
        <v>18491.527404598892</v>
      </c>
    </row>
    <row r="87" spans="1:26" x14ac:dyDescent="0.2">
      <c r="A87" s="213" t="str">
        <f t="shared" ref="A87:C87" si="159">A172</f>
        <v>NMISA</v>
      </c>
      <c r="B87" s="213" t="str">
        <f t="shared" si="159"/>
        <v>M937424</v>
      </c>
      <c r="C87" s="213">
        <f t="shared" si="159"/>
        <v>80.025999999999996</v>
      </c>
      <c r="D87" s="777">
        <f t="shared" si="143"/>
        <v>9.3299999999999994E-2</v>
      </c>
      <c r="E87" s="777">
        <f t="shared" si="144"/>
        <v>80.13</v>
      </c>
      <c r="F87" s="777">
        <f t="shared" si="145"/>
        <v>0.27</v>
      </c>
      <c r="G87" s="777">
        <f t="shared" si="146"/>
        <v>0.1</v>
      </c>
      <c r="H87" s="777">
        <f t="shared" si="147"/>
        <v>0.57130000000000003</v>
      </c>
      <c r="I87" s="155">
        <f t="shared" si="133"/>
        <v>0</v>
      </c>
      <c r="J87" s="155">
        <f t="shared" si="134"/>
        <v>0</v>
      </c>
      <c r="K87" s="155">
        <f t="shared" si="135"/>
        <v>0.54</v>
      </c>
      <c r="L87" s="155">
        <f t="shared" si="136"/>
        <v>10</v>
      </c>
      <c r="M87" s="156">
        <f t="shared" si="137"/>
        <v>0.67478069627371107</v>
      </c>
      <c r="N87" s="157">
        <f t="shared" si="138"/>
        <v>6.7478069627371101E-2</v>
      </c>
      <c r="O87" s="155">
        <f t="shared" si="139"/>
        <v>100</v>
      </c>
      <c r="P87" s="250">
        <v>1</v>
      </c>
      <c r="Q87" s="250">
        <v>1000</v>
      </c>
      <c r="R87" s="148">
        <f t="shared" si="140"/>
        <v>6.7478069627371102</v>
      </c>
      <c r="S87" s="148">
        <f t="shared" si="141"/>
        <v>0.67478069627371107</v>
      </c>
      <c r="T87" s="148">
        <f t="shared" si="148"/>
        <v>6.7478069627371101E-2</v>
      </c>
      <c r="U87" s="148">
        <f t="shared" si="149"/>
        <v>6.7478069627371111</v>
      </c>
      <c r="V87" s="7">
        <f t="shared" si="150"/>
        <v>1000</v>
      </c>
      <c r="W87" s="7">
        <f t="shared" si="151"/>
        <v>1000000</v>
      </c>
      <c r="X87" s="1345">
        <f t="shared" si="152"/>
        <v>67.478069627371099</v>
      </c>
      <c r="Y87" s="1345">
        <f t="shared" si="153"/>
        <v>6747.8069627371115</v>
      </c>
    </row>
    <row r="88" spans="1:26" x14ac:dyDescent="0.2">
      <c r="A88" s="213" t="str">
        <f t="shared" ref="A88:C88" si="160">A173</f>
        <v>KRISS</v>
      </c>
      <c r="B88" s="213" t="str">
        <f t="shared" si="160"/>
        <v>M937414</v>
      </c>
      <c r="C88" s="213">
        <f t="shared" si="160"/>
        <v>80.06</v>
      </c>
      <c r="D88" s="777">
        <f t="shared" si="143"/>
        <v>9.3299999999999994E-2</v>
      </c>
      <c r="E88" s="777">
        <f t="shared" si="144"/>
        <v>79.84</v>
      </c>
      <c r="F88" s="777">
        <f t="shared" si="145"/>
        <v>0.22</v>
      </c>
      <c r="G88" s="777">
        <f t="shared" si="146"/>
        <v>-0.22</v>
      </c>
      <c r="H88" s="777">
        <f t="shared" si="147"/>
        <v>0.47799999999999998</v>
      </c>
      <c r="I88" s="155">
        <f t="shared" si="133"/>
        <v>0</v>
      </c>
      <c r="J88" s="155">
        <f t="shared" si="134"/>
        <v>0</v>
      </c>
      <c r="K88" s="155">
        <f t="shared" si="135"/>
        <v>0.44</v>
      </c>
      <c r="L88" s="155">
        <f t="shared" si="136"/>
        <v>10</v>
      </c>
      <c r="M88" s="156">
        <f t="shared" si="137"/>
        <v>0.54958780914314265</v>
      </c>
      <c r="N88" s="157">
        <f t="shared" si="138"/>
        <v>5.4958780914314262E-2</v>
      </c>
      <c r="O88" s="155">
        <f t="shared" si="139"/>
        <v>100</v>
      </c>
      <c r="P88" s="250">
        <v>1</v>
      </c>
      <c r="Q88" s="250">
        <v>1000</v>
      </c>
      <c r="R88" s="148">
        <f t="shared" si="140"/>
        <v>5.4958780914314262</v>
      </c>
      <c r="S88" s="148">
        <f t="shared" si="141"/>
        <v>0.54958780914314265</v>
      </c>
      <c r="T88" s="148">
        <f t="shared" si="148"/>
        <v>5.4958780914314262E-2</v>
      </c>
      <c r="U88" s="148">
        <f t="shared" si="149"/>
        <v>5.4958780914314262</v>
      </c>
      <c r="V88" s="7">
        <f t="shared" si="150"/>
        <v>1000</v>
      </c>
      <c r="W88" s="7">
        <f t="shared" si="151"/>
        <v>1000000</v>
      </c>
      <c r="X88" s="1345">
        <f t="shared" si="152"/>
        <v>54.958780914314261</v>
      </c>
      <c r="Y88" s="1345">
        <f t="shared" si="153"/>
        <v>5495.8780914314266</v>
      </c>
    </row>
    <row r="89" spans="1:26" x14ac:dyDescent="0.2">
      <c r="A89" s="213" t="str">
        <f t="shared" ref="A89:C89" si="161">A174</f>
        <v>IPQ</v>
      </c>
      <c r="B89" s="213" t="str">
        <f t="shared" si="161"/>
        <v>M937419</v>
      </c>
      <c r="C89" s="213">
        <f t="shared" si="161"/>
        <v>80.016999999999996</v>
      </c>
      <c r="D89" s="777">
        <f t="shared" si="143"/>
        <v>9.3299999999999994E-2</v>
      </c>
      <c r="E89" s="777">
        <f t="shared" si="144"/>
        <v>79.64</v>
      </c>
      <c r="F89" s="777">
        <f t="shared" si="145"/>
        <v>0.22</v>
      </c>
      <c r="G89" s="777">
        <f t="shared" si="146"/>
        <v>-0.38</v>
      </c>
      <c r="H89" s="777">
        <f t="shared" si="147"/>
        <v>0.47789999999999999</v>
      </c>
      <c r="I89" s="155">
        <f t="shared" si="133"/>
        <v>0</v>
      </c>
      <c r="J89" s="155">
        <f t="shared" si="134"/>
        <v>0</v>
      </c>
      <c r="K89" s="155">
        <f t="shared" si="135"/>
        <v>0.44</v>
      </c>
      <c r="L89" s="155">
        <f t="shared" si="136"/>
        <v>10</v>
      </c>
      <c r="M89" s="156">
        <f t="shared" si="137"/>
        <v>0.549883149830661</v>
      </c>
      <c r="N89" s="157">
        <f t="shared" si="138"/>
        <v>5.4988314983066104E-2</v>
      </c>
      <c r="O89" s="155">
        <f t="shared" si="139"/>
        <v>100</v>
      </c>
      <c r="P89" s="250">
        <v>1</v>
      </c>
      <c r="Q89" s="250">
        <v>1000</v>
      </c>
      <c r="R89" s="148">
        <f t="shared" si="140"/>
        <v>5.4988314983066102</v>
      </c>
      <c r="S89" s="148">
        <f t="shared" si="141"/>
        <v>0.549883149830661</v>
      </c>
      <c r="T89" s="148">
        <f t="shared" si="148"/>
        <v>5.4988314983066104E-2</v>
      </c>
      <c r="U89" s="148">
        <f t="shared" si="149"/>
        <v>5.4988314983066093</v>
      </c>
      <c r="V89" s="7">
        <f t="shared" si="150"/>
        <v>1000</v>
      </c>
      <c r="W89" s="7">
        <f t="shared" si="151"/>
        <v>1000000</v>
      </c>
      <c r="X89" s="1345">
        <f t="shared" si="152"/>
        <v>54.988314983066104</v>
      </c>
      <c r="Y89" s="1345">
        <f t="shared" si="153"/>
        <v>5498.8314983066093</v>
      </c>
    </row>
    <row r="90" spans="1:26" x14ac:dyDescent="0.2">
      <c r="A90" s="213" t="str">
        <f t="shared" ref="A90:C90" si="162">A175</f>
        <v>INMETRO</v>
      </c>
      <c r="B90" s="213" t="str">
        <f t="shared" si="162"/>
        <v>M937401</v>
      </c>
      <c r="C90" s="213">
        <f t="shared" si="162"/>
        <v>80.090999999999994</v>
      </c>
      <c r="D90" s="777">
        <f t="shared" si="143"/>
        <v>9.3399999999999997E-2</v>
      </c>
      <c r="E90" s="777">
        <f t="shared" si="144"/>
        <v>80</v>
      </c>
      <c r="F90" s="777">
        <f t="shared" si="145"/>
        <v>0.45</v>
      </c>
      <c r="G90" s="777">
        <f t="shared" si="146"/>
        <v>-0.09</v>
      </c>
      <c r="H90" s="777">
        <f t="shared" si="147"/>
        <v>0.91920000000000002</v>
      </c>
      <c r="I90" s="155">
        <f t="shared" si="133"/>
        <v>0</v>
      </c>
      <c r="J90" s="155">
        <f t="shared" si="134"/>
        <v>0</v>
      </c>
      <c r="K90" s="155">
        <f t="shared" si="135"/>
        <v>0.9</v>
      </c>
      <c r="L90" s="155">
        <f t="shared" si="136"/>
        <v>10</v>
      </c>
      <c r="M90" s="156">
        <f t="shared" si="137"/>
        <v>1.1237217664906172</v>
      </c>
      <c r="N90" s="157">
        <f t="shared" si="138"/>
        <v>0.11237217664906173</v>
      </c>
      <c r="O90" s="155">
        <f t="shared" si="139"/>
        <v>100</v>
      </c>
      <c r="P90" s="250">
        <v>1</v>
      </c>
      <c r="Q90" s="250">
        <v>1000</v>
      </c>
      <c r="R90" s="148">
        <f t="shared" si="140"/>
        <v>11.237217664906172</v>
      </c>
      <c r="S90" s="148">
        <f t="shared" si="141"/>
        <v>1.1237217664906172</v>
      </c>
      <c r="T90" s="148">
        <f t="shared" si="148"/>
        <v>0.11237217664906173</v>
      </c>
      <c r="U90" s="148">
        <f t="shared" si="149"/>
        <v>11.237217664906172</v>
      </c>
      <c r="V90" s="7">
        <f t="shared" si="150"/>
        <v>1000</v>
      </c>
      <c r="W90" s="7">
        <f t="shared" si="151"/>
        <v>1000000</v>
      </c>
      <c r="X90" s="1345">
        <f t="shared" si="152"/>
        <v>112.37217664906173</v>
      </c>
      <c r="Y90" s="1345">
        <f t="shared" si="153"/>
        <v>11237.217664906173</v>
      </c>
    </row>
    <row r="91" spans="1:26" ht="14.25" x14ac:dyDescent="0.2">
      <c r="U91" s="152"/>
      <c r="V91" s="21"/>
      <c r="W91" s="21"/>
      <c r="X91" s="21"/>
      <c r="Y91" s="21"/>
      <c r="Z91" s="21"/>
    </row>
    <row r="92" spans="1:26" ht="14.25" x14ac:dyDescent="0.2">
      <c r="U92" s="152"/>
      <c r="V92" s="21"/>
      <c r="W92" s="21"/>
      <c r="X92" s="21"/>
      <c r="Y92" s="21"/>
      <c r="Z92" s="21"/>
    </row>
    <row r="93" spans="1:26" ht="14.25" x14ac:dyDescent="0.2">
      <c r="U93" s="152"/>
      <c r="V93" s="21"/>
      <c r="W93" s="21"/>
      <c r="X93" s="21"/>
      <c r="Y93" s="21"/>
      <c r="Z93" s="21"/>
    </row>
    <row r="94" spans="1:26" s="227" customFormat="1" ht="16.899999999999999" customHeight="1" x14ac:dyDescent="0.2">
      <c r="A94" s="676" t="s">
        <v>708</v>
      </c>
    </row>
    <row r="95" spans="1:26" s="227" customFormat="1" ht="12" customHeight="1" x14ac:dyDescent="0.2">
      <c r="A95" s="675" t="s">
        <v>709</v>
      </c>
    </row>
    <row r="96" spans="1:26" s="227" customFormat="1" ht="13.15" customHeight="1" x14ac:dyDescent="0.2">
      <c r="A96" s="227" t="s">
        <v>710</v>
      </c>
    </row>
    <row r="97" spans="1:14" s="227" customFormat="1" ht="13.15" customHeight="1" x14ac:dyDescent="0.2">
      <c r="A97" s="227" t="s">
        <v>711</v>
      </c>
    </row>
    <row r="98" spans="1:14" s="227" customFormat="1" ht="13.15" customHeight="1" x14ac:dyDescent="0.2">
      <c r="A98" s="227" t="s">
        <v>712</v>
      </c>
    </row>
    <row r="99" spans="1:14" s="227" customFormat="1" ht="13.15" customHeight="1" x14ac:dyDescent="0.2">
      <c r="A99" s="227" t="s">
        <v>713</v>
      </c>
    </row>
    <row r="100" spans="1:14" s="227" customFormat="1" ht="13.15" customHeight="1" x14ac:dyDescent="0.2">
      <c r="A100" s="227" t="s">
        <v>714</v>
      </c>
    </row>
    <row r="101" spans="1:14" s="227" customFormat="1" ht="13.15" customHeight="1" x14ac:dyDescent="0.2">
      <c r="A101" s="227" t="s">
        <v>715</v>
      </c>
    </row>
    <row r="102" spans="1:14" s="227" customFormat="1" ht="12" customHeight="1" x14ac:dyDescent="0.2">
      <c r="A102" s="227" t="s">
        <v>716</v>
      </c>
    </row>
    <row r="103" spans="1:14" s="227" customFormat="1" ht="12" customHeight="1" x14ac:dyDescent="0.2">
      <c r="A103" s="227" t="s">
        <v>717</v>
      </c>
    </row>
    <row r="104" spans="1:14" s="227" customFormat="1" ht="15" customHeight="1" x14ac:dyDescent="0.2">
      <c r="A104" s="227" t="s">
        <v>718</v>
      </c>
    </row>
    <row r="105" spans="1:14" s="227" customFormat="1" ht="15" customHeight="1" x14ac:dyDescent="0.2"/>
    <row r="106" spans="1:14" s="227" customFormat="1" ht="12" customHeight="1" x14ac:dyDescent="0.2">
      <c r="A106" s="523" t="s">
        <v>22</v>
      </c>
    </row>
    <row r="107" spans="1:14" s="227" customFormat="1" ht="60" x14ac:dyDescent="0.2">
      <c r="A107" s="677" t="s">
        <v>23</v>
      </c>
      <c r="B107" s="677" t="s">
        <v>24</v>
      </c>
      <c r="C107" s="678" t="s">
        <v>25</v>
      </c>
      <c r="D107" s="679" t="s">
        <v>26</v>
      </c>
      <c r="E107" s="679" t="s">
        <v>27</v>
      </c>
      <c r="F107" s="680" t="s">
        <v>28</v>
      </c>
      <c r="G107" s="678" t="s">
        <v>29</v>
      </c>
      <c r="H107" s="679" t="s">
        <v>61</v>
      </c>
      <c r="I107" s="680" t="s">
        <v>62</v>
      </c>
      <c r="J107" s="678" t="s">
        <v>30</v>
      </c>
      <c r="K107" s="679" t="s">
        <v>31</v>
      </c>
      <c r="L107" s="681" t="s">
        <v>719</v>
      </c>
      <c r="M107" s="682" t="s">
        <v>720</v>
      </c>
      <c r="N107" s="680" t="s">
        <v>32</v>
      </c>
    </row>
    <row r="108" spans="1:14" s="227" customFormat="1" x14ac:dyDescent="0.2">
      <c r="A108" s="683" t="s">
        <v>63</v>
      </c>
      <c r="B108" s="683" t="s">
        <v>64</v>
      </c>
      <c r="C108" s="684">
        <v>40.082999999999998</v>
      </c>
      <c r="D108" s="684">
        <v>3.4000000000000002E-2</v>
      </c>
      <c r="E108" s="685">
        <v>6.012E-2</v>
      </c>
      <c r="F108" s="685">
        <v>6.9070000000000006E-2</v>
      </c>
      <c r="G108" s="686">
        <v>40.112000000000002</v>
      </c>
      <c r="H108" s="686">
        <v>6.3E-2</v>
      </c>
      <c r="I108" s="687">
        <v>2</v>
      </c>
      <c r="J108" s="688">
        <v>0.03</v>
      </c>
      <c r="K108" s="689">
        <v>6.9999999999999999E-4</v>
      </c>
      <c r="L108" s="690">
        <v>2</v>
      </c>
      <c r="M108" s="691">
        <v>0.15179999999999999</v>
      </c>
      <c r="N108" s="689">
        <v>3.8E-3</v>
      </c>
    </row>
    <row r="109" spans="1:14" s="227" customFormat="1" x14ac:dyDescent="0.2">
      <c r="A109" s="683" t="s">
        <v>65</v>
      </c>
      <c r="B109" s="683" t="s">
        <v>66</v>
      </c>
      <c r="C109" s="684">
        <v>40.091999999999999</v>
      </c>
      <c r="D109" s="684">
        <v>3.4000000000000002E-2</v>
      </c>
      <c r="E109" s="685">
        <v>6.0139999999999999E-2</v>
      </c>
      <c r="F109" s="685">
        <v>6.9080000000000003E-2</v>
      </c>
      <c r="G109" s="686">
        <v>40.049999999999997</v>
      </c>
      <c r="H109" s="686">
        <v>0.24</v>
      </c>
      <c r="I109" s="687">
        <v>2</v>
      </c>
      <c r="J109" s="688">
        <v>-0.04</v>
      </c>
      <c r="K109" s="689">
        <v>-1E-3</v>
      </c>
      <c r="L109" s="690">
        <v>2</v>
      </c>
      <c r="M109" s="691">
        <v>0.27689999999999998</v>
      </c>
      <c r="N109" s="689">
        <v>6.8999999999999999E-3</v>
      </c>
    </row>
    <row r="110" spans="1:14" s="227" customFormat="1" x14ac:dyDescent="0.2">
      <c r="A110" s="683" t="s">
        <v>56</v>
      </c>
      <c r="B110" s="683" t="s">
        <v>57</v>
      </c>
      <c r="C110" s="684">
        <v>40.046999999999997</v>
      </c>
      <c r="D110" s="684">
        <v>3.4000000000000002E-2</v>
      </c>
      <c r="E110" s="685">
        <v>6.0069999999999998E-2</v>
      </c>
      <c r="F110" s="685">
        <v>6.9029999999999994E-2</v>
      </c>
      <c r="G110" s="686">
        <v>40</v>
      </c>
      <c r="H110" s="686">
        <v>0.2</v>
      </c>
      <c r="I110" s="687">
        <v>2</v>
      </c>
      <c r="J110" s="688">
        <v>-0.05</v>
      </c>
      <c r="K110" s="689">
        <v>-1.1999999999999999E-3</v>
      </c>
      <c r="L110" s="690">
        <v>2</v>
      </c>
      <c r="M110" s="691">
        <v>0.24299999999999999</v>
      </c>
      <c r="N110" s="689">
        <v>6.1000000000000004E-3</v>
      </c>
    </row>
    <row r="111" spans="1:14" s="227" customFormat="1" x14ac:dyDescent="0.2">
      <c r="A111" s="683" t="s">
        <v>33</v>
      </c>
      <c r="B111" s="683" t="s">
        <v>34</v>
      </c>
      <c r="C111" s="684">
        <v>40.100999999999999</v>
      </c>
      <c r="D111" s="684">
        <v>3.4000000000000002E-2</v>
      </c>
      <c r="E111" s="685">
        <v>6.0150000000000002E-2</v>
      </c>
      <c r="F111" s="685">
        <v>6.9099999999999995E-2</v>
      </c>
      <c r="G111" s="686">
        <v>40.200000000000003</v>
      </c>
      <c r="H111" s="686">
        <v>0.38</v>
      </c>
      <c r="I111" s="687">
        <v>2</v>
      </c>
      <c r="J111" s="688">
        <v>0.1</v>
      </c>
      <c r="K111" s="689">
        <v>2.5000000000000001E-3</v>
      </c>
      <c r="L111" s="690">
        <v>2</v>
      </c>
      <c r="M111" s="691">
        <v>0.40429999999999999</v>
      </c>
      <c r="N111" s="689">
        <v>1.01E-2</v>
      </c>
    </row>
    <row r="112" spans="1:14" s="227" customFormat="1" x14ac:dyDescent="0.2">
      <c r="A112" s="683" t="s">
        <v>35</v>
      </c>
      <c r="B112" s="683" t="s">
        <v>36</v>
      </c>
      <c r="C112" s="684">
        <v>39.953000000000003</v>
      </c>
      <c r="D112" s="684">
        <v>3.4000000000000002E-2</v>
      </c>
      <c r="E112" s="685">
        <v>5.9929999999999997E-2</v>
      </c>
      <c r="F112" s="685">
        <v>6.8900000000000003E-2</v>
      </c>
      <c r="G112" s="686">
        <v>40.1</v>
      </c>
      <c r="H112" s="686">
        <v>0.51</v>
      </c>
      <c r="I112" s="687">
        <v>2</v>
      </c>
      <c r="J112" s="688">
        <v>0.15</v>
      </c>
      <c r="K112" s="689">
        <v>3.7000000000000002E-3</v>
      </c>
      <c r="L112" s="690">
        <v>2</v>
      </c>
      <c r="M112" s="691">
        <v>0.52829999999999999</v>
      </c>
      <c r="N112" s="689">
        <v>1.32E-2</v>
      </c>
    </row>
    <row r="113" spans="1:14" s="227" customFormat="1" x14ac:dyDescent="0.2">
      <c r="A113" s="683" t="s">
        <v>37</v>
      </c>
      <c r="B113" s="683" t="s">
        <v>38</v>
      </c>
      <c r="C113" s="684">
        <v>40.128</v>
      </c>
      <c r="D113" s="684">
        <v>3.4000000000000002E-2</v>
      </c>
      <c r="E113" s="685">
        <v>6.019E-2</v>
      </c>
      <c r="F113" s="685">
        <v>6.9129999999999997E-2</v>
      </c>
      <c r="G113" s="686">
        <v>40.11</v>
      </c>
      <c r="H113" s="686">
        <v>0.19</v>
      </c>
      <c r="I113" s="687">
        <v>2</v>
      </c>
      <c r="J113" s="688">
        <v>-0.02</v>
      </c>
      <c r="K113" s="689">
        <v>-4.0000000000000002E-4</v>
      </c>
      <c r="L113" s="690">
        <v>2</v>
      </c>
      <c r="M113" s="691">
        <v>0.23499999999999999</v>
      </c>
      <c r="N113" s="689">
        <v>5.8999999999999999E-3</v>
      </c>
    </row>
    <row r="114" spans="1:14" s="227" customFormat="1" x14ac:dyDescent="0.2">
      <c r="A114" s="683" t="s">
        <v>39</v>
      </c>
      <c r="B114" s="683" t="s">
        <v>40</v>
      </c>
      <c r="C114" s="684">
        <v>40.116</v>
      </c>
      <c r="D114" s="684">
        <v>3.4000000000000002E-2</v>
      </c>
      <c r="E114" s="685">
        <v>6.0170000000000001E-2</v>
      </c>
      <c r="F114" s="685">
        <v>6.9120000000000001E-2</v>
      </c>
      <c r="G114" s="686">
        <v>45.22</v>
      </c>
      <c r="H114" s="686">
        <v>0.25</v>
      </c>
      <c r="I114" s="687">
        <v>2</v>
      </c>
      <c r="J114" s="688">
        <v>5.0999999999999996</v>
      </c>
      <c r="K114" s="689">
        <v>0.12720000000000001</v>
      </c>
      <c r="L114" s="690">
        <v>2</v>
      </c>
      <c r="M114" s="691">
        <v>0.28570000000000001</v>
      </c>
      <c r="N114" s="689">
        <v>7.1000000000000004E-3</v>
      </c>
    </row>
    <row r="115" spans="1:14" s="227" customFormat="1" x14ac:dyDescent="0.2">
      <c r="A115" s="683" t="s">
        <v>41</v>
      </c>
      <c r="B115" s="683" t="s">
        <v>42</v>
      </c>
      <c r="C115" s="684">
        <v>40.094000000000001</v>
      </c>
      <c r="D115" s="684">
        <v>3.4000000000000002E-2</v>
      </c>
      <c r="E115" s="685">
        <v>6.0139999999999999E-2</v>
      </c>
      <c r="F115" s="685">
        <v>6.9089999999999999E-2</v>
      </c>
      <c r="G115" s="686">
        <v>39.799999999999997</v>
      </c>
      <c r="H115" s="686">
        <v>0.21</v>
      </c>
      <c r="I115" s="687">
        <v>2</v>
      </c>
      <c r="J115" s="688">
        <v>-0.28999999999999998</v>
      </c>
      <c r="K115" s="689">
        <v>-7.3000000000000001E-3</v>
      </c>
      <c r="L115" s="690">
        <v>2</v>
      </c>
      <c r="M115" s="691">
        <v>0.25140000000000001</v>
      </c>
      <c r="N115" s="689">
        <v>6.3E-3</v>
      </c>
    </row>
    <row r="116" spans="1:14" s="227" customFormat="1" x14ac:dyDescent="0.2">
      <c r="A116" s="683" t="s">
        <v>43</v>
      </c>
      <c r="B116" s="683" t="s">
        <v>44</v>
      </c>
      <c r="C116" s="684">
        <v>40.110999999999997</v>
      </c>
      <c r="D116" s="684">
        <v>3.4000000000000002E-2</v>
      </c>
      <c r="E116" s="685">
        <v>6.0170000000000001E-2</v>
      </c>
      <c r="F116" s="685">
        <v>6.9110000000000005E-2</v>
      </c>
      <c r="G116" s="686">
        <v>39.909999999999997</v>
      </c>
      <c r="H116" s="686">
        <v>0.14000000000000001</v>
      </c>
      <c r="I116" s="687">
        <v>2</v>
      </c>
      <c r="J116" s="688">
        <v>-0.2</v>
      </c>
      <c r="K116" s="689">
        <v>-5.0000000000000001E-3</v>
      </c>
      <c r="L116" s="690">
        <v>2</v>
      </c>
      <c r="M116" s="691">
        <v>0.19670000000000001</v>
      </c>
      <c r="N116" s="689">
        <v>4.8999999999999998E-3</v>
      </c>
    </row>
    <row r="117" spans="1:14" s="227" customFormat="1" x14ac:dyDescent="0.2">
      <c r="A117" s="683" t="s">
        <v>45</v>
      </c>
      <c r="B117" s="683" t="s">
        <v>46</v>
      </c>
      <c r="C117" s="684">
        <v>40.090000000000003</v>
      </c>
      <c r="D117" s="684">
        <v>3.4000000000000002E-2</v>
      </c>
      <c r="E117" s="685">
        <v>6.0139999999999999E-2</v>
      </c>
      <c r="F117" s="685">
        <v>6.9080000000000003E-2</v>
      </c>
      <c r="G117" s="686">
        <v>38.53</v>
      </c>
      <c r="H117" s="686">
        <v>0.3</v>
      </c>
      <c r="I117" s="687">
        <v>2</v>
      </c>
      <c r="J117" s="688">
        <v>-1.56</v>
      </c>
      <c r="K117" s="689">
        <v>-3.8899999999999997E-2</v>
      </c>
      <c r="L117" s="690">
        <v>2</v>
      </c>
      <c r="M117" s="691">
        <v>0.33029999999999998</v>
      </c>
      <c r="N117" s="689">
        <v>8.2000000000000007E-3</v>
      </c>
    </row>
    <row r="118" spans="1:14" s="227" customFormat="1" ht="24" x14ac:dyDescent="0.2">
      <c r="A118" s="683" t="s">
        <v>47</v>
      </c>
      <c r="B118" s="683" t="s">
        <v>48</v>
      </c>
      <c r="C118" s="684">
        <v>40.127000000000002</v>
      </c>
      <c r="D118" s="684">
        <v>3.4000000000000002E-2</v>
      </c>
      <c r="E118" s="685">
        <v>6.019E-2</v>
      </c>
      <c r="F118" s="685">
        <v>6.9129999999999997E-2</v>
      </c>
      <c r="G118" s="686">
        <v>29.495000000000001</v>
      </c>
      <c r="H118" s="686">
        <v>0.36899999999999999</v>
      </c>
      <c r="I118" s="687">
        <v>2</v>
      </c>
      <c r="J118" s="688">
        <v>-10.63</v>
      </c>
      <c r="K118" s="689">
        <v>-0.26500000000000001</v>
      </c>
      <c r="L118" s="690">
        <v>2</v>
      </c>
      <c r="M118" s="691">
        <v>0.39410000000000001</v>
      </c>
      <c r="N118" s="689">
        <v>9.7999999999999997E-3</v>
      </c>
    </row>
    <row r="119" spans="1:14" s="227" customFormat="1" x14ac:dyDescent="0.2">
      <c r="A119" s="227" t="s">
        <v>49</v>
      </c>
    </row>
    <row r="120" spans="1:14" s="227" customFormat="1" x14ac:dyDescent="0.2"/>
    <row r="121" spans="1:14" s="227" customFormat="1" x14ac:dyDescent="0.2">
      <c r="A121" s="523" t="s">
        <v>50</v>
      </c>
    </row>
    <row r="122" spans="1:14" s="227" customFormat="1" ht="60" x14ac:dyDescent="0.2">
      <c r="A122" s="677" t="s">
        <v>23</v>
      </c>
      <c r="B122" s="677" t="s">
        <v>24</v>
      </c>
      <c r="C122" s="678" t="s">
        <v>51</v>
      </c>
      <c r="D122" s="679" t="s">
        <v>52</v>
      </c>
      <c r="E122" s="679" t="s">
        <v>53</v>
      </c>
      <c r="F122" s="680" t="s">
        <v>54</v>
      </c>
      <c r="G122" s="678" t="s">
        <v>55</v>
      </c>
      <c r="H122" s="679" t="s">
        <v>67</v>
      </c>
      <c r="I122" s="680" t="s">
        <v>62</v>
      </c>
      <c r="J122" s="678" t="s">
        <v>30</v>
      </c>
      <c r="K122" s="679" t="s">
        <v>31</v>
      </c>
      <c r="L122" s="681" t="s">
        <v>719</v>
      </c>
      <c r="M122" s="682" t="s">
        <v>720</v>
      </c>
      <c r="N122" s="680" t="s">
        <v>32</v>
      </c>
    </row>
    <row r="123" spans="1:14" s="227" customFormat="1" x14ac:dyDescent="0.2">
      <c r="A123" s="692" t="s">
        <v>63</v>
      </c>
      <c r="B123" s="692" t="s">
        <v>64</v>
      </c>
      <c r="C123" s="693">
        <v>119.8</v>
      </c>
      <c r="D123" s="694">
        <v>1.2E-2</v>
      </c>
      <c r="E123" s="695">
        <v>0.1198</v>
      </c>
      <c r="F123" s="696">
        <v>0.12039999999999999</v>
      </c>
      <c r="G123" s="697">
        <v>119.93</v>
      </c>
      <c r="H123" s="698">
        <v>0.11</v>
      </c>
      <c r="I123" s="699">
        <v>2</v>
      </c>
      <c r="J123" s="700">
        <v>0.13</v>
      </c>
      <c r="K123" s="701">
        <v>1.1000000000000001E-3</v>
      </c>
      <c r="L123" s="702">
        <v>2</v>
      </c>
      <c r="M123" s="703">
        <v>0.26500000000000001</v>
      </c>
      <c r="N123" s="704">
        <v>2.2000000000000001E-3</v>
      </c>
    </row>
    <row r="124" spans="1:14" s="227" customFormat="1" x14ac:dyDescent="0.2">
      <c r="A124" s="705" t="s">
        <v>65</v>
      </c>
      <c r="B124" s="705" t="s">
        <v>66</v>
      </c>
      <c r="C124" s="706">
        <v>120.1</v>
      </c>
      <c r="D124" s="707">
        <v>1.2E-2</v>
      </c>
      <c r="E124" s="708">
        <v>0.1201</v>
      </c>
      <c r="F124" s="709">
        <v>0.1207</v>
      </c>
      <c r="G124" s="710">
        <v>120.2</v>
      </c>
      <c r="H124" s="711">
        <v>0.6</v>
      </c>
      <c r="I124" s="712">
        <v>2</v>
      </c>
      <c r="J124" s="713">
        <v>0.1</v>
      </c>
      <c r="K124" s="714">
        <v>8.0000000000000004E-4</v>
      </c>
      <c r="L124" s="715">
        <v>2</v>
      </c>
      <c r="M124" s="716">
        <v>0.64700000000000002</v>
      </c>
      <c r="N124" s="717">
        <v>5.4000000000000003E-3</v>
      </c>
    </row>
    <row r="125" spans="1:14" s="227" customFormat="1" x14ac:dyDescent="0.2">
      <c r="A125" s="705" t="s">
        <v>56</v>
      </c>
      <c r="B125" s="705" t="s">
        <v>57</v>
      </c>
      <c r="C125" s="706">
        <v>119.79</v>
      </c>
      <c r="D125" s="707">
        <v>1.2E-2</v>
      </c>
      <c r="E125" s="708">
        <v>0.11978999999999999</v>
      </c>
      <c r="F125" s="709">
        <v>0.12039</v>
      </c>
      <c r="G125" s="710">
        <v>119.7</v>
      </c>
      <c r="H125" s="711">
        <v>0.2</v>
      </c>
      <c r="I125" s="712">
        <v>2</v>
      </c>
      <c r="J125" s="713">
        <v>-0.09</v>
      </c>
      <c r="K125" s="714">
        <v>-8.0000000000000004E-4</v>
      </c>
      <c r="L125" s="715">
        <v>2</v>
      </c>
      <c r="M125" s="716">
        <v>0.313</v>
      </c>
      <c r="N125" s="717">
        <v>2.5999999999999999E-3</v>
      </c>
    </row>
    <row r="126" spans="1:14" s="227" customFormat="1" x14ac:dyDescent="0.2">
      <c r="A126" s="705" t="s">
        <v>33</v>
      </c>
      <c r="B126" s="705" t="s">
        <v>34</v>
      </c>
      <c r="C126" s="706">
        <v>120.01</v>
      </c>
      <c r="D126" s="707">
        <v>1.2E-2</v>
      </c>
      <c r="E126" s="708">
        <v>0.12001000000000001</v>
      </c>
      <c r="F126" s="709">
        <v>0.12060999999999999</v>
      </c>
      <c r="G126" s="710">
        <v>120.07</v>
      </c>
      <c r="H126" s="711">
        <v>0.34</v>
      </c>
      <c r="I126" s="712">
        <v>2</v>
      </c>
      <c r="J126" s="713">
        <v>0.06</v>
      </c>
      <c r="K126" s="714">
        <v>5.0000000000000001E-4</v>
      </c>
      <c r="L126" s="715">
        <v>2</v>
      </c>
      <c r="M126" s="716">
        <v>0.41699999999999998</v>
      </c>
      <c r="N126" s="717">
        <v>3.5000000000000001E-3</v>
      </c>
    </row>
    <row r="127" spans="1:14" s="227" customFormat="1" x14ac:dyDescent="0.2">
      <c r="A127" s="705" t="s">
        <v>35</v>
      </c>
      <c r="B127" s="705" t="s">
        <v>36</v>
      </c>
      <c r="C127" s="706">
        <v>120.33</v>
      </c>
      <c r="D127" s="707">
        <v>1.2E-2</v>
      </c>
      <c r="E127" s="708">
        <v>0.12033000000000001</v>
      </c>
      <c r="F127" s="709">
        <v>0.12093</v>
      </c>
      <c r="G127" s="710">
        <v>120.17</v>
      </c>
      <c r="H127" s="711">
        <v>0.94</v>
      </c>
      <c r="I127" s="712">
        <v>2</v>
      </c>
      <c r="J127" s="713">
        <v>-0.16</v>
      </c>
      <c r="K127" s="714">
        <v>-1.2999999999999999E-3</v>
      </c>
      <c r="L127" s="715">
        <v>2</v>
      </c>
      <c r="M127" s="716">
        <v>0.97099999999999997</v>
      </c>
      <c r="N127" s="717">
        <v>8.0999999999999996E-3</v>
      </c>
    </row>
    <row r="128" spans="1:14" s="227" customFormat="1" x14ac:dyDescent="0.2">
      <c r="A128" s="705" t="s">
        <v>37</v>
      </c>
      <c r="B128" s="705" t="s">
        <v>38</v>
      </c>
      <c r="C128" s="706">
        <v>120.04</v>
      </c>
      <c r="D128" s="707">
        <v>1.2E-2</v>
      </c>
      <c r="E128" s="708">
        <v>0.12003999999999999</v>
      </c>
      <c r="F128" s="709">
        <v>0.12064</v>
      </c>
      <c r="G128" s="710">
        <v>119.98</v>
      </c>
      <c r="H128" s="711">
        <v>0.12</v>
      </c>
      <c r="I128" s="712">
        <v>2</v>
      </c>
      <c r="J128" s="713">
        <v>-0.06</v>
      </c>
      <c r="K128" s="714">
        <v>-5.0000000000000001E-4</v>
      </c>
      <c r="L128" s="715">
        <v>2</v>
      </c>
      <c r="M128" s="716">
        <v>0.26900000000000002</v>
      </c>
      <c r="N128" s="717">
        <v>2.2000000000000001E-3</v>
      </c>
    </row>
    <row r="129" spans="1:14" s="227" customFormat="1" x14ac:dyDescent="0.2">
      <c r="A129" s="705" t="s">
        <v>39</v>
      </c>
      <c r="B129" s="705" t="s">
        <v>40</v>
      </c>
      <c r="C129" s="706">
        <v>120.24</v>
      </c>
      <c r="D129" s="707">
        <v>1.2E-2</v>
      </c>
      <c r="E129" s="708">
        <v>0.12024</v>
      </c>
      <c r="F129" s="709">
        <v>0.12084</v>
      </c>
      <c r="G129" s="710">
        <v>120</v>
      </c>
      <c r="H129" s="711">
        <v>0.56999999999999995</v>
      </c>
      <c r="I129" s="712">
        <v>2</v>
      </c>
      <c r="J129" s="713">
        <v>-0.24</v>
      </c>
      <c r="K129" s="714">
        <v>-2E-3</v>
      </c>
      <c r="L129" s="715">
        <v>2</v>
      </c>
      <c r="M129" s="716">
        <v>0.61899999999999999</v>
      </c>
      <c r="N129" s="717">
        <v>5.1000000000000004E-3</v>
      </c>
    </row>
    <row r="130" spans="1:14" s="227" customFormat="1" x14ac:dyDescent="0.2">
      <c r="A130" s="705" t="s">
        <v>41</v>
      </c>
      <c r="B130" s="705" t="s">
        <v>42</v>
      </c>
      <c r="C130" s="706">
        <v>119.97</v>
      </c>
      <c r="D130" s="707">
        <v>1.2E-2</v>
      </c>
      <c r="E130" s="708">
        <v>0.11996999999999999</v>
      </c>
      <c r="F130" s="709">
        <v>0.12057</v>
      </c>
      <c r="G130" s="710">
        <v>120.17</v>
      </c>
      <c r="H130" s="711">
        <v>0.26</v>
      </c>
      <c r="I130" s="712">
        <v>2</v>
      </c>
      <c r="J130" s="713">
        <v>0.2</v>
      </c>
      <c r="K130" s="714">
        <v>1.6999999999999999E-3</v>
      </c>
      <c r="L130" s="715">
        <v>2</v>
      </c>
      <c r="M130" s="716">
        <v>0.35499999999999998</v>
      </c>
      <c r="N130" s="717">
        <v>3.0000000000000001E-3</v>
      </c>
    </row>
    <row r="131" spans="1:14" s="227" customFormat="1" x14ac:dyDescent="0.2">
      <c r="A131" s="705" t="s">
        <v>43</v>
      </c>
      <c r="B131" s="705" t="s">
        <v>44</v>
      </c>
      <c r="C131" s="706">
        <v>119.89</v>
      </c>
      <c r="D131" s="707">
        <v>1.2E-2</v>
      </c>
      <c r="E131" s="708">
        <v>0.11989</v>
      </c>
      <c r="F131" s="709">
        <v>0.12049</v>
      </c>
      <c r="G131" s="710">
        <v>119.88</v>
      </c>
      <c r="H131" s="711">
        <v>0.12</v>
      </c>
      <c r="I131" s="712">
        <v>2</v>
      </c>
      <c r="J131" s="713">
        <v>-0.01</v>
      </c>
      <c r="K131" s="714">
        <v>-1E-4</v>
      </c>
      <c r="L131" s="715">
        <v>2</v>
      </c>
      <c r="M131" s="716">
        <v>0.26900000000000002</v>
      </c>
      <c r="N131" s="717">
        <v>2.2000000000000001E-3</v>
      </c>
    </row>
    <row r="132" spans="1:14" s="227" customFormat="1" x14ac:dyDescent="0.2">
      <c r="A132" s="705" t="s">
        <v>45</v>
      </c>
      <c r="B132" s="705" t="s">
        <v>46</v>
      </c>
      <c r="C132" s="706">
        <v>119.92</v>
      </c>
      <c r="D132" s="707">
        <v>1.2E-2</v>
      </c>
      <c r="E132" s="708">
        <v>0.11992</v>
      </c>
      <c r="F132" s="709">
        <v>0.12052</v>
      </c>
      <c r="G132" s="710">
        <v>120.61</v>
      </c>
      <c r="H132" s="711">
        <v>0.32</v>
      </c>
      <c r="I132" s="712">
        <v>2</v>
      </c>
      <c r="J132" s="713">
        <v>0.69</v>
      </c>
      <c r="K132" s="714">
        <v>5.7999999999999996E-3</v>
      </c>
      <c r="L132" s="715">
        <v>2</v>
      </c>
      <c r="M132" s="716">
        <v>0.40100000000000002</v>
      </c>
      <c r="N132" s="717">
        <v>3.3E-3</v>
      </c>
    </row>
    <row r="133" spans="1:14" s="227" customFormat="1" ht="24" x14ac:dyDescent="0.2">
      <c r="A133" s="718" t="s">
        <v>47</v>
      </c>
      <c r="B133" s="718" t="s">
        <v>48</v>
      </c>
      <c r="C133" s="719">
        <v>119.9</v>
      </c>
      <c r="D133" s="720">
        <v>1.2E-2</v>
      </c>
      <c r="E133" s="721">
        <v>0.11990000000000001</v>
      </c>
      <c r="F133" s="722">
        <v>0.1205</v>
      </c>
      <c r="G133" s="723">
        <v>119.72</v>
      </c>
      <c r="H133" s="724">
        <v>1.1100000000000001</v>
      </c>
      <c r="I133" s="725">
        <v>2</v>
      </c>
      <c r="J133" s="726">
        <v>-0.18</v>
      </c>
      <c r="K133" s="727">
        <v>-1.5E-3</v>
      </c>
      <c r="L133" s="728">
        <v>2</v>
      </c>
      <c r="M133" s="729">
        <v>1.1359999999999999</v>
      </c>
      <c r="N133" s="730">
        <v>9.4999999999999998E-3</v>
      </c>
    </row>
    <row r="134" spans="1:14" s="227" customFormat="1" x14ac:dyDescent="0.2">
      <c r="A134" s="731"/>
      <c r="B134" s="731"/>
      <c r="C134" s="716"/>
      <c r="D134" s="707"/>
      <c r="E134" s="708"/>
      <c r="F134" s="708"/>
      <c r="G134" s="711"/>
      <c r="H134" s="711"/>
      <c r="I134" s="732"/>
      <c r="J134" s="707"/>
      <c r="K134" s="714"/>
      <c r="L134" s="733"/>
      <c r="M134" s="716"/>
      <c r="N134" s="714"/>
    </row>
    <row r="135" spans="1:14" s="227" customFormat="1" x14ac:dyDescent="0.2">
      <c r="A135" s="523" t="s">
        <v>58</v>
      </c>
    </row>
    <row r="136" spans="1:14" s="227" customFormat="1" ht="60" x14ac:dyDescent="0.2">
      <c r="A136" s="677" t="s">
        <v>23</v>
      </c>
      <c r="B136" s="677" t="s">
        <v>24</v>
      </c>
      <c r="C136" s="678" t="s">
        <v>25</v>
      </c>
      <c r="D136" s="679" t="s">
        <v>26</v>
      </c>
      <c r="E136" s="679" t="s">
        <v>27</v>
      </c>
      <c r="F136" s="680" t="s">
        <v>28</v>
      </c>
      <c r="G136" s="678" t="s">
        <v>29</v>
      </c>
      <c r="H136" s="679" t="s">
        <v>61</v>
      </c>
      <c r="I136" s="680" t="s">
        <v>62</v>
      </c>
      <c r="J136" s="678" t="s">
        <v>30</v>
      </c>
      <c r="K136" s="679" t="s">
        <v>31</v>
      </c>
      <c r="L136" s="681" t="s">
        <v>719</v>
      </c>
      <c r="M136" s="682" t="s">
        <v>720</v>
      </c>
      <c r="N136" s="680" t="s">
        <v>32</v>
      </c>
    </row>
    <row r="137" spans="1:14" s="227" customFormat="1" x14ac:dyDescent="0.2">
      <c r="A137" s="692" t="s">
        <v>63</v>
      </c>
      <c r="B137" s="692" t="s">
        <v>64</v>
      </c>
      <c r="C137" s="734">
        <v>5.9744999999999999</v>
      </c>
      <c r="D137" s="735">
        <v>3.7000000000000002E-3</v>
      </c>
      <c r="E137" s="695">
        <v>5.9699999999999996E-3</v>
      </c>
      <c r="F137" s="696">
        <v>7.0299999999999998E-3</v>
      </c>
      <c r="G137" s="693">
        <v>5.9790000000000001</v>
      </c>
      <c r="H137" s="703">
        <v>1.4999999999999999E-2</v>
      </c>
      <c r="I137" s="699">
        <v>2</v>
      </c>
      <c r="J137" s="736">
        <v>4.4999999999999997E-3</v>
      </c>
      <c r="K137" s="701">
        <v>8.0000000000000004E-4</v>
      </c>
      <c r="L137" s="702">
        <v>2</v>
      </c>
      <c r="M137" s="737">
        <v>2.06E-2</v>
      </c>
      <c r="N137" s="704">
        <v>3.3999999999999998E-3</v>
      </c>
    </row>
    <row r="138" spans="1:14" s="227" customFormat="1" x14ac:dyDescent="0.2">
      <c r="A138" s="705" t="s">
        <v>65</v>
      </c>
      <c r="B138" s="705" t="s">
        <v>66</v>
      </c>
      <c r="C138" s="738">
        <v>5.9757999999999996</v>
      </c>
      <c r="D138" s="739">
        <v>3.7000000000000002E-3</v>
      </c>
      <c r="E138" s="708">
        <v>5.9800000000000001E-3</v>
      </c>
      <c r="F138" s="709">
        <v>7.0299999999999998E-3</v>
      </c>
      <c r="G138" s="706">
        <v>5.9690000000000003</v>
      </c>
      <c r="H138" s="716">
        <v>3.5999999999999997E-2</v>
      </c>
      <c r="I138" s="712">
        <v>2</v>
      </c>
      <c r="J138" s="740">
        <v>-6.7999999999999996E-3</v>
      </c>
      <c r="K138" s="714">
        <v>-1.1000000000000001E-3</v>
      </c>
      <c r="L138" s="715">
        <v>2</v>
      </c>
      <c r="M138" s="741">
        <v>3.8600000000000002E-2</v>
      </c>
      <c r="N138" s="717">
        <v>6.4999999999999997E-3</v>
      </c>
    </row>
    <row r="139" spans="1:14" s="227" customFormat="1" x14ac:dyDescent="0.2">
      <c r="A139" s="705" t="s">
        <v>56</v>
      </c>
      <c r="B139" s="705" t="s">
        <v>57</v>
      </c>
      <c r="C139" s="738">
        <v>5.9691999999999998</v>
      </c>
      <c r="D139" s="739">
        <v>3.7000000000000002E-3</v>
      </c>
      <c r="E139" s="708">
        <v>5.9699999999999996E-3</v>
      </c>
      <c r="F139" s="709">
        <v>7.0200000000000002E-3</v>
      </c>
      <c r="G139" s="706">
        <v>5.98</v>
      </c>
      <c r="H139" s="716">
        <v>0.02</v>
      </c>
      <c r="I139" s="712">
        <v>2</v>
      </c>
      <c r="J139" s="740">
        <v>1.0800000000000001E-2</v>
      </c>
      <c r="K139" s="714">
        <v>1.8E-3</v>
      </c>
      <c r="L139" s="715">
        <v>2</v>
      </c>
      <c r="M139" s="741">
        <v>2.4400000000000002E-2</v>
      </c>
      <c r="N139" s="717">
        <v>4.1000000000000003E-3</v>
      </c>
    </row>
    <row r="140" spans="1:14" s="227" customFormat="1" x14ac:dyDescent="0.2">
      <c r="A140" s="705" t="s">
        <v>33</v>
      </c>
      <c r="B140" s="705" t="s">
        <v>34</v>
      </c>
      <c r="C140" s="738">
        <v>5.9770000000000003</v>
      </c>
      <c r="D140" s="739">
        <v>3.7000000000000002E-3</v>
      </c>
      <c r="E140" s="708">
        <v>5.9800000000000001E-3</v>
      </c>
      <c r="F140" s="709">
        <v>7.0299999999999998E-3</v>
      </c>
      <c r="G140" s="706">
        <v>5.98</v>
      </c>
      <c r="H140" s="716">
        <v>1.7000000000000001E-2</v>
      </c>
      <c r="I140" s="712">
        <v>2</v>
      </c>
      <c r="J140" s="740">
        <v>3.0000000000000001E-3</v>
      </c>
      <c r="K140" s="714">
        <v>5.0000000000000001E-4</v>
      </c>
      <c r="L140" s="715">
        <v>2</v>
      </c>
      <c r="M140" s="741">
        <v>2.2100000000000002E-2</v>
      </c>
      <c r="N140" s="717">
        <v>3.7000000000000002E-3</v>
      </c>
    </row>
    <row r="141" spans="1:14" s="227" customFormat="1" x14ac:dyDescent="0.2">
      <c r="A141" s="705" t="s">
        <v>35</v>
      </c>
      <c r="B141" s="705" t="s">
        <v>36</v>
      </c>
      <c r="C141" s="738">
        <v>5.9550000000000001</v>
      </c>
      <c r="D141" s="739">
        <v>3.7000000000000002E-3</v>
      </c>
      <c r="E141" s="708">
        <v>5.96E-3</v>
      </c>
      <c r="F141" s="709">
        <v>7.0099999999999997E-3</v>
      </c>
      <c r="G141" s="706">
        <v>5.9340000000000002</v>
      </c>
      <c r="H141" s="716">
        <v>3.4000000000000002E-2</v>
      </c>
      <c r="I141" s="712">
        <v>2</v>
      </c>
      <c r="J141" s="740">
        <v>-2.1000000000000001E-2</v>
      </c>
      <c r="K141" s="714">
        <v>-3.5000000000000001E-3</v>
      </c>
      <c r="L141" s="715">
        <v>2</v>
      </c>
      <c r="M141" s="741">
        <v>3.6799999999999999E-2</v>
      </c>
      <c r="N141" s="717">
        <v>6.1999999999999998E-3</v>
      </c>
    </row>
    <row r="142" spans="1:14" s="227" customFormat="1" x14ac:dyDescent="0.2">
      <c r="A142" s="705" t="s">
        <v>37</v>
      </c>
      <c r="B142" s="705" t="s">
        <v>38</v>
      </c>
      <c r="C142" s="738">
        <v>5.9812000000000003</v>
      </c>
      <c r="D142" s="739">
        <v>3.7000000000000002E-3</v>
      </c>
      <c r="E142" s="708">
        <v>5.9800000000000001E-3</v>
      </c>
      <c r="F142" s="709">
        <v>7.0299999999999998E-3</v>
      </c>
      <c r="G142" s="706">
        <v>6.0039999999999996</v>
      </c>
      <c r="H142" s="716">
        <v>5.8000000000000003E-2</v>
      </c>
      <c r="I142" s="712">
        <v>2</v>
      </c>
      <c r="J142" s="740">
        <v>2.2800000000000001E-2</v>
      </c>
      <c r="K142" s="714">
        <v>3.8E-3</v>
      </c>
      <c r="L142" s="715">
        <v>2</v>
      </c>
      <c r="M142" s="741">
        <v>5.9700000000000003E-2</v>
      </c>
      <c r="N142" s="717">
        <v>0.01</v>
      </c>
    </row>
    <row r="143" spans="1:14" s="227" customFormat="1" x14ac:dyDescent="0.2">
      <c r="A143" s="705" t="s">
        <v>39</v>
      </c>
      <c r="B143" s="705" t="s">
        <v>40</v>
      </c>
      <c r="C143" s="738">
        <v>5.9793000000000003</v>
      </c>
      <c r="D143" s="739">
        <v>3.7000000000000002E-3</v>
      </c>
      <c r="E143" s="708">
        <v>5.9800000000000001E-3</v>
      </c>
      <c r="F143" s="709">
        <v>7.0299999999999998E-3</v>
      </c>
      <c r="G143" s="706">
        <v>5.9009999999999998</v>
      </c>
      <c r="H143" s="716">
        <v>4.2999999999999997E-2</v>
      </c>
      <c r="I143" s="712">
        <v>2</v>
      </c>
      <c r="J143" s="740">
        <v>-7.8299999999999995E-2</v>
      </c>
      <c r="K143" s="714">
        <v>-1.3100000000000001E-2</v>
      </c>
      <c r="L143" s="715">
        <v>2</v>
      </c>
      <c r="M143" s="741">
        <v>4.5199999999999997E-2</v>
      </c>
      <c r="N143" s="717">
        <v>7.6E-3</v>
      </c>
    </row>
    <row r="144" spans="1:14" s="227" customFormat="1" x14ac:dyDescent="0.2">
      <c r="A144" s="705" t="s">
        <v>41</v>
      </c>
      <c r="B144" s="705" t="s">
        <v>42</v>
      </c>
      <c r="C144" s="738">
        <v>5.976</v>
      </c>
      <c r="D144" s="739">
        <v>3.7000000000000002E-3</v>
      </c>
      <c r="E144" s="708">
        <v>5.9800000000000001E-3</v>
      </c>
      <c r="F144" s="709">
        <v>7.0299999999999998E-3</v>
      </c>
      <c r="G144" s="706">
        <v>6.048</v>
      </c>
      <c r="H144" s="716">
        <v>0.03</v>
      </c>
      <c r="I144" s="712">
        <v>2</v>
      </c>
      <c r="J144" s="740">
        <v>7.1999999999999995E-2</v>
      </c>
      <c r="K144" s="714">
        <v>1.2E-2</v>
      </c>
      <c r="L144" s="715">
        <v>2</v>
      </c>
      <c r="M144" s="741">
        <v>3.3099999999999997E-2</v>
      </c>
      <c r="N144" s="717">
        <v>5.4999999999999997E-3</v>
      </c>
    </row>
    <row r="145" spans="1:14" s="227" customFormat="1" x14ac:dyDescent="0.2">
      <c r="A145" s="705" t="s">
        <v>43</v>
      </c>
      <c r="B145" s="705" t="s">
        <v>44</v>
      </c>
      <c r="C145" s="738">
        <v>5.9786999999999999</v>
      </c>
      <c r="D145" s="739">
        <v>3.7000000000000002E-3</v>
      </c>
      <c r="E145" s="708">
        <v>5.9800000000000001E-3</v>
      </c>
      <c r="F145" s="709">
        <v>7.0299999999999998E-3</v>
      </c>
      <c r="G145" s="742">
        <v>5.98</v>
      </c>
      <c r="H145" s="743">
        <v>0.06</v>
      </c>
      <c r="I145" s="712">
        <v>2</v>
      </c>
      <c r="J145" s="740">
        <v>1.2999999999999999E-3</v>
      </c>
      <c r="K145" s="714">
        <v>2.0000000000000001E-4</v>
      </c>
      <c r="L145" s="715">
        <v>2</v>
      </c>
      <c r="M145" s="741">
        <v>6.1600000000000002E-2</v>
      </c>
      <c r="N145" s="717">
        <v>1.03E-2</v>
      </c>
    </row>
    <row r="146" spans="1:14" s="227" customFormat="1" x14ac:dyDescent="0.2">
      <c r="A146" s="705" t="s">
        <v>45</v>
      </c>
      <c r="B146" s="518"/>
      <c r="C146" s="609"/>
      <c r="D146" s="610"/>
      <c r="E146" s="610"/>
      <c r="F146" s="611"/>
      <c r="G146" s="609"/>
      <c r="H146" s="610"/>
      <c r="I146" s="611"/>
      <c r="J146" s="609"/>
      <c r="K146" s="610"/>
      <c r="L146" s="744"/>
      <c r="M146" s="610"/>
      <c r="N146" s="611"/>
    </row>
    <row r="147" spans="1:14" s="227" customFormat="1" ht="24" x14ac:dyDescent="0.2">
      <c r="A147" s="718" t="s">
        <v>47</v>
      </c>
      <c r="B147" s="718" t="s">
        <v>48</v>
      </c>
      <c r="C147" s="745">
        <v>5.9809999999999999</v>
      </c>
      <c r="D147" s="746">
        <v>3.7000000000000002E-3</v>
      </c>
      <c r="E147" s="721">
        <v>5.9800000000000001E-3</v>
      </c>
      <c r="F147" s="722">
        <v>7.0299999999999998E-3</v>
      </c>
      <c r="G147" s="719">
        <v>5.62</v>
      </c>
      <c r="H147" s="729">
        <v>0.17199999999999999</v>
      </c>
      <c r="I147" s="725">
        <v>2</v>
      </c>
      <c r="J147" s="747">
        <v>-0.36099999999999999</v>
      </c>
      <c r="K147" s="727">
        <v>-6.0400000000000002E-2</v>
      </c>
      <c r="L147" s="728">
        <v>2</v>
      </c>
      <c r="M147" s="748">
        <v>0.1726</v>
      </c>
      <c r="N147" s="730">
        <v>2.8899999999999999E-2</v>
      </c>
    </row>
    <row r="148" spans="1:14" s="227" customFormat="1" x14ac:dyDescent="0.2">
      <c r="A148" s="731"/>
      <c r="B148" s="731"/>
      <c r="C148" s="739"/>
      <c r="D148" s="739"/>
      <c r="E148" s="708"/>
      <c r="F148" s="708"/>
      <c r="G148" s="716"/>
      <c r="H148" s="716"/>
      <c r="I148" s="732"/>
      <c r="J148" s="741"/>
      <c r="K148" s="714"/>
      <c r="L148" s="733"/>
      <c r="M148" s="741"/>
      <c r="N148" s="714"/>
    </row>
    <row r="149" spans="1:14" s="227" customFormat="1" x14ac:dyDescent="0.2">
      <c r="A149" s="523" t="s">
        <v>59</v>
      </c>
    </row>
    <row r="150" spans="1:14" s="227" customFormat="1" ht="60" x14ac:dyDescent="0.2">
      <c r="A150" s="677" t="s">
        <v>23</v>
      </c>
      <c r="B150" s="677" t="s">
        <v>24</v>
      </c>
      <c r="C150" s="678" t="s">
        <v>25</v>
      </c>
      <c r="D150" s="679" t="s">
        <v>26</v>
      </c>
      <c r="E150" s="679" t="s">
        <v>27</v>
      </c>
      <c r="F150" s="680" t="s">
        <v>28</v>
      </c>
      <c r="G150" s="678" t="s">
        <v>29</v>
      </c>
      <c r="H150" s="679" t="s">
        <v>61</v>
      </c>
      <c r="I150" s="680" t="s">
        <v>62</v>
      </c>
      <c r="J150" s="678" t="s">
        <v>30</v>
      </c>
      <c r="K150" s="679" t="s">
        <v>31</v>
      </c>
      <c r="L150" s="681" t="s">
        <v>719</v>
      </c>
      <c r="M150" s="682" t="s">
        <v>720</v>
      </c>
      <c r="N150" s="680" t="s">
        <v>32</v>
      </c>
    </row>
    <row r="151" spans="1:14" s="227" customFormat="1" x14ac:dyDescent="0.2">
      <c r="A151" s="683" t="s">
        <v>63</v>
      </c>
      <c r="B151" s="683" t="s">
        <v>64</v>
      </c>
      <c r="C151" s="749">
        <v>80.12</v>
      </c>
      <c r="D151" s="750">
        <v>5.1999999999999998E-2</v>
      </c>
      <c r="E151" s="751">
        <v>8.0100000000000005E-2</v>
      </c>
      <c r="F151" s="752">
        <v>9.5500000000000002E-2</v>
      </c>
      <c r="G151" s="753">
        <v>80.14</v>
      </c>
      <c r="H151" s="754">
        <v>0.28999999999999998</v>
      </c>
      <c r="I151" s="755">
        <v>2</v>
      </c>
      <c r="J151" s="749">
        <v>0.02</v>
      </c>
      <c r="K151" s="756">
        <v>2.0000000000000001E-4</v>
      </c>
      <c r="L151" s="757">
        <v>2</v>
      </c>
      <c r="M151" s="758">
        <v>0.34699999999999998</v>
      </c>
      <c r="N151" s="759">
        <v>4.3E-3</v>
      </c>
    </row>
    <row r="152" spans="1:14" s="227" customFormat="1" x14ac:dyDescent="0.2">
      <c r="A152" s="683" t="s">
        <v>65</v>
      </c>
      <c r="B152" s="683" t="s">
        <v>66</v>
      </c>
      <c r="C152" s="749">
        <v>80.138000000000005</v>
      </c>
      <c r="D152" s="750">
        <v>5.0999999999999997E-2</v>
      </c>
      <c r="E152" s="751">
        <v>8.0100000000000005E-2</v>
      </c>
      <c r="F152" s="752">
        <v>9.5000000000000001E-2</v>
      </c>
      <c r="G152" s="753">
        <v>79.650000000000006</v>
      </c>
      <c r="H152" s="754">
        <v>0.8</v>
      </c>
      <c r="I152" s="755">
        <v>2</v>
      </c>
      <c r="J152" s="749">
        <v>-0.48799999999999999</v>
      </c>
      <c r="K152" s="756">
        <v>-6.1000000000000004E-3</v>
      </c>
      <c r="L152" s="757">
        <v>2</v>
      </c>
      <c r="M152" s="758">
        <v>0.82199999999999995</v>
      </c>
      <c r="N152" s="759">
        <v>1.03E-2</v>
      </c>
    </row>
    <row r="153" spans="1:14" s="227" customFormat="1" x14ac:dyDescent="0.2">
      <c r="A153" s="692" t="s">
        <v>56</v>
      </c>
      <c r="B153" s="692" t="s">
        <v>57</v>
      </c>
      <c r="C153" s="700">
        <v>80.049000000000007</v>
      </c>
      <c r="D153" s="694">
        <v>5.0999999999999997E-2</v>
      </c>
      <c r="E153" s="735">
        <v>0.08</v>
      </c>
      <c r="F153" s="760">
        <v>9.4899999999999998E-2</v>
      </c>
      <c r="G153" s="761">
        <v>80.3</v>
      </c>
      <c r="H153" s="762">
        <v>0.8</v>
      </c>
      <c r="I153" s="699">
        <v>2</v>
      </c>
      <c r="J153" s="700">
        <v>0.251</v>
      </c>
      <c r="K153" s="701">
        <v>3.0999999999999999E-3</v>
      </c>
      <c r="L153" s="702">
        <v>2</v>
      </c>
      <c r="M153" s="703">
        <v>0.82199999999999995</v>
      </c>
      <c r="N153" s="704">
        <v>1.03E-2</v>
      </c>
    </row>
    <row r="154" spans="1:14" s="227" customFormat="1" x14ac:dyDescent="0.2">
      <c r="A154" s="705" t="s">
        <v>33</v>
      </c>
      <c r="B154" s="705" t="s">
        <v>34</v>
      </c>
      <c r="C154" s="713">
        <v>80.156000000000006</v>
      </c>
      <c r="D154" s="707">
        <v>5.1999999999999998E-2</v>
      </c>
      <c r="E154" s="739">
        <v>8.0199999999999994E-2</v>
      </c>
      <c r="F154" s="763">
        <v>9.5500000000000002E-2</v>
      </c>
      <c r="G154" s="764">
        <v>80.34</v>
      </c>
      <c r="H154" s="743">
        <v>0.39</v>
      </c>
      <c r="I154" s="712">
        <v>2</v>
      </c>
      <c r="J154" s="713">
        <v>0.184</v>
      </c>
      <c r="K154" s="714">
        <v>2.3E-3</v>
      </c>
      <c r="L154" s="715">
        <v>2</v>
      </c>
      <c r="M154" s="716">
        <v>0.434</v>
      </c>
      <c r="N154" s="717">
        <v>5.4000000000000003E-3</v>
      </c>
    </row>
    <row r="155" spans="1:14" s="227" customFormat="1" x14ac:dyDescent="0.2">
      <c r="A155" s="705" t="s">
        <v>35</v>
      </c>
      <c r="B155" s="705" t="s">
        <v>36</v>
      </c>
      <c r="C155" s="713">
        <v>79.858999999999995</v>
      </c>
      <c r="D155" s="707">
        <v>5.1999999999999998E-2</v>
      </c>
      <c r="E155" s="739">
        <v>7.9899999999999999E-2</v>
      </c>
      <c r="F155" s="763">
        <v>9.5299999999999996E-2</v>
      </c>
      <c r="G155" s="764">
        <v>78.2</v>
      </c>
      <c r="H155" s="743">
        <v>1.7</v>
      </c>
      <c r="I155" s="712">
        <v>2</v>
      </c>
      <c r="J155" s="713">
        <v>-1.659</v>
      </c>
      <c r="K155" s="714">
        <v>-2.0799999999999999E-2</v>
      </c>
      <c r="L155" s="715">
        <v>2</v>
      </c>
      <c r="M155" s="716">
        <v>1.7110000000000001</v>
      </c>
      <c r="N155" s="717">
        <v>2.1399999999999999E-2</v>
      </c>
    </row>
    <row r="156" spans="1:14" s="227" customFormat="1" x14ac:dyDescent="0.2">
      <c r="A156" s="705" t="s">
        <v>37</v>
      </c>
      <c r="B156" s="705" t="s">
        <v>38</v>
      </c>
      <c r="C156" s="713">
        <v>80.209999999999994</v>
      </c>
      <c r="D156" s="707">
        <v>5.1999999999999998E-2</v>
      </c>
      <c r="E156" s="739">
        <v>8.0199999999999994E-2</v>
      </c>
      <c r="F156" s="763">
        <v>9.5600000000000004E-2</v>
      </c>
      <c r="G156" s="764">
        <v>80.180000000000007</v>
      </c>
      <c r="H156" s="743">
        <v>0.8</v>
      </c>
      <c r="I156" s="712">
        <v>2</v>
      </c>
      <c r="J156" s="713">
        <v>-0.03</v>
      </c>
      <c r="K156" s="714">
        <v>-4.0000000000000002E-4</v>
      </c>
      <c r="L156" s="715">
        <v>2</v>
      </c>
      <c r="M156" s="716">
        <v>0.82299999999999995</v>
      </c>
      <c r="N156" s="717">
        <v>1.03E-2</v>
      </c>
    </row>
    <row r="157" spans="1:14" s="227" customFormat="1" x14ac:dyDescent="0.2">
      <c r="A157" s="705" t="s">
        <v>39</v>
      </c>
      <c r="B157" s="705" t="s">
        <v>40</v>
      </c>
      <c r="C157" s="713">
        <v>80.185000000000002</v>
      </c>
      <c r="D157" s="707">
        <v>5.1999999999999998E-2</v>
      </c>
      <c r="E157" s="739">
        <v>8.0199999999999994E-2</v>
      </c>
      <c r="F157" s="763">
        <v>9.5600000000000004E-2</v>
      </c>
      <c r="G157" s="764">
        <v>80.78</v>
      </c>
      <c r="H157" s="743">
        <v>0.42</v>
      </c>
      <c r="I157" s="712">
        <v>2</v>
      </c>
      <c r="J157" s="713">
        <v>0.59499999999999997</v>
      </c>
      <c r="K157" s="714">
        <v>7.4000000000000003E-3</v>
      </c>
      <c r="L157" s="715">
        <v>2</v>
      </c>
      <c r="M157" s="716">
        <v>0.46100000000000002</v>
      </c>
      <c r="N157" s="717">
        <v>5.7999999999999996E-3</v>
      </c>
    </row>
    <row r="158" spans="1:14" s="227" customFormat="1" x14ac:dyDescent="0.2">
      <c r="A158" s="705" t="s">
        <v>41</v>
      </c>
      <c r="B158" s="705" t="s">
        <v>42</v>
      </c>
      <c r="C158" s="713">
        <v>80.141999999999996</v>
      </c>
      <c r="D158" s="707">
        <v>5.1999999999999998E-2</v>
      </c>
      <c r="E158" s="739">
        <v>8.0100000000000005E-2</v>
      </c>
      <c r="F158" s="763">
        <v>9.5500000000000002E-2</v>
      </c>
      <c r="G158" s="764">
        <v>79.42</v>
      </c>
      <c r="H158" s="743">
        <v>0.51</v>
      </c>
      <c r="I158" s="712">
        <v>2</v>
      </c>
      <c r="J158" s="713">
        <v>-0.72199999999999998</v>
      </c>
      <c r="K158" s="714">
        <v>-8.9999999999999993E-3</v>
      </c>
      <c r="L158" s="715">
        <v>2</v>
      </c>
      <c r="M158" s="716">
        <v>0.54500000000000004</v>
      </c>
      <c r="N158" s="717">
        <v>6.7999999999999996E-3</v>
      </c>
    </row>
    <row r="159" spans="1:14" s="227" customFormat="1" x14ac:dyDescent="0.2">
      <c r="A159" s="705" t="s">
        <v>43</v>
      </c>
      <c r="B159" s="705" t="s">
        <v>44</v>
      </c>
      <c r="C159" s="713">
        <v>80.176000000000002</v>
      </c>
      <c r="D159" s="707">
        <v>5.1999999999999998E-2</v>
      </c>
      <c r="E159" s="739">
        <v>8.0199999999999994E-2</v>
      </c>
      <c r="F159" s="763">
        <v>9.5600000000000004E-2</v>
      </c>
      <c r="G159" s="764">
        <v>80.72</v>
      </c>
      <c r="H159" s="743">
        <v>0.45</v>
      </c>
      <c r="I159" s="712">
        <v>2</v>
      </c>
      <c r="J159" s="713">
        <v>0.54400000000000004</v>
      </c>
      <c r="K159" s="714">
        <v>6.7999999999999996E-3</v>
      </c>
      <c r="L159" s="715">
        <v>2</v>
      </c>
      <c r="M159" s="716">
        <v>0.48899999999999999</v>
      </c>
      <c r="N159" s="717">
        <v>6.1000000000000004E-3</v>
      </c>
    </row>
    <row r="160" spans="1:14" s="227" customFormat="1" x14ac:dyDescent="0.2">
      <c r="A160" s="705" t="s">
        <v>45</v>
      </c>
      <c r="B160" s="518"/>
      <c r="C160" s="609"/>
      <c r="D160" s="610"/>
      <c r="E160" s="610"/>
      <c r="F160" s="611"/>
      <c r="G160" s="609"/>
      <c r="H160" s="610"/>
      <c r="I160" s="611"/>
      <c r="J160" s="609"/>
      <c r="K160" s="610"/>
      <c r="L160" s="744"/>
      <c r="M160" s="610"/>
      <c r="N160" s="611"/>
    </row>
    <row r="161" spans="1:14" s="227" customFormat="1" ht="24" x14ac:dyDescent="0.2">
      <c r="A161" s="718" t="s">
        <v>47</v>
      </c>
      <c r="B161" s="718" t="s">
        <v>48</v>
      </c>
      <c r="C161" s="726">
        <v>80.206999999999994</v>
      </c>
      <c r="D161" s="720">
        <v>5.0999999999999997E-2</v>
      </c>
      <c r="E161" s="746">
        <v>8.0199999999999994E-2</v>
      </c>
      <c r="F161" s="765">
        <v>9.5000000000000001E-2</v>
      </c>
      <c r="G161" s="766">
        <v>79.599999999999994</v>
      </c>
      <c r="H161" s="767">
        <v>1.4</v>
      </c>
      <c r="I161" s="725">
        <v>2</v>
      </c>
      <c r="J161" s="726">
        <v>-0.60699999999999998</v>
      </c>
      <c r="K161" s="727">
        <v>-7.6E-3</v>
      </c>
      <c r="L161" s="728">
        <v>2</v>
      </c>
      <c r="M161" s="729">
        <v>1.413</v>
      </c>
      <c r="N161" s="730">
        <v>1.7600000000000001E-2</v>
      </c>
    </row>
    <row r="162" spans="1:14" s="227" customFormat="1" x14ac:dyDescent="0.2">
      <c r="A162" s="731"/>
      <c r="B162" s="731"/>
      <c r="C162" s="707"/>
      <c r="D162" s="707"/>
      <c r="E162" s="739"/>
      <c r="F162" s="739"/>
      <c r="G162" s="768"/>
      <c r="H162" s="743"/>
      <c r="I162" s="732"/>
      <c r="J162" s="707"/>
      <c r="K162" s="714"/>
      <c r="L162" s="733"/>
      <c r="M162" s="716"/>
      <c r="N162" s="714"/>
    </row>
    <row r="163" spans="1:14" s="227" customFormat="1" x14ac:dyDescent="0.2">
      <c r="A163" s="523" t="s">
        <v>60</v>
      </c>
    </row>
    <row r="164" spans="1:14" s="227" customFormat="1" ht="60" x14ac:dyDescent="0.2">
      <c r="A164" s="677" t="s">
        <v>23</v>
      </c>
      <c r="B164" s="677" t="s">
        <v>24</v>
      </c>
      <c r="C164" s="678" t="s">
        <v>25</v>
      </c>
      <c r="D164" s="679" t="s">
        <v>26</v>
      </c>
      <c r="E164" s="679" t="s">
        <v>27</v>
      </c>
      <c r="F164" s="680" t="s">
        <v>28</v>
      </c>
      <c r="G164" s="678" t="s">
        <v>29</v>
      </c>
      <c r="H164" s="679" t="s">
        <v>61</v>
      </c>
      <c r="I164" s="680" t="s">
        <v>62</v>
      </c>
      <c r="J164" s="678" t="s">
        <v>30</v>
      </c>
      <c r="K164" s="679" t="s">
        <v>31</v>
      </c>
      <c r="L164" s="681" t="s">
        <v>719</v>
      </c>
      <c r="M164" s="682" t="s">
        <v>720</v>
      </c>
      <c r="N164" s="680" t="s">
        <v>32</v>
      </c>
    </row>
    <row r="165" spans="1:14" s="227" customFormat="1" x14ac:dyDescent="0.2">
      <c r="A165" s="692" t="s">
        <v>63</v>
      </c>
      <c r="B165" s="692" t="s">
        <v>64</v>
      </c>
      <c r="C165" s="700">
        <v>80.004000000000005</v>
      </c>
      <c r="D165" s="694">
        <v>4.8000000000000001E-2</v>
      </c>
      <c r="E165" s="735">
        <v>0.08</v>
      </c>
      <c r="F165" s="760">
        <v>9.3299999999999994E-2</v>
      </c>
      <c r="G165" s="769">
        <v>80.25</v>
      </c>
      <c r="H165" s="770">
        <v>0.25</v>
      </c>
      <c r="I165" s="699">
        <v>2</v>
      </c>
      <c r="J165" s="771">
        <v>0.25</v>
      </c>
      <c r="K165" s="701">
        <v>3.0999999999999999E-3</v>
      </c>
      <c r="L165" s="702">
        <v>2</v>
      </c>
      <c r="M165" s="737">
        <v>0.312</v>
      </c>
      <c r="N165" s="704">
        <v>3.8999999999999998E-3</v>
      </c>
    </row>
    <row r="166" spans="1:14" s="227" customFormat="1" x14ac:dyDescent="0.2">
      <c r="A166" s="705" t="s">
        <v>65</v>
      </c>
      <c r="B166" s="705" t="s">
        <v>66</v>
      </c>
      <c r="C166" s="713">
        <v>80.022000000000006</v>
      </c>
      <c r="D166" s="707">
        <v>4.8000000000000001E-2</v>
      </c>
      <c r="E166" s="739">
        <v>0.08</v>
      </c>
      <c r="F166" s="763">
        <v>9.3299999999999994E-2</v>
      </c>
      <c r="G166" s="764">
        <v>79.16</v>
      </c>
      <c r="H166" s="743">
        <v>0.79</v>
      </c>
      <c r="I166" s="712">
        <v>2</v>
      </c>
      <c r="J166" s="742">
        <v>-0.86</v>
      </c>
      <c r="K166" s="714">
        <v>-1.0800000000000001E-2</v>
      </c>
      <c r="L166" s="715">
        <v>2</v>
      </c>
      <c r="M166" s="741">
        <v>0.81169999999999998</v>
      </c>
      <c r="N166" s="717">
        <v>1.01E-2</v>
      </c>
    </row>
    <row r="167" spans="1:14" s="227" customFormat="1" x14ac:dyDescent="0.2">
      <c r="A167" s="705" t="s">
        <v>56</v>
      </c>
      <c r="B167" s="705" t="s">
        <v>57</v>
      </c>
      <c r="C167" s="713">
        <v>79.933000000000007</v>
      </c>
      <c r="D167" s="707">
        <v>4.8000000000000001E-2</v>
      </c>
      <c r="E167" s="739">
        <v>7.9899999999999999E-2</v>
      </c>
      <c r="F167" s="763">
        <v>9.3200000000000005E-2</v>
      </c>
      <c r="G167" s="772">
        <v>79.8</v>
      </c>
      <c r="H167" s="773">
        <v>0.4</v>
      </c>
      <c r="I167" s="712">
        <v>2</v>
      </c>
      <c r="J167" s="742">
        <v>-0.13</v>
      </c>
      <c r="K167" s="714">
        <v>-1.6999999999999999E-3</v>
      </c>
      <c r="L167" s="715">
        <v>2</v>
      </c>
      <c r="M167" s="741">
        <v>0.44130000000000003</v>
      </c>
      <c r="N167" s="717">
        <v>5.4999999999999997E-3</v>
      </c>
    </row>
    <row r="168" spans="1:14" s="227" customFormat="1" x14ac:dyDescent="0.2">
      <c r="A168" s="705" t="s">
        <v>33</v>
      </c>
      <c r="B168" s="705" t="s">
        <v>34</v>
      </c>
      <c r="C168" s="713">
        <v>80.039000000000001</v>
      </c>
      <c r="D168" s="707">
        <v>4.8000000000000001E-2</v>
      </c>
      <c r="E168" s="739">
        <v>0.08</v>
      </c>
      <c r="F168" s="763">
        <v>9.3299999999999994E-2</v>
      </c>
      <c r="G168" s="764">
        <v>79.849999999999994</v>
      </c>
      <c r="H168" s="743">
        <v>0.21</v>
      </c>
      <c r="I168" s="712">
        <v>2</v>
      </c>
      <c r="J168" s="742">
        <v>-0.19</v>
      </c>
      <c r="K168" s="714">
        <v>-2.3999999999999998E-3</v>
      </c>
      <c r="L168" s="715">
        <v>2</v>
      </c>
      <c r="M168" s="741">
        <v>0.28100000000000003</v>
      </c>
      <c r="N168" s="717">
        <v>3.5000000000000001E-3</v>
      </c>
    </row>
    <row r="169" spans="1:14" s="227" customFormat="1" x14ac:dyDescent="0.2">
      <c r="A169" s="705" t="s">
        <v>35</v>
      </c>
      <c r="B169" s="705" t="s">
        <v>36</v>
      </c>
      <c r="C169" s="713">
        <v>79.742999999999995</v>
      </c>
      <c r="D169" s="707">
        <v>4.8000000000000001E-2</v>
      </c>
      <c r="E169" s="739">
        <v>7.9699999999999993E-2</v>
      </c>
      <c r="F169" s="763">
        <v>9.3100000000000002E-2</v>
      </c>
      <c r="G169" s="772">
        <v>80.5</v>
      </c>
      <c r="H169" s="773">
        <v>3.3</v>
      </c>
      <c r="I169" s="712">
        <v>2</v>
      </c>
      <c r="J169" s="742">
        <v>0.76</v>
      </c>
      <c r="K169" s="714">
        <v>9.4999999999999998E-3</v>
      </c>
      <c r="L169" s="715">
        <v>2</v>
      </c>
      <c r="M169" s="741">
        <v>3.3052000000000001</v>
      </c>
      <c r="N169" s="717">
        <v>4.1399999999999999E-2</v>
      </c>
    </row>
    <row r="170" spans="1:14" s="227" customFormat="1" x14ac:dyDescent="0.2">
      <c r="A170" s="705" t="s">
        <v>37</v>
      </c>
      <c r="B170" s="705" t="s">
        <v>38</v>
      </c>
      <c r="C170" s="713">
        <v>80.093999999999994</v>
      </c>
      <c r="D170" s="707">
        <v>4.8000000000000001E-2</v>
      </c>
      <c r="E170" s="739">
        <v>8.0100000000000005E-2</v>
      </c>
      <c r="F170" s="763">
        <v>9.3399999999999997E-2</v>
      </c>
      <c r="G170" s="764">
        <v>80.47</v>
      </c>
      <c r="H170" s="743">
        <v>0.87</v>
      </c>
      <c r="I170" s="712">
        <v>2</v>
      </c>
      <c r="J170" s="742">
        <v>0.38</v>
      </c>
      <c r="K170" s="714">
        <v>4.7000000000000002E-3</v>
      </c>
      <c r="L170" s="715">
        <v>2</v>
      </c>
      <c r="M170" s="741">
        <v>0.88980000000000004</v>
      </c>
      <c r="N170" s="717">
        <v>1.11E-2</v>
      </c>
    </row>
    <row r="171" spans="1:14" s="227" customFormat="1" x14ac:dyDescent="0.2">
      <c r="A171" s="705" t="s">
        <v>39</v>
      </c>
      <c r="B171" s="705" t="s">
        <v>40</v>
      </c>
      <c r="C171" s="713">
        <v>80.067999999999998</v>
      </c>
      <c r="D171" s="707">
        <v>4.8000000000000001E-2</v>
      </c>
      <c r="E171" s="739">
        <v>8.0100000000000005E-2</v>
      </c>
      <c r="F171" s="763">
        <v>9.3399999999999997E-2</v>
      </c>
      <c r="G171" s="764">
        <v>80.77</v>
      </c>
      <c r="H171" s="743">
        <v>0.47</v>
      </c>
      <c r="I171" s="712">
        <v>2</v>
      </c>
      <c r="J171" s="742">
        <v>0.7</v>
      </c>
      <c r="K171" s="714">
        <v>8.8000000000000005E-3</v>
      </c>
      <c r="L171" s="715">
        <v>2</v>
      </c>
      <c r="M171" s="741">
        <v>0.50570000000000004</v>
      </c>
      <c r="N171" s="717">
        <v>6.3E-3</v>
      </c>
    </row>
    <row r="172" spans="1:14" s="227" customFormat="1" x14ac:dyDescent="0.2">
      <c r="A172" s="705" t="s">
        <v>41</v>
      </c>
      <c r="B172" s="705" t="s">
        <v>42</v>
      </c>
      <c r="C172" s="713">
        <v>80.025999999999996</v>
      </c>
      <c r="D172" s="707">
        <v>4.8000000000000001E-2</v>
      </c>
      <c r="E172" s="739">
        <v>0.08</v>
      </c>
      <c r="F172" s="763">
        <v>9.3299999999999994E-2</v>
      </c>
      <c r="G172" s="764">
        <v>80.13</v>
      </c>
      <c r="H172" s="743">
        <v>0.54</v>
      </c>
      <c r="I172" s="712">
        <v>2</v>
      </c>
      <c r="J172" s="742">
        <v>0.1</v>
      </c>
      <c r="K172" s="714">
        <v>1.2999999999999999E-3</v>
      </c>
      <c r="L172" s="715">
        <v>2</v>
      </c>
      <c r="M172" s="741">
        <v>0.57130000000000003</v>
      </c>
      <c r="N172" s="717">
        <v>7.1000000000000004E-3</v>
      </c>
    </row>
    <row r="173" spans="1:14" s="227" customFormat="1" x14ac:dyDescent="0.2">
      <c r="A173" s="705" t="s">
        <v>43</v>
      </c>
      <c r="B173" s="705" t="s">
        <v>44</v>
      </c>
      <c r="C173" s="713">
        <v>80.06</v>
      </c>
      <c r="D173" s="707">
        <v>4.8000000000000001E-2</v>
      </c>
      <c r="E173" s="739">
        <v>8.0100000000000005E-2</v>
      </c>
      <c r="F173" s="763">
        <v>9.3299999999999994E-2</v>
      </c>
      <c r="G173" s="764">
        <v>79.84</v>
      </c>
      <c r="H173" s="743">
        <v>0.44</v>
      </c>
      <c r="I173" s="712">
        <v>2</v>
      </c>
      <c r="J173" s="742">
        <v>-0.22</v>
      </c>
      <c r="K173" s="714">
        <v>-2.7000000000000001E-3</v>
      </c>
      <c r="L173" s="715">
        <v>2</v>
      </c>
      <c r="M173" s="741">
        <v>0.47799999999999998</v>
      </c>
      <c r="N173" s="717">
        <v>6.0000000000000001E-3</v>
      </c>
    </row>
    <row r="174" spans="1:14" s="227" customFormat="1" x14ac:dyDescent="0.2">
      <c r="A174" s="705" t="s">
        <v>45</v>
      </c>
      <c r="B174" s="705" t="s">
        <v>46</v>
      </c>
      <c r="C174" s="713">
        <v>80.016999999999996</v>
      </c>
      <c r="D174" s="707">
        <v>4.8000000000000001E-2</v>
      </c>
      <c r="E174" s="739">
        <v>0.08</v>
      </c>
      <c r="F174" s="763">
        <v>9.3299999999999994E-2</v>
      </c>
      <c r="G174" s="764">
        <v>79.64</v>
      </c>
      <c r="H174" s="743">
        <v>0.44</v>
      </c>
      <c r="I174" s="712">
        <v>2</v>
      </c>
      <c r="J174" s="742">
        <v>-0.38</v>
      </c>
      <c r="K174" s="714">
        <v>-4.7000000000000002E-3</v>
      </c>
      <c r="L174" s="715">
        <v>2</v>
      </c>
      <c r="M174" s="741">
        <v>0.47789999999999999</v>
      </c>
      <c r="N174" s="717">
        <v>6.0000000000000001E-3</v>
      </c>
    </row>
    <row r="175" spans="1:14" s="227" customFormat="1" ht="24" x14ac:dyDescent="0.2">
      <c r="A175" s="718" t="s">
        <v>47</v>
      </c>
      <c r="B175" s="718" t="s">
        <v>48</v>
      </c>
      <c r="C175" s="726">
        <v>80.090999999999994</v>
      </c>
      <c r="D175" s="720">
        <v>4.8000000000000001E-2</v>
      </c>
      <c r="E175" s="746">
        <v>8.0100000000000005E-2</v>
      </c>
      <c r="F175" s="765">
        <v>9.3399999999999997E-2</v>
      </c>
      <c r="G175" s="774">
        <v>80</v>
      </c>
      <c r="H175" s="775">
        <v>0.9</v>
      </c>
      <c r="I175" s="725">
        <v>2</v>
      </c>
      <c r="J175" s="776">
        <v>-0.09</v>
      </c>
      <c r="K175" s="727">
        <v>-1.1000000000000001E-3</v>
      </c>
      <c r="L175" s="728">
        <v>2</v>
      </c>
      <c r="M175" s="748">
        <v>0.91920000000000002</v>
      </c>
      <c r="N175" s="730">
        <v>1.15E-2</v>
      </c>
    </row>
  </sheetData>
  <sheetProtection sheet="1" formatCells="0" formatColumns="0" formatRows="0"/>
  <mergeCells count="12">
    <mergeCell ref="A5:B5"/>
    <mergeCell ref="C5:D5"/>
    <mergeCell ref="A6:B6"/>
    <mergeCell ref="C6:D6"/>
    <mergeCell ref="A7:B7"/>
    <mergeCell ref="C7:D7"/>
    <mergeCell ref="A8:B8"/>
    <mergeCell ref="C8:D8"/>
    <mergeCell ref="A9:B9"/>
    <mergeCell ref="C9:D9"/>
    <mergeCell ref="A10:B10"/>
    <mergeCell ref="C10:D10"/>
  </mergeCells>
  <phoneticPr fontId="4"/>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2A2EE-0866-47CF-B034-E8B6E4B9D44B}">
  <dimension ref="A1:Z146"/>
  <sheetViews>
    <sheetView zoomScale="160" zoomScaleNormal="160" workbookViewId="0">
      <selection activeCell="M23" sqref="M23"/>
    </sheetView>
  </sheetViews>
  <sheetFormatPr defaultColWidth="9.33203125" defaultRowHeight="12.75" x14ac:dyDescent="0.2"/>
  <cols>
    <col min="1" max="2" width="9.33203125" style="1"/>
    <col min="3" max="7" width="10.1640625" style="1" customWidth="1"/>
    <col min="8" max="8" width="9.33203125" style="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1345</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1341</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 customFormat="1" x14ac:dyDescent="0.2">
      <c r="A6" s="113" t="s">
        <v>1342</v>
      </c>
      <c r="B6" s="99"/>
      <c r="C6" s="99"/>
      <c r="D6" s="99"/>
      <c r="E6" s="99"/>
      <c r="F6" s="99"/>
      <c r="G6" s="99"/>
      <c r="H6" s="99"/>
      <c r="I6" s="113"/>
      <c r="J6" s="113"/>
      <c r="K6" s="113"/>
      <c r="L6" s="113"/>
      <c r="M6" s="113"/>
      <c r="N6" s="113"/>
      <c r="O6" s="113"/>
      <c r="R6" s="113"/>
      <c r="S6" s="113"/>
      <c r="T6" s="146"/>
      <c r="U6" s="146"/>
    </row>
    <row r="7" spans="1:25" s="2" customFormat="1" x14ac:dyDescent="0.2">
      <c r="A7" s="113" t="s">
        <v>1344</v>
      </c>
      <c r="B7" s="99"/>
      <c r="C7" s="99"/>
      <c r="D7" s="99"/>
      <c r="E7" s="99"/>
      <c r="F7" s="99"/>
      <c r="G7" s="99"/>
      <c r="H7" s="99"/>
      <c r="I7" s="113"/>
      <c r="J7" s="113"/>
      <c r="K7" s="113"/>
      <c r="L7" s="113"/>
      <c r="M7" s="113"/>
      <c r="N7" s="113"/>
      <c r="O7" s="113"/>
      <c r="R7" s="113"/>
      <c r="S7" s="113"/>
      <c r="T7" s="146"/>
      <c r="U7" s="146"/>
    </row>
    <row r="8" spans="1:25" s="2" customFormat="1" x14ac:dyDescent="0.2">
      <c r="A8" s="99" t="s">
        <v>1343</v>
      </c>
      <c r="B8" s="99"/>
      <c r="C8" s="99"/>
      <c r="D8" s="99"/>
      <c r="E8" s="99"/>
      <c r="F8" s="99"/>
      <c r="G8" s="99"/>
      <c r="H8" s="99"/>
      <c r="I8" s="113"/>
      <c r="J8" s="113"/>
      <c r="K8" s="113"/>
      <c r="L8" s="113"/>
      <c r="M8" s="113"/>
      <c r="N8" s="113"/>
      <c r="O8" s="113"/>
      <c r="R8" s="113"/>
      <c r="S8" s="113"/>
      <c r="T8" s="146"/>
      <c r="U8" s="146"/>
    </row>
    <row r="9" spans="1:25" s="2" customFormat="1" x14ac:dyDescent="0.2">
      <c r="A9" s="113"/>
      <c r="B9" s="99"/>
      <c r="C9" s="99"/>
      <c r="D9" s="99"/>
      <c r="E9" s="99"/>
      <c r="F9" s="99"/>
      <c r="G9" s="99"/>
      <c r="H9" s="99"/>
      <c r="I9" s="113"/>
      <c r="J9" s="113"/>
      <c r="K9" s="113"/>
      <c r="L9" s="113"/>
      <c r="M9" s="113"/>
      <c r="N9" s="113"/>
      <c r="O9" s="113"/>
      <c r="R9" s="113"/>
      <c r="S9" s="113"/>
      <c r="T9" s="146"/>
      <c r="U9" s="146"/>
    </row>
    <row r="10" spans="1:25" x14ac:dyDescent="0.2">
      <c r="A10" s="102"/>
      <c r="B10" s="97"/>
      <c r="C10" s="97"/>
      <c r="D10" s="97"/>
      <c r="E10" s="97"/>
      <c r="F10" s="97"/>
      <c r="G10" s="97"/>
      <c r="H10" s="97"/>
      <c r="I10" s="113"/>
      <c r="J10" s="113"/>
      <c r="K10" s="113"/>
      <c r="L10" s="113"/>
      <c r="M10" s="113"/>
      <c r="N10" s="113"/>
      <c r="O10" s="113"/>
      <c r="R10" s="113"/>
      <c r="S10" s="113"/>
      <c r="T10" s="146"/>
      <c r="U10" s="146"/>
    </row>
    <row r="11" spans="1:25" x14ac:dyDescent="0.2">
      <c r="A11" s="97"/>
      <c r="B11" s="97"/>
      <c r="C11" s="97"/>
      <c r="D11" s="97"/>
      <c r="E11" s="97"/>
      <c r="F11" s="97"/>
      <c r="G11" s="97"/>
      <c r="H11" s="97"/>
      <c r="I11" s="113"/>
      <c r="J11" s="113"/>
      <c r="K11" s="113"/>
      <c r="L11" s="113"/>
      <c r="M11" s="113"/>
      <c r="N11" s="113"/>
      <c r="O11" s="113"/>
      <c r="R11" s="113"/>
      <c r="S11" s="113"/>
      <c r="T11" s="146"/>
      <c r="U11" s="146"/>
    </row>
    <row r="12" spans="1:25" x14ac:dyDescent="0.2">
      <c r="A12" s="97"/>
      <c r="B12" s="97"/>
      <c r="C12" s="97"/>
      <c r="D12" s="97"/>
      <c r="E12" s="97"/>
      <c r="F12" s="97"/>
      <c r="G12" s="97"/>
      <c r="H12" s="97"/>
      <c r="I12" s="113"/>
      <c r="J12" s="113"/>
      <c r="K12" s="113"/>
      <c r="L12" s="113"/>
      <c r="M12" s="113"/>
      <c r="N12" s="113"/>
      <c r="O12" s="113"/>
      <c r="R12" s="113"/>
      <c r="S12" s="113"/>
      <c r="T12" s="146"/>
      <c r="U12" s="146"/>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
        <v>197</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1057</v>
      </c>
      <c r="N16" s="104" t="s">
        <v>1058</v>
      </c>
      <c r="O16" s="104" t="s">
        <v>100</v>
      </c>
      <c r="P16" s="6" t="s">
        <v>105</v>
      </c>
      <c r="Q16" s="6" t="s">
        <v>106</v>
      </c>
      <c r="R16" s="104" t="s">
        <v>1051</v>
      </c>
      <c r="S16" s="104" t="s">
        <v>1052</v>
      </c>
      <c r="T16" s="147" t="s">
        <v>1053</v>
      </c>
      <c r="U16" s="147" t="s">
        <v>1054</v>
      </c>
      <c r="V16" s="5" t="s">
        <v>101</v>
      </c>
      <c r="W16" s="5" t="s">
        <v>102</v>
      </c>
      <c r="X16" s="112" t="s">
        <v>1055</v>
      </c>
      <c r="Y16" s="112" t="s">
        <v>1056</v>
      </c>
    </row>
    <row r="17" spans="1:25" x14ac:dyDescent="0.2">
      <c r="A17" s="213" t="str">
        <f t="shared" ref="A17:G17" si="0">A38</f>
        <v>NPL</v>
      </c>
      <c r="B17" s="213" t="str">
        <f t="shared" si="0"/>
        <v>#930659-PRM</v>
      </c>
      <c r="C17" s="216">
        <f t="shared" si="0"/>
        <v>10.226000000000001</v>
      </c>
      <c r="D17" s="216">
        <f t="shared" si="0"/>
        <v>4.2000000000000003E-2</v>
      </c>
      <c r="E17" s="216">
        <f t="shared" si="0"/>
        <v>10.331</v>
      </c>
      <c r="F17" s="216">
        <f t="shared" si="0"/>
        <v>0.04</v>
      </c>
      <c r="G17" s="216">
        <f t="shared" si="0"/>
        <v>0.105</v>
      </c>
      <c r="H17" s="216">
        <f>J38</f>
        <v>0.115</v>
      </c>
      <c r="I17" s="155">
        <f t="shared" ref="I17:I33" si="1">IF(ABS(G17)&gt;ABS(H17), 1, 0)</f>
        <v>0</v>
      </c>
      <c r="J17" s="155">
        <f t="shared" ref="J17:J33" si="2">I17*ABS(C17-E17)</f>
        <v>0</v>
      </c>
      <c r="K17" s="155">
        <f t="shared" ref="K17:K33" si="3">SQRT(SUMSQ(F17,J17))*2</f>
        <v>0.08</v>
      </c>
      <c r="L17" s="155">
        <f t="shared" ref="L17:L33" si="4">IF(C17&lt;$K$2, C17, $K$1)</f>
        <v>10</v>
      </c>
      <c r="M17" s="156">
        <f t="shared" ref="M17:M33" si="5">IF(AND(C17&lt;$K$1,C17&gt; $K$2), K17/L17*100, K17/C17*100)</f>
        <v>0.78231957754742798</v>
      </c>
      <c r="N17" s="157">
        <f t="shared" ref="N17:N33" si="6">M17*L17/100</f>
        <v>7.8231957754742801E-2</v>
      </c>
      <c r="O17" s="155">
        <f t="shared" ref="O17:O33" si="7">N17/(M17*L17/100)*100</f>
        <v>100</v>
      </c>
      <c r="P17" s="250">
        <v>1</v>
      </c>
      <c r="Q17" s="250">
        <v>1000</v>
      </c>
      <c r="R17" s="148">
        <f>IF( IF(P17&lt;L17, M17*L17/P17, M17)&gt;100, "ERROR",  IF(P17&lt;L17, M17*L17/P17, M17))</f>
        <v>7.8231957754742796</v>
      </c>
      <c r="S17" s="148">
        <f>IF(IF(Q17&lt;L17, M17*L17/Q17, M17)&gt;100, "ERROR", IF(Q17&lt;L17, M17*L17/Q17, M17))</f>
        <v>0.78231957754742798</v>
      </c>
      <c r="T17" s="148">
        <f>R17*P17*0.01</f>
        <v>7.8231957754742801E-2</v>
      </c>
      <c r="U17" s="148">
        <f>S17*Q17*0.01</f>
        <v>7.8231957754742805</v>
      </c>
      <c r="V17" s="7">
        <f>P17*1000</f>
        <v>1000</v>
      </c>
      <c r="W17" s="7">
        <f>Q17*1000</f>
        <v>1000000</v>
      </c>
      <c r="X17" s="1345">
        <f>T17*1000</f>
        <v>78.231957754742794</v>
      </c>
      <c r="Y17" s="1345">
        <f>U17*1000</f>
        <v>7823.1957754742807</v>
      </c>
    </row>
    <row r="18" spans="1:25" x14ac:dyDescent="0.2">
      <c r="A18" s="213" t="str">
        <f t="shared" ref="A18:G18" si="8">A39</f>
        <v>NIM</v>
      </c>
      <c r="B18" s="213" t="str">
        <f t="shared" si="8"/>
        <v>#930650-PRM</v>
      </c>
      <c r="C18" s="216">
        <f t="shared" si="8"/>
        <v>10.227</v>
      </c>
      <c r="D18" s="216">
        <f t="shared" si="8"/>
        <v>4.2000000000000003E-2</v>
      </c>
      <c r="E18" s="216">
        <f t="shared" si="8"/>
        <v>10.15</v>
      </c>
      <c r="F18" s="216">
        <f t="shared" si="8"/>
        <v>0.05</v>
      </c>
      <c r="G18" s="216">
        <f t="shared" si="8"/>
        <v>-7.6999999999999999E-2</v>
      </c>
      <c r="H18" s="216">
        <f t="shared" ref="H18:H31" si="9">J39</f>
        <v>0.13</v>
      </c>
      <c r="I18" s="155">
        <f t="shared" si="1"/>
        <v>0</v>
      </c>
      <c r="J18" s="155">
        <f t="shared" si="2"/>
        <v>0</v>
      </c>
      <c r="K18" s="155">
        <f t="shared" si="3"/>
        <v>0.1</v>
      </c>
      <c r="L18" s="155">
        <f t="shared" si="4"/>
        <v>10</v>
      </c>
      <c r="M18" s="156">
        <f t="shared" si="5"/>
        <v>0.97780385254717905</v>
      </c>
      <c r="N18" s="157">
        <f t="shared" si="6"/>
        <v>9.7780385254717911E-2</v>
      </c>
      <c r="O18" s="155">
        <f t="shared" si="7"/>
        <v>100</v>
      </c>
      <c r="P18" s="250">
        <v>1</v>
      </c>
      <c r="Q18" s="250">
        <v>1000</v>
      </c>
      <c r="R18" s="148">
        <f t="shared" ref="R18:R33" si="10">IF( IF(P18&lt;L18, M18*L18/P18, M18)&gt;100, "ERROR",  IF(P18&lt;L18, M18*L18/P18, M18))</f>
        <v>9.778038525471791</v>
      </c>
      <c r="S18" s="148">
        <f t="shared" ref="S18:S33" si="11">IF(IF(Q18&lt;L18, M18*L18/Q18, M18)&gt;100, "ERROR", IF(Q18&lt;L18, M18*L18/Q18, M18))</f>
        <v>0.97780385254717905</v>
      </c>
      <c r="T18" s="148">
        <f t="shared" ref="T18:U33" si="12">R18*P18*0.01</f>
        <v>9.7780385254717911E-2</v>
      </c>
      <c r="U18" s="148">
        <f t="shared" si="12"/>
        <v>9.778038525471791</v>
      </c>
      <c r="V18" s="7">
        <f t="shared" ref="V18:W33" si="13">P18*1000</f>
        <v>1000</v>
      </c>
      <c r="W18" s="7">
        <f t="shared" si="13"/>
        <v>1000000</v>
      </c>
      <c r="X18" s="1345">
        <f t="shared" ref="X18:Y33" si="14">T18*1000</f>
        <v>97.780385254717913</v>
      </c>
      <c r="Y18" s="1345">
        <f t="shared" si="14"/>
        <v>9778.0385254717912</v>
      </c>
    </row>
    <row r="19" spans="1:25" x14ac:dyDescent="0.2">
      <c r="A19" s="213" t="str">
        <f t="shared" ref="A19:G19" si="15">A40</f>
        <v>SMU</v>
      </c>
      <c r="B19" s="213" t="str">
        <f t="shared" si="15"/>
        <v>#930655-PRM</v>
      </c>
      <c r="C19" s="216">
        <f t="shared" si="15"/>
        <v>10.347</v>
      </c>
      <c r="D19" s="216">
        <f t="shared" si="15"/>
        <v>4.2000000000000003E-2</v>
      </c>
      <c r="E19" s="216">
        <f t="shared" si="15"/>
        <v>10.1</v>
      </c>
      <c r="F19" s="216">
        <f t="shared" si="15"/>
        <v>0.06</v>
      </c>
      <c r="G19" s="216">
        <f t="shared" si="15"/>
        <v>-0.247</v>
      </c>
      <c r="H19" s="216">
        <f t="shared" si="9"/>
        <v>0.14599999999999999</v>
      </c>
      <c r="I19" s="155">
        <f t="shared" si="1"/>
        <v>1</v>
      </c>
      <c r="J19" s="155">
        <f t="shared" si="2"/>
        <v>0.24699999999999989</v>
      </c>
      <c r="K19" s="155">
        <f t="shared" si="3"/>
        <v>0.50836600987870917</v>
      </c>
      <c r="L19" s="155">
        <f t="shared" si="4"/>
        <v>10</v>
      </c>
      <c r="M19" s="156">
        <f t="shared" si="5"/>
        <v>4.9131729958317303</v>
      </c>
      <c r="N19" s="157">
        <f t="shared" si="6"/>
        <v>0.491317299583173</v>
      </c>
      <c r="O19" s="155">
        <f t="shared" si="7"/>
        <v>100</v>
      </c>
      <c r="P19" s="250">
        <v>1</v>
      </c>
      <c r="Q19" s="250">
        <v>1000</v>
      </c>
      <c r="R19" s="148">
        <f t="shared" si="10"/>
        <v>49.131729958317301</v>
      </c>
      <c r="S19" s="148">
        <f t="shared" si="11"/>
        <v>4.9131729958317303</v>
      </c>
      <c r="T19" s="148">
        <f t="shared" si="12"/>
        <v>0.491317299583173</v>
      </c>
      <c r="U19" s="148">
        <f t="shared" si="12"/>
        <v>49.131729958317301</v>
      </c>
      <c r="V19" s="7">
        <f t="shared" si="13"/>
        <v>1000</v>
      </c>
      <c r="W19" s="7">
        <f t="shared" si="13"/>
        <v>1000000</v>
      </c>
      <c r="X19" s="1345">
        <f t="shared" si="14"/>
        <v>491.317299583173</v>
      </c>
      <c r="Y19" s="1345">
        <f t="shared" si="14"/>
        <v>49131.729958317301</v>
      </c>
    </row>
    <row r="20" spans="1:25" x14ac:dyDescent="0.2">
      <c r="A20" s="213" t="str">
        <f t="shared" ref="A20:G20" si="16">A41</f>
        <v>NMIA</v>
      </c>
      <c r="B20" s="213" t="str">
        <f t="shared" si="16"/>
        <v>#930662-PRM</v>
      </c>
      <c r="C20" s="216">
        <f t="shared" si="16"/>
        <v>10.378</v>
      </c>
      <c r="D20" s="216">
        <f t="shared" si="16"/>
        <v>4.2000000000000003E-2</v>
      </c>
      <c r="E20" s="216">
        <f t="shared" si="16"/>
        <v>10.74</v>
      </c>
      <c r="F20" s="216">
        <f t="shared" si="16"/>
        <v>0.315</v>
      </c>
      <c r="G20" s="216">
        <f t="shared" si="16"/>
        <v>0.36199999999999999</v>
      </c>
      <c r="H20" s="216">
        <f t="shared" si="9"/>
        <v>0.63500000000000001</v>
      </c>
      <c r="I20" s="155">
        <f t="shared" si="1"/>
        <v>0</v>
      </c>
      <c r="J20" s="155">
        <f t="shared" si="2"/>
        <v>0</v>
      </c>
      <c r="K20" s="155">
        <f t="shared" si="3"/>
        <v>0.63</v>
      </c>
      <c r="L20" s="155">
        <f t="shared" si="4"/>
        <v>10</v>
      </c>
      <c r="M20" s="156">
        <f t="shared" si="5"/>
        <v>6.0705338215455766</v>
      </c>
      <c r="N20" s="157">
        <f t="shared" si="6"/>
        <v>0.60705338215455773</v>
      </c>
      <c r="O20" s="155">
        <f t="shared" si="7"/>
        <v>100</v>
      </c>
      <c r="P20" s="250">
        <v>1</v>
      </c>
      <c r="Q20" s="250">
        <v>1000</v>
      </c>
      <c r="R20" s="148">
        <f t="shared" si="10"/>
        <v>60.705338215455768</v>
      </c>
      <c r="S20" s="148">
        <f t="shared" si="11"/>
        <v>6.0705338215455766</v>
      </c>
      <c r="T20" s="148">
        <f t="shared" si="12"/>
        <v>0.60705338215455773</v>
      </c>
      <c r="U20" s="148">
        <f t="shared" si="12"/>
        <v>60.705338215455768</v>
      </c>
      <c r="V20" s="7">
        <f t="shared" si="13"/>
        <v>1000</v>
      </c>
      <c r="W20" s="7">
        <f t="shared" si="13"/>
        <v>1000000</v>
      </c>
      <c r="X20" s="1345">
        <f t="shared" si="14"/>
        <v>607.05338215455777</v>
      </c>
      <c r="Y20" s="1345">
        <f t="shared" si="14"/>
        <v>60705.338215455769</v>
      </c>
    </row>
    <row r="21" spans="1:25" x14ac:dyDescent="0.2">
      <c r="A21" s="213" t="str">
        <f t="shared" ref="A21:G21" si="17">A42</f>
        <v>NMISA</v>
      </c>
      <c r="B21" s="213" t="str">
        <f t="shared" si="17"/>
        <v>#930649-PRM</v>
      </c>
      <c r="C21" s="216">
        <f t="shared" si="17"/>
        <v>10.347</v>
      </c>
      <c r="D21" s="216">
        <f t="shared" si="17"/>
        <v>4.2000000000000003E-2</v>
      </c>
      <c r="E21" s="216">
        <f t="shared" si="17"/>
        <v>10.69</v>
      </c>
      <c r="F21" s="216">
        <f t="shared" si="17"/>
        <v>0.185</v>
      </c>
      <c r="G21" s="216">
        <f t="shared" si="17"/>
        <v>0.34300000000000003</v>
      </c>
      <c r="H21" s="216">
        <f t="shared" si="9"/>
        <v>0.379</v>
      </c>
      <c r="I21" s="155">
        <f t="shared" si="1"/>
        <v>0</v>
      </c>
      <c r="J21" s="155">
        <f t="shared" si="2"/>
        <v>0</v>
      </c>
      <c r="K21" s="155">
        <f t="shared" si="3"/>
        <v>0.37</v>
      </c>
      <c r="L21" s="155">
        <f t="shared" si="4"/>
        <v>10</v>
      </c>
      <c r="M21" s="156">
        <f t="shared" si="5"/>
        <v>3.5759157243645499</v>
      </c>
      <c r="N21" s="157">
        <f t="shared" si="6"/>
        <v>0.35759157243645495</v>
      </c>
      <c r="O21" s="155">
        <f t="shared" si="7"/>
        <v>100</v>
      </c>
      <c r="P21" s="250">
        <v>1</v>
      </c>
      <c r="Q21" s="250">
        <v>1000</v>
      </c>
      <c r="R21" s="148">
        <f t="shared" si="10"/>
        <v>35.759157243645497</v>
      </c>
      <c r="S21" s="148">
        <f t="shared" si="11"/>
        <v>3.5759157243645499</v>
      </c>
      <c r="T21" s="148">
        <f t="shared" si="12"/>
        <v>0.35759157243645495</v>
      </c>
      <c r="U21" s="148">
        <f t="shared" si="12"/>
        <v>35.759157243645504</v>
      </c>
      <c r="V21" s="7">
        <f t="shared" si="13"/>
        <v>1000</v>
      </c>
      <c r="W21" s="7">
        <f t="shared" si="13"/>
        <v>1000000</v>
      </c>
      <c r="X21" s="1345">
        <f t="shared" si="14"/>
        <v>357.59157243645495</v>
      </c>
      <c r="Y21" s="1345">
        <f t="shared" si="14"/>
        <v>35759.157243645503</v>
      </c>
    </row>
    <row r="22" spans="1:25" x14ac:dyDescent="0.2">
      <c r="A22" s="213" t="str">
        <f t="shared" ref="A22:G22" si="18">A43</f>
        <v>CERI</v>
      </c>
      <c r="B22" s="213" t="str">
        <f t="shared" si="18"/>
        <v>#930671-PRM</v>
      </c>
      <c r="C22" s="216">
        <f t="shared" si="18"/>
        <v>10.351000000000001</v>
      </c>
      <c r="D22" s="216">
        <f t="shared" si="18"/>
        <v>4.1000000000000002E-2</v>
      </c>
      <c r="E22" s="216">
        <f t="shared" si="18"/>
        <v>10.4</v>
      </c>
      <c r="F22" s="216">
        <f t="shared" si="18"/>
        <v>0.19</v>
      </c>
      <c r="G22" s="216">
        <f t="shared" si="18"/>
        <v>4.9000000000000002E-2</v>
      </c>
      <c r="H22" s="216">
        <f t="shared" si="9"/>
        <v>0.38900000000000001</v>
      </c>
      <c r="I22" s="155">
        <f t="shared" si="1"/>
        <v>0</v>
      </c>
      <c r="J22" s="155">
        <f t="shared" si="2"/>
        <v>0</v>
      </c>
      <c r="K22" s="155">
        <f t="shared" si="3"/>
        <v>0.38</v>
      </c>
      <c r="L22" s="155">
        <f t="shared" si="4"/>
        <v>10</v>
      </c>
      <c r="M22" s="156">
        <f t="shared" si="5"/>
        <v>3.6711428847454348</v>
      </c>
      <c r="N22" s="157">
        <f t="shared" si="6"/>
        <v>0.36711428847454353</v>
      </c>
      <c r="O22" s="155">
        <f t="shared" si="7"/>
        <v>100</v>
      </c>
      <c r="P22" s="250">
        <v>1</v>
      </c>
      <c r="Q22" s="250">
        <v>1000</v>
      </c>
      <c r="R22" s="148">
        <f t="shared" si="10"/>
        <v>36.71142884745435</v>
      </c>
      <c r="S22" s="148">
        <f t="shared" si="11"/>
        <v>3.6711428847454348</v>
      </c>
      <c r="T22" s="148">
        <f t="shared" si="12"/>
        <v>0.36711428847454353</v>
      </c>
      <c r="U22" s="148">
        <f t="shared" si="12"/>
        <v>36.71142884745435</v>
      </c>
      <c r="V22" s="7">
        <f t="shared" si="13"/>
        <v>1000</v>
      </c>
      <c r="W22" s="7">
        <f t="shared" si="13"/>
        <v>1000000</v>
      </c>
      <c r="X22" s="1345">
        <f t="shared" si="14"/>
        <v>367.11428847454351</v>
      </c>
      <c r="Y22" s="1345">
        <f t="shared" si="14"/>
        <v>36711.42884745435</v>
      </c>
    </row>
    <row r="23" spans="1:25" x14ac:dyDescent="0.2">
      <c r="A23" s="213" t="str">
        <f t="shared" ref="A23:G23" si="19">A44</f>
        <v>METAS</v>
      </c>
      <c r="B23" s="213" t="str">
        <f t="shared" si="19"/>
        <v>#930660-PRM</v>
      </c>
      <c r="C23" s="216">
        <f t="shared" si="19"/>
        <v>10.430999999999999</v>
      </c>
      <c r="D23" s="216">
        <f t="shared" si="19"/>
        <v>4.1000000000000002E-2</v>
      </c>
      <c r="E23" s="216">
        <f t="shared" si="19"/>
        <v>10.63</v>
      </c>
      <c r="F23" s="216">
        <f t="shared" si="19"/>
        <v>0.08</v>
      </c>
      <c r="G23" s="216">
        <f t="shared" si="19"/>
        <v>0.19900000000000001</v>
      </c>
      <c r="H23" s="216">
        <f t="shared" si="9"/>
        <v>0.18</v>
      </c>
      <c r="I23" s="155">
        <f t="shared" si="1"/>
        <v>1</v>
      </c>
      <c r="J23" s="155">
        <f t="shared" si="2"/>
        <v>0.19900000000000162</v>
      </c>
      <c r="K23" s="155">
        <f t="shared" si="3"/>
        <v>0.428956874289249</v>
      </c>
      <c r="L23" s="155">
        <f t="shared" si="4"/>
        <v>10</v>
      </c>
      <c r="M23" s="156">
        <f t="shared" si="5"/>
        <v>4.1123274306322406</v>
      </c>
      <c r="N23" s="157">
        <f t="shared" si="6"/>
        <v>0.4112327430632241</v>
      </c>
      <c r="O23" s="155">
        <f t="shared" si="7"/>
        <v>100</v>
      </c>
      <c r="P23" s="250">
        <v>1</v>
      </c>
      <c r="Q23" s="250">
        <v>1000</v>
      </c>
      <c r="R23" s="148">
        <f t="shared" si="10"/>
        <v>41.123274306322408</v>
      </c>
      <c r="S23" s="148">
        <f t="shared" si="11"/>
        <v>4.1123274306322406</v>
      </c>
      <c r="T23" s="148">
        <f t="shared" si="12"/>
        <v>0.4112327430632241</v>
      </c>
      <c r="U23" s="148">
        <f t="shared" si="12"/>
        <v>41.123274306322408</v>
      </c>
      <c r="V23" s="7">
        <f t="shared" si="13"/>
        <v>1000</v>
      </c>
      <c r="W23" s="7">
        <f t="shared" si="13"/>
        <v>1000000</v>
      </c>
      <c r="X23" s="1345">
        <f t="shared" si="14"/>
        <v>411.23274306322412</v>
      </c>
      <c r="Y23" s="1345">
        <f t="shared" si="14"/>
        <v>41123.274306322404</v>
      </c>
    </row>
    <row r="24" spans="1:25" x14ac:dyDescent="0.2">
      <c r="A24" s="213" t="str">
        <f t="shared" ref="A24:G24" si="20">A45</f>
        <v>INRIM</v>
      </c>
      <c r="B24" s="213" t="str">
        <f t="shared" si="20"/>
        <v>#930667-PRM</v>
      </c>
      <c r="C24" s="216">
        <f t="shared" si="20"/>
        <v>10.183</v>
      </c>
      <c r="D24" s="216">
        <f t="shared" si="20"/>
        <v>4.2000000000000003E-2</v>
      </c>
      <c r="E24" s="216">
        <f t="shared" si="20"/>
        <v>9.99</v>
      </c>
      <c r="F24" s="216">
        <f t="shared" si="20"/>
        <v>0.1</v>
      </c>
      <c r="G24" s="216">
        <f t="shared" si="20"/>
        <v>-0.193</v>
      </c>
      <c r="H24" s="216">
        <f t="shared" si="9"/>
        <v>0.217</v>
      </c>
      <c r="I24" s="155">
        <f t="shared" si="1"/>
        <v>0</v>
      </c>
      <c r="J24" s="155">
        <f t="shared" si="2"/>
        <v>0</v>
      </c>
      <c r="K24" s="155">
        <f t="shared" si="3"/>
        <v>0.2</v>
      </c>
      <c r="L24" s="155">
        <f t="shared" si="4"/>
        <v>10</v>
      </c>
      <c r="M24" s="156">
        <f t="shared" si="5"/>
        <v>1.9640577432976531</v>
      </c>
      <c r="N24" s="157">
        <f t="shared" si="6"/>
        <v>0.1964057743297653</v>
      </c>
      <c r="O24" s="155">
        <f t="shared" si="7"/>
        <v>100</v>
      </c>
      <c r="P24" s="250">
        <v>1</v>
      </c>
      <c r="Q24" s="250">
        <v>1000</v>
      </c>
      <c r="R24" s="148">
        <f t="shared" si="10"/>
        <v>19.640577432976531</v>
      </c>
      <c r="S24" s="148">
        <f t="shared" si="11"/>
        <v>1.9640577432976531</v>
      </c>
      <c r="T24" s="148">
        <f t="shared" si="12"/>
        <v>0.19640577432976533</v>
      </c>
      <c r="U24" s="148">
        <f t="shared" si="12"/>
        <v>19.640577432976531</v>
      </c>
      <c r="V24" s="7">
        <f t="shared" si="13"/>
        <v>1000</v>
      </c>
      <c r="W24" s="7">
        <f t="shared" si="13"/>
        <v>1000000</v>
      </c>
      <c r="X24" s="1345">
        <f t="shared" si="14"/>
        <v>196.40577432976534</v>
      </c>
      <c r="Y24" s="1345">
        <f t="shared" si="14"/>
        <v>19640.57743297653</v>
      </c>
    </row>
    <row r="25" spans="1:25" x14ac:dyDescent="0.2">
      <c r="A25" s="213" t="str">
        <f t="shared" ref="A25:G25" si="21">A46</f>
        <v>KRISS</v>
      </c>
      <c r="B25" s="213" t="str">
        <f t="shared" si="21"/>
        <v>#930661-PRM</v>
      </c>
      <c r="C25" s="216">
        <f t="shared" si="21"/>
        <v>10.27</v>
      </c>
      <c r="D25" s="216">
        <f t="shared" si="21"/>
        <v>4.2000000000000003E-2</v>
      </c>
      <c r="E25" s="216">
        <f t="shared" si="21"/>
        <v>10.45</v>
      </c>
      <c r="F25" s="216">
        <f t="shared" si="21"/>
        <v>0.155</v>
      </c>
      <c r="G25" s="216">
        <f t="shared" si="21"/>
        <v>0.18</v>
      </c>
      <c r="H25" s="216">
        <f t="shared" si="9"/>
        <v>0.32100000000000001</v>
      </c>
      <c r="I25" s="155">
        <f t="shared" si="1"/>
        <v>0</v>
      </c>
      <c r="J25" s="155">
        <f t="shared" si="2"/>
        <v>0</v>
      </c>
      <c r="K25" s="155">
        <f t="shared" si="3"/>
        <v>0.31</v>
      </c>
      <c r="L25" s="155">
        <f t="shared" si="4"/>
        <v>10</v>
      </c>
      <c r="M25" s="156">
        <f t="shared" si="5"/>
        <v>3.0185004868549177</v>
      </c>
      <c r="N25" s="157">
        <f t="shared" si="6"/>
        <v>0.30185004868549181</v>
      </c>
      <c r="O25" s="155">
        <f t="shared" si="7"/>
        <v>100</v>
      </c>
      <c r="P25" s="250">
        <v>1</v>
      </c>
      <c r="Q25" s="250">
        <v>1000</v>
      </c>
      <c r="R25" s="148">
        <f t="shared" si="10"/>
        <v>30.185004868549179</v>
      </c>
      <c r="S25" s="148">
        <f t="shared" si="11"/>
        <v>3.0185004868549177</v>
      </c>
      <c r="T25" s="148">
        <f t="shared" si="12"/>
        <v>0.30185004868549181</v>
      </c>
      <c r="U25" s="148">
        <f t="shared" si="12"/>
        <v>30.185004868549179</v>
      </c>
      <c r="V25" s="7">
        <f t="shared" si="13"/>
        <v>1000</v>
      </c>
      <c r="W25" s="7">
        <f t="shared" si="13"/>
        <v>1000000</v>
      </c>
      <c r="X25" s="1345">
        <f t="shared" si="14"/>
        <v>301.8500486854918</v>
      </c>
      <c r="Y25" s="1345">
        <f t="shared" si="14"/>
        <v>30185.004868549178</v>
      </c>
    </row>
    <row r="26" spans="1:25" x14ac:dyDescent="0.2">
      <c r="A26" s="213" t="str">
        <f t="shared" ref="A26:G26" si="22">A47</f>
        <v>FMI</v>
      </c>
      <c r="B26" s="213" t="str">
        <f t="shared" si="22"/>
        <v>#930673-PRM</v>
      </c>
      <c r="C26" s="216">
        <f t="shared" si="22"/>
        <v>10.417</v>
      </c>
      <c r="D26" s="216">
        <f t="shared" si="22"/>
        <v>4.1000000000000002E-2</v>
      </c>
      <c r="E26" s="216">
        <f t="shared" si="22"/>
        <v>9.8800000000000008</v>
      </c>
      <c r="F26" s="216">
        <f t="shared" si="22"/>
        <v>0.15</v>
      </c>
      <c r="G26" s="216">
        <f t="shared" si="22"/>
        <v>-0.53700000000000003</v>
      </c>
      <c r="H26" s="216">
        <f t="shared" si="9"/>
        <v>0.311</v>
      </c>
      <c r="I26" s="155">
        <f t="shared" si="1"/>
        <v>1</v>
      </c>
      <c r="J26" s="155">
        <f t="shared" si="2"/>
        <v>0.53699999999999903</v>
      </c>
      <c r="K26" s="155">
        <f t="shared" si="3"/>
        <v>1.1151125503732777</v>
      </c>
      <c r="L26" s="155">
        <f t="shared" si="4"/>
        <v>10</v>
      </c>
      <c r="M26" s="156">
        <f t="shared" si="5"/>
        <v>10.704737931969643</v>
      </c>
      <c r="N26" s="157">
        <f t="shared" si="6"/>
        <v>1.0704737931969643</v>
      </c>
      <c r="O26" s="155">
        <f t="shared" si="7"/>
        <v>100</v>
      </c>
      <c r="P26" s="250">
        <v>10</v>
      </c>
      <c r="Q26" s="250">
        <v>1000</v>
      </c>
      <c r="R26" s="148">
        <f t="shared" si="10"/>
        <v>10.704737931969643</v>
      </c>
      <c r="S26" s="148">
        <f t="shared" si="11"/>
        <v>10.704737931969643</v>
      </c>
      <c r="T26" s="148">
        <f t="shared" si="12"/>
        <v>1.0704737931969643</v>
      </c>
      <c r="U26" s="148">
        <f t="shared" si="12"/>
        <v>107.04737931969643</v>
      </c>
      <c r="V26" s="7">
        <f t="shared" si="13"/>
        <v>10000</v>
      </c>
      <c r="W26" s="7">
        <f t="shared" si="13"/>
        <v>1000000</v>
      </c>
      <c r="X26" s="1345">
        <f t="shared" si="14"/>
        <v>1070.4737931969644</v>
      </c>
      <c r="Y26" s="1345">
        <f t="shared" si="14"/>
        <v>107047.37931969643</v>
      </c>
    </row>
    <row r="27" spans="1:25" x14ac:dyDescent="0.2">
      <c r="A27" s="213" t="str">
        <f t="shared" ref="A27:G27" si="23">A48</f>
        <v>LNE</v>
      </c>
      <c r="B27" s="213" t="str">
        <f t="shared" si="23"/>
        <v>#930675-PRM</v>
      </c>
      <c r="C27" s="216">
        <f t="shared" si="23"/>
        <v>10.378</v>
      </c>
      <c r="D27" s="216">
        <f t="shared" si="23"/>
        <v>4.1000000000000002E-2</v>
      </c>
      <c r="E27" s="216">
        <f t="shared" si="23"/>
        <v>10.26</v>
      </c>
      <c r="F27" s="216">
        <f t="shared" si="23"/>
        <v>6.5000000000000002E-2</v>
      </c>
      <c r="G27" s="216">
        <f t="shared" si="23"/>
        <v>-0.11799999999999999</v>
      </c>
      <c r="H27" s="216">
        <f t="shared" si="9"/>
        <v>0.154</v>
      </c>
      <c r="I27" s="155">
        <f t="shared" si="1"/>
        <v>0</v>
      </c>
      <c r="J27" s="155">
        <f t="shared" si="2"/>
        <v>0</v>
      </c>
      <c r="K27" s="155">
        <f t="shared" si="3"/>
        <v>0.13</v>
      </c>
      <c r="L27" s="155">
        <f t="shared" si="4"/>
        <v>10</v>
      </c>
      <c r="M27" s="156">
        <f t="shared" si="5"/>
        <v>1.2526498361919445</v>
      </c>
      <c r="N27" s="157">
        <f t="shared" si="6"/>
        <v>0.12526498361919444</v>
      </c>
      <c r="O27" s="155">
        <f t="shared" si="7"/>
        <v>100</v>
      </c>
      <c r="P27" s="250">
        <v>1</v>
      </c>
      <c r="Q27" s="250">
        <v>1000</v>
      </c>
      <c r="R27" s="148">
        <f t="shared" si="10"/>
        <v>12.526498361919444</v>
      </c>
      <c r="S27" s="148">
        <f t="shared" si="11"/>
        <v>1.2526498361919445</v>
      </c>
      <c r="T27" s="148">
        <f t="shared" si="12"/>
        <v>0.12526498361919444</v>
      </c>
      <c r="U27" s="148">
        <f t="shared" si="12"/>
        <v>12.526498361919446</v>
      </c>
      <c r="V27" s="7">
        <f t="shared" si="13"/>
        <v>1000</v>
      </c>
      <c r="W27" s="7">
        <f t="shared" si="13"/>
        <v>1000000</v>
      </c>
      <c r="X27" s="1345">
        <f t="shared" si="14"/>
        <v>125.26498361919444</v>
      </c>
      <c r="Y27" s="1345">
        <f t="shared" si="14"/>
        <v>12526.498361919446</v>
      </c>
    </row>
    <row r="28" spans="1:25" x14ac:dyDescent="0.2">
      <c r="A28" s="213" t="str">
        <f t="shared" ref="A28:G28" si="24">A49</f>
        <v>NIST</v>
      </c>
      <c r="B28" s="213" t="str">
        <f t="shared" si="24"/>
        <v>#930654-PRM</v>
      </c>
      <c r="C28" s="216">
        <f t="shared" si="24"/>
        <v>10.298999999999999</v>
      </c>
      <c r="D28" s="216">
        <f t="shared" si="24"/>
        <v>4.1000000000000002E-2</v>
      </c>
      <c r="E28" s="216">
        <f t="shared" si="24"/>
        <v>10.28</v>
      </c>
      <c r="F28" s="216">
        <f t="shared" si="24"/>
        <v>0.05</v>
      </c>
      <c r="G28" s="216">
        <f t="shared" si="24"/>
        <v>-1.9E-2</v>
      </c>
      <c r="H28" s="216">
        <f t="shared" si="9"/>
        <v>0.13</v>
      </c>
      <c r="I28" s="155">
        <f t="shared" si="1"/>
        <v>0</v>
      </c>
      <c r="J28" s="155">
        <f t="shared" si="2"/>
        <v>0</v>
      </c>
      <c r="K28" s="155">
        <f t="shared" si="3"/>
        <v>0.1</v>
      </c>
      <c r="L28" s="155">
        <f t="shared" si="4"/>
        <v>10</v>
      </c>
      <c r="M28" s="156">
        <f t="shared" si="5"/>
        <v>0.97096805515098572</v>
      </c>
      <c r="N28" s="157">
        <f t="shared" si="6"/>
        <v>9.7096805515098569E-2</v>
      </c>
      <c r="O28" s="155">
        <f t="shared" si="7"/>
        <v>100</v>
      </c>
      <c r="P28" s="250">
        <v>1</v>
      </c>
      <c r="Q28" s="250">
        <v>1000</v>
      </c>
      <c r="R28" s="148">
        <f t="shared" si="10"/>
        <v>9.709680551509857</v>
      </c>
      <c r="S28" s="148">
        <f t="shared" si="11"/>
        <v>0.97096805515098572</v>
      </c>
      <c r="T28" s="148">
        <f t="shared" si="12"/>
        <v>9.7096805515098569E-2</v>
      </c>
      <c r="U28" s="148">
        <f t="shared" si="12"/>
        <v>9.709680551509857</v>
      </c>
      <c r="V28" s="7">
        <f t="shared" si="13"/>
        <v>1000</v>
      </c>
      <c r="W28" s="7">
        <f t="shared" si="13"/>
        <v>1000000</v>
      </c>
      <c r="X28" s="1345">
        <f t="shared" si="14"/>
        <v>97.096805515098566</v>
      </c>
      <c r="Y28" s="1345">
        <f t="shared" si="14"/>
        <v>9709.6805515098567</v>
      </c>
    </row>
    <row r="29" spans="1:25" x14ac:dyDescent="0.2">
      <c r="A29" s="213" t="str">
        <f t="shared" ref="A29:G29" si="25">A50</f>
        <v>VSL</v>
      </c>
      <c r="B29" s="213" t="str">
        <f t="shared" si="25"/>
        <v>#930674-PRM</v>
      </c>
      <c r="C29" s="216">
        <f t="shared" si="25"/>
        <v>10.37</v>
      </c>
      <c r="D29" s="216">
        <f t="shared" si="25"/>
        <v>4.1000000000000002E-2</v>
      </c>
      <c r="E29" s="216">
        <f t="shared" si="25"/>
        <v>10.51</v>
      </c>
      <c r="F29" s="216">
        <f t="shared" si="25"/>
        <v>0.105</v>
      </c>
      <c r="G29" s="216">
        <f t="shared" si="25"/>
        <v>0.14000000000000001</v>
      </c>
      <c r="H29" s="216">
        <f t="shared" si="9"/>
        <v>0.22600000000000001</v>
      </c>
      <c r="I29" s="155">
        <f t="shared" si="1"/>
        <v>0</v>
      </c>
      <c r="J29" s="155">
        <f t="shared" si="2"/>
        <v>0</v>
      </c>
      <c r="K29" s="155">
        <f t="shared" si="3"/>
        <v>0.21</v>
      </c>
      <c r="L29" s="155">
        <f t="shared" si="4"/>
        <v>10</v>
      </c>
      <c r="M29" s="156">
        <f t="shared" si="5"/>
        <v>2.025072324011572</v>
      </c>
      <c r="N29" s="157">
        <f t="shared" si="6"/>
        <v>0.20250723240115717</v>
      </c>
      <c r="O29" s="155">
        <f t="shared" si="7"/>
        <v>100</v>
      </c>
      <c r="P29" s="250">
        <v>1</v>
      </c>
      <c r="Q29" s="250">
        <v>1000</v>
      </c>
      <c r="R29" s="148">
        <f t="shared" si="10"/>
        <v>20.250723240115718</v>
      </c>
      <c r="S29" s="148">
        <f t="shared" si="11"/>
        <v>2.025072324011572</v>
      </c>
      <c r="T29" s="148">
        <f t="shared" si="12"/>
        <v>0.2025072324011572</v>
      </c>
      <c r="U29" s="148">
        <f t="shared" si="12"/>
        <v>20.250723240115718</v>
      </c>
      <c r="V29" s="7">
        <f t="shared" si="13"/>
        <v>1000</v>
      </c>
      <c r="W29" s="7">
        <f t="shared" si="13"/>
        <v>1000000</v>
      </c>
      <c r="X29" s="1345">
        <f t="shared" si="14"/>
        <v>202.50723240115721</v>
      </c>
      <c r="Y29" s="1345">
        <f t="shared" si="14"/>
        <v>20250.72324011572</v>
      </c>
    </row>
    <row r="30" spans="1:25" x14ac:dyDescent="0.2">
      <c r="A30" s="213" t="str">
        <f t="shared" ref="A30:G30" si="26">A51</f>
        <v>CEM</v>
      </c>
      <c r="B30" s="213" t="str">
        <f t="shared" si="26"/>
        <v>#930676-PRM</v>
      </c>
      <c r="C30" s="216">
        <f t="shared" si="26"/>
        <v>10.435</v>
      </c>
      <c r="D30" s="216">
        <f t="shared" si="26"/>
        <v>4.2000000000000003E-2</v>
      </c>
      <c r="E30" s="216">
        <f t="shared" si="26"/>
        <v>10.72</v>
      </c>
      <c r="F30" s="216">
        <f t="shared" si="26"/>
        <v>0.11</v>
      </c>
      <c r="G30" s="216">
        <f t="shared" si="26"/>
        <v>0.28499999999999998</v>
      </c>
      <c r="H30" s="216">
        <f t="shared" si="9"/>
        <v>0.23499999999999999</v>
      </c>
      <c r="I30" s="155">
        <f t="shared" si="1"/>
        <v>1</v>
      </c>
      <c r="J30" s="155">
        <f t="shared" si="2"/>
        <v>0.28500000000000014</v>
      </c>
      <c r="K30" s="155">
        <f t="shared" si="3"/>
        <v>0.61098281481560535</v>
      </c>
      <c r="L30" s="155">
        <f t="shared" si="4"/>
        <v>10</v>
      </c>
      <c r="M30" s="156">
        <f t="shared" si="5"/>
        <v>5.8551299934413539</v>
      </c>
      <c r="N30" s="157">
        <f t="shared" si="6"/>
        <v>0.58551299934413537</v>
      </c>
      <c r="O30" s="155">
        <f t="shared" si="7"/>
        <v>100</v>
      </c>
      <c r="P30" s="250">
        <v>1</v>
      </c>
      <c r="Q30" s="250">
        <v>1000</v>
      </c>
      <c r="R30" s="148">
        <f t="shared" si="10"/>
        <v>58.551299934413535</v>
      </c>
      <c r="S30" s="148">
        <f t="shared" si="11"/>
        <v>5.8551299934413539</v>
      </c>
      <c r="T30" s="148">
        <f t="shared" si="12"/>
        <v>0.58551299934413537</v>
      </c>
      <c r="U30" s="148">
        <f t="shared" si="12"/>
        <v>58.551299934413535</v>
      </c>
      <c r="V30" s="7">
        <f t="shared" si="13"/>
        <v>1000</v>
      </c>
      <c r="W30" s="7">
        <f t="shared" si="13"/>
        <v>1000000</v>
      </c>
      <c r="X30" s="1345">
        <f t="shared" si="14"/>
        <v>585.51299934413532</v>
      </c>
      <c r="Y30" s="1345">
        <f t="shared" si="14"/>
        <v>58551.299934413539</v>
      </c>
    </row>
    <row r="31" spans="1:25" x14ac:dyDescent="0.2">
      <c r="A31" s="213" t="str">
        <f t="shared" ref="A31:G31" si="27">A52</f>
        <v>VNIIM</v>
      </c>
      <c r="B31" s="213" t="str">
        <f t="shared" si="27"/>
        <v>#930713-PRM</v>
      </c>
      <c r="C31" s="216">
        <f t="shared" si="27"/>
        <v>10.32</v>
      </c>
      <c r="D31" s="216">
        <f t="shared" si="27"/>
        <v>4.2000000000000003E-2</v>
      </c>
      <c r="E31" s="216">
        <f t="shared" si="27"/>
        <v>10.55</v>
      </c>
      <c r="F31" s="216">
        <f t="shared" si="27"/>
        <v>0.08</v>
      </c>
      <c r="G31" s="216">
        <f t="shared" si="27"/>
        <v>0.23</v>
      </c>
      <c r="H31" s="216">
        <f t="shared" si="9"/>
        <v>0.18099999999999999</v>
      </c>
      <c r="I31" s="155">
        <f t="shared" si="1"/>
        <v>1</v>
      </c>
      <c r="J31" s="155">
        <f t="shared" si="2"/>
        <v>0.23000000000000043</v>
      </c>
      <c r="K31" s="155">
        <f t="shared" si="3"/>
        <v>0.48703182647543763</v>
      </c>
      <c r="L31" s="155">
        <f t="shared" si="4"/>
        <v>10</v>
      </c>
      <c r="M31" s="156">
        <f t="shared" si="5"/>
        <v>4.7193006441418373</v>
      </c>
      <c r="N31" s="157">
        <f t="shared" si="6"/>
        <v>0.47193006441418378</v>
      </c>
      <c r="O31" s="155">
        <f t="shared" si="7"/>
        <v>100</v>
      </c>
      <c r="P31" s="250">
        <v>1</v>
      </c>
      <c r="Q31" s="250">
        <v>1000</v>
      </c>
      <c r="R31" s="148">
        <f t="shared" si="10"/>
        <v>47.193006441418376</v>
      </c>
      <c r="S31" s="148">
        <f t="shared" si="11"/>
        <v>4.7193006441418373</v>
      </c>
      <c r="T31" s="148">
        <f t="shared" si="12"/>
        <v>0.47193006441418378</v>
      </c>
      <c r="U31" s="148">
        <f t="shared" si="12"/>
        <v>47.193006441418376</v>
      </c>
      <c r="V31" s="7">
        <f t="shared" si="13"/>
        <v>1000</v>
      </c>
      <c r="W31" s="7">
        <f t="shared" si="13"/>
        <v>1000000</v>
      </c>
      <c r="X31" s="1345">
        <f t="shared" si="14"/>
        <v>471.93006441418379</v>
      </c>
      <c r="Y31" s="1345">
        <f t="shared" si="14"/>
        <v>47193.006441418373</v>
      </c>
    </row>
    <row r="32" spans="1:25" x14ac:dyDescent="0.2">
      <c r="A32" s="213" t="str">
        <f t="shared" ref="A32:G32" si="28">A53</f>
        <v>BAM</v>
      </c>
      <c r="B32" s="213" t="str">
        <f t="shared" si="28"/>
        <v>#930722-PRM</v>
      </c>
      <c r="C32" s="216">
        <f t="shared" si="28"/>
        <v>10.35</v>
      </c>
      <c r="D32" s="216">
        <f t="shared" si="28"/>
        <v>4.2000000000000003E-2</v>
      </c>
      <c r="E32" s="216">
        <f t="shared" si="28"/>
        <v>10.53</v>
      </c>
      <c r="F32" s="216">
        <f t="shared" si="28"/>
        <v>0.375</v>
      </c>
      <c r="G32" s="216">
        <f t="shared" si="28"/>
        <v>0.18</v>
      </c>
      <c r="H32" s="216">
        <f>J53</f>
        <v>0.755</v>
      </c>
      <c r="I32" s="155">
        <f t="shared" si="1"/>
        <v>0</v>
      </c>
      <c r="J32" s="155">
        <f t="shared" si="2"/>
        <v>0</v>
      </c>
      <c r="K32" s="155">
        <f t="shared" si="3"/>
        <v>0.75</v>
      </c>
      <c r="L32" s="155">
        <f t="shared" si="4"/>
        <v>10</v>
      </c>
      <c r="M32" s="156">
        <f t="shared" si="5"/>
        <v>7.2463768115942031</v>
      </c>
      <c r="N32" s="157">
        <f t="shared" si="6"/>
        <v>0.72463768115942029</v>
      </c>
      <c r="O32" s="155">
        <f t="shared" si="7"/>
        <v>100</v>
      </c>
      <c r="P32" s="250">
        <v>1</v>
      </c>
      <c r="Q32" s="250">
        <v>1000</v>
      </c>
      <c r="R32" s="148">
        <f t="shared" si="10"/>
        <v>72.463768115942031</v>
      </c>
      <c r="S32" s="148">
        <f t="shared" si="11"/>
        <v>7.2463768115942031</v>
      </c>
      <c r="T32" s="148">
        <f t="shared" si="12"/>
        <v>0.72463768115942029</v>
      </c>
      <c r="U32" s="148">
        <f t="shared" si="12"/>
        <v>72.463768115942031</v>
      </c>
      <c r="V32" s="7">
        <f t="shared" si="13"/>
        <v>1000</v>
      </c>
      <c r="W32" s="7">
        <f t="shared" si="13"/>
        <v>1000000</v>
      </c>
      <c r="X32" s="1345">
        <f t="shared" si="14"/>
        <v>724.63768115942025</v>
      </c>
      <c r="Y32" s="1345">
        <f t="shared" si="14"/>
        <v>72463.768115942032</v>
      </c>
    </row>
    <row r="33" spans="1:26" x14ac:dyDescent="0.2">
      <c r="A33" s="213" t="str">
        <f t="shared" ref="A33:G33" si="29">A54</f>
        <v>BIPM</v>
      </c>
      <c r="B33" s="213" t="str">
        <f t="shared" si="29"/>
        <v>#930697-PRM</v>
      </c>
      <c r="C33" s="216">
        <f t="shared" si="29"/>
        <v>10.343</v>
      </c>
      <c r="D33" s="216">
        <f t="shared" si="29"/>
        <v>4.1000000000000002E-2</v>
      </c>
      <c r="E33" s="216">
        <f t="shared" si="29"/>
        <v>10.343</v>
      </c>
      <c r="F33" s="216">
        <f t="shared" si="29"/>
        <v>2.4E-2</v>
      </c>
      <c r="G33" s="216">
        <f t="shared" si="29"/>
        <v>0</v>
      </c>
      <c r="H33" s="216">
        <f>J54</f>
        <v>9.6000000000000002E-2</v>
      </c>
      <c r="I33" s="155">
        <f t="shared" si="1"/>
        <v>0</v>
      </c>
      <c r="J33" s="155">
        <f t="shared" si="2"/>
        <v>0</v>
      </c>
      <c r="K33" s="155">
        <f t="shared" si="3"/>
        <v>4.8000000000000001E-2</v>
      </c>
      <c r="L33" s="155">
        <f t="shared" si="4"/>
        <v>10</v>
      </c>
      <c r="M33" s="156">
        <f t="shared" si="5"/>
        <v>0.46408198781784776</v>
      </c>
      <c r="N33" s="157">
        <f t="shared" si="6"/>
        <v>4.640819878178478E-2</v>
      </c>
      <c r="O33" s="155">
        <f t="shared" si="7"/>
        <v>100</v>
      </c>
      <c r="P33" s="250">
        <v>1</v>
      </c>
      <c r="Q33" s="250">
        <v>1000</v>
      </c>
      <c r="R33" s="148">
        <f t="shared" si="10"/>
        <v>4.640819878178478</v>
      </c>
      <c r="S33" s="148">
        <f t="shared" si="11"/>
        <v>0.46408198781784776</v>
      </c>
      <c r="T33" s="148">
        <f t="shared" si="12"/>
        <v>4.640819878178478E-2</v>
      </c>
      <c r="U33" s="148">
        <f t="shared" si="12"/>
        <v>4.640819878178478</v>
      </c>
      <c r="V33" s="7">
        <f t="shared" si="13"/>
        <v>1000</v>
      </c>
      <c r="W33" s="7">
        <f t="shared" si="13"/>
        <v>1000000</v>
      </c>
      <c r="X33" s="1345">
        <f t="shared" si="14"/>
        <v>46.408198781784783</v>
      </c>
      <c r="Y33" s="1345">
        <f t="shared" si="14"/>
        <v>4640.8198781784777</v>
      </c>
    </row>
    <row r="34" spans="1:26" ht="14.25" x14ac:dyDescent="0.2">
      <c r="H34" s="9"/>
      <c r="U34" s="152"/>
      <c r="V34" s="21"/>
      <c r="W34" s="21"/>
      <c r="X34" s="21"/>
      <c r="Y34" s="21"/>
      <c r="Z34" s="21"/>
    </row>
    <row r="35" spans="1:26" ht="14.25" x14ac:dyDescent="0.2">
      <c r="H35" s="9"/>
      <c r="U35" s="152"/>
      <c r="V35" s="21"/>
      <c r="W35" s="21"/>
      <c r="X35" s="21"/>
      <c r="Y35" s="21"/>
      <c r="Z35" s="21"/>
    </row>
    <row r="36" spans="1:26" ht="14.25" x14ac:dyDescent="0.2">
      <c r="H36" s="9"/>
      <c r="V36" s="21"/>
      <c r="W36" s="21"/>
      <c r="X36" s="21"/>
      <c r="Y36" s="21"/>
      <c r="Z36" s="21"/>
    </row>
    <row r="37" spans="1:26" s="227" customFormat="1" ht="62.25" customHeight="1" x14ac:dyDescent="0.2">
      <c r="A37" s="1209" t="s">
        <v>1346</v>
      </c>
      <c r="B37" s="1210" t="s">
        <v>1347</v>
      </c>
      <c r="C37" s="682" t="s">
        <v>1348</v>
      </c>
      <c r="D37" s="581" t="s">
        <v>1349</v>
      </c>
      <c r="E37" s="575" t="s">
        <v>1350</v>
      </c>
      <c r="F37" s="580" t="s">
        <v>1351</v>
      </c>
      <c r="G37" s="855" t="s">
        <v>1352</v>
      </c>
      <c r="H37" s="1211" t="s">
        <v>1353</v>
      </c>
      <c r="I37" s="1212" t="s">
        <v>1354</v>
      </c>
      <c r="J37" s="1213" t="s">
        <v>1355</v>
      </c>
    </row>
    <row r="38" spans="1:26" s="227" customFormat="1" ht="14.25" customHeight="1" x14ac:dyDescent="0.2">
      <c r="A38" s="536" t="s">
        <v>575</v>
      </c>
      <c r="B38" s="1214" t="s">
        <v>1356</v>
      </c>
      <c r="C38" s="1215">
        <v>10.226000000000001</v>
      </c>
      <c r="D38" s="1057">
        <v>4.2000000000000003E-2</v>
      </c>
      <c r="E38" s="1056">
        <v>10.331</v>
      </c>
      <c r="F38" s="1161">
        <v>0.04</v>
      </c>
      <c r="G38" s="1216">
        <v>0.105</v>
      </c>
      <c r="H38" s="1394">
        <v>5.8000000000000003E-2</v>
      </c>
      <c r="I38" s="1394"/>
      <c r="J38" s="1057">
        <v>0.115</v>
      </c>
    </row>
    <row r="39" spans="1:26" s="227" customFormat="1" ht="14.25" customHeight="1" x14ac:dyDescent="0.2">
      <c r="A39" s="547" t="s">
        <v>641</v>
      </c>
      <c r="B39" s="1217" t="s">
        <v>1357</v>
      </c>
      <c r="C39" s="1186">
        <v>10.227</v>
      </c>
      <c r="D39" s="1066">
        <v>4.2000000000000003E-2</v>
      </c>
      <c r="E39" s="1065">
        <v>10.15</v>
      </c>
      <c r="F39" s="1169">
        <v>0.05</v>
      </c>
      <c r="G39" s="1218">
        <v>-7.6999999999999999E-2</v>
      </c>
      <c r="H39" s="1393">
        <v>6.5000000000000002E-2</v>
      </c>
      <c r="I39" s="1393"/>
      <c r="J39" s="1066">
        <v>0.13</v>
      </c>
    </row>
    <row r="40" spans="1:26" s="227" customFormat="1" ht="14.25" customHeight="1" x14ac:dyDescent="0.2">
      <c r="A40" s="547" t="s">
        <v>580</v>
      </c>
      <c r="B40" s="1217" t="s">
        <v>1358</v>
      </c>
      <c r="C40" s="1186">
        <v>10.347</v>
      </c>
      <c r="D40" s="1066">
        <v>4.2000000000000003E-2</v>
      </c>
      <c r="E40" s="1065">
        <v>10.1</v>
      </c>
      <c r="F40" s="1169">
        <v>0.06</v>
      </c>
      <c r="G40" s="1218">
        <v>-0.247</v>
      </c>
      <c r="H40" s="1393">
        <v>7.2999999999999995E-2</v>
      </c>
      <c r="I40" s="1393"/>
      <c r="J40" s="1066">
        <v>0.14599999999999999</v>
      </c>
    </row>
    <row r="41" spans="1:26" s="227" customFormat="1" ht="14.25" customHeight="1" x14ac:dyDescent="0.2">
      <c r="A41" s="547" t="s">
        <v>565</v>
      </c>
      <c r="B41" s="1217" t="s">
        <v>1359</v>
      </c>
      <c r="C41" s="1186">
        <v>10.378</v>
      </c>
      <c r="D41" s="1066">
        <v>4.2000000000000003E-2</v>
      </c>
      <c r="E41" s="1065">
        <v>10.74</v>
      </c>
      <c r="F41" s="1169">
        <v>0.315</v>
      </c>
      <c r="G41" s="1218">
        <v>0.36199999999999999</v>
      </c>
      <c r="H41" s="1393">
        <v>0.318</v>
      </c>
      <c r="I41" s="1393"/>
      <c r="J41" s="1066">
        <v>0.63500000000000001</v>
      </c>
    </row>
    <row r="42" spans="1:26" s="227" customFormat="1" ht="14.25" customHeight="1" x14ac:dyDescent="0.2">
      <c r="A42" s="547" t="s">
        <v>1360</v>
      </c>
      <c r="B42" s="1217" t="s">
        <v>1361</v>
      </c>
      <c r="C42" s="1186">
        <v>10.347</v>
      </c>
      <c r="D42" s="1066">
        <v>4.2000000000000003E-2</v>
      </c>
      <c r="E42" s="1065">
        <v>10.69</v>
      </c>
      <c r="F42" s="1169">
        <v>0.185</v>
      </c>
      <c r="G42" s="1218">
        <v>0.34300000000000003</v>
      </c>
      <c r="H42" s="1393">
        <v>0.19</v>
      </c>
      <c r="I42" s="1393"/>
      <c r="J42" s="1066">
        <v>0.379</v>
      </c>
    </row>
    <row r="43" spans="1:26" s="227" customFormat="1" ht="14.25" customHeight="1" x14ac:dyDescent="0.2">
      <c r="A43" s="547" t="s">
        <v>590</v>
      </c>
      <c r="B43" s="1217" t="s">
        <v>1362</v>
      </c>
      <c r="C43" s="1186">
        <v>10.351000000000001</v>
      </c>
      <c r="D43" s="1066">
        <v>4.1000000000000002E-2</v>
      </c>
      <c r="E43" s="1065">
        <v>10.4</v>
      </c>
      <c r="F43" s="1169">
        <v>0.19</v>
      </c>
      <c r="G43" s="1218">
        <v>4.9000000000000002E-2</v>
      </c>
      <c r="H43" s="1393">
        <v>0.19400000000000001</v>
      </c>
      <c r="I43" s="1393"/>
      <c r="J43" s="1066">
        <v>0.38900000000000001</v>
      </c>
    </row>
    <row r="44" spans="1:26" s="227" customFormat="1" ht="14.25" customHeight="1" x14ac:dyDescent="0.2">
      <c r="A44" s="547" t="s">
        <v>1363</v>
      </c>
      <c r="B44" s="1217" t="s">
        <v>1364</v>
      </c>
      <c r="C44" s="1186">
        <v>10.430999999999999</v>
      </c>
      <c r="D44" s="1066">
        <v>4.1000000000000002E-2</v>
      </c>
      <c r="E44" s="1065">
        <v>10.63</v>
      </c>
      <c r="F44" s="1169">
        <v>0.08</v>
      </c>
      <c r="G44" s="1218">
        <v>0.19900000000000001</v>
      </c>
      <c r="H44" s="1393">
        <v>0.09</v>
      </c>
      <c r="I44" s="1393"/>
      <c r="J44" s="1066">
        <v>0.18</v>
      </c>
    </row>
    <row r="45" spans="1:26" s="227" customFormat="1" ht="14.25" customHeight="1" x14ac:dyDescent="0.2">
      <c r="A45" s="547" t="s">
        <v>1365</v>
      </c>
      <c r="B45" s="1217" t="s">
        <v>1366</v>
      </c>
      <c r="C45" s="1186">
        <v>10.183</v>
      </c>
      <c r="D45" s="1066">
        <v>4.2000000000000003E-2</v>
      </c>
      <c r="E45" s="1065">
        <v>9.99</v>
      </c>
      <c r="F45" s="1169">
        <v>0.1</v>
      </c>
      <c r="G45" s="1218">
        <v>-0.193</v>
      </c>
      <c r="H45" s="1393">
        <v>0.108</v>
      </c>
      <c r="I45" s="1393"/>
      <c r="J45" s="1066">
        <v>0.217</v>
      </c>
    </row>
    <row r="46" spans="1:26" s="227" customFormat="1" ht="14.25" customHeight="1" x14ac:dyDescent="0.2">
      <c r="A46" s="547" t="s">
        <v>648</v>
      </c>
      <c r="B46" s="1217" t="s">
        <v>1367</v>
      </c>
      <c r="C46" s="1186">
        <v>10.27</v>
      </c>
      <c r="D46" s="1066">
        <v>4.2000000000000003E-2</v>
      </c>
      <c r="E46" s="1065">
        <v>10.45</v>
      </c>
      <c r="F46" s="1169">
        <v>0.155</v>
      </c>
      <c r="G46" s="1218">
        <v>0.18</v>
      </c>
      <c r="H46" s="1393">
        <v>0.16</v>
      </c>
      <c r="I46" s="1393"/>
      <c r="J46" s="1066">
        <v>0.32100000000000001</v>
      </c>
    </row>
    <row r="47" spans="1:26" s="227" customFormat="1" ht="14.25" customHeight="1" x14ac:dyDescent="0.2">
      <c r="A47" s="547" t="s">
        <v>972</v>
      </c>
      <c r="B47" s="1217" t="s">
        <v>1368</v>
      </c>
      <c r="C47" s="1186">
        <v>10.417</v>
      </c>
      <c r="D47" s="1066">
        <v>4.1000000000000002E-2</v>
      </c>
      <c r="E47" s="1065">
        <v>9.8800000000000008</v>
      </c>
      <c r="F47" s="1169">
        <v>0.15</v>
      </c>
      <c r="G47" s="1218">
        <v>-0.53700000000000003</v>
      </c>
      <c r="H47" s="1393">
        <v>0.156</v>
      </c>
      <c r="I47" s="1393"/>
      <c r="J47" s="1066">
        <v>0.311</v>
      </c>
    </row>
    <row r="48" spans="1:26" s="227" customFormat="1" ht="14.25" customHeight="1" x14ac:dyDescent="0.2">
      <c r="A48" s="547" t="s">
        <v>636</v>
      </c>
      <c r="B48" s="1217" t="s">
        <v>1369</v>
      </c>
      <c r="C48" s="1186">
        <v>10.378</v>
      </c>
      <c r="D48" s="1066">
        <v>4.1000000000000002E-2</v>
      </c>
      <c r="E48" s="1065">
        <v>10.26</v>
      </c>
      <c r="F48" s="1169">
        <v>6.5000000000000002E-2</v>
      </c>
      <c r="G48" s="1218">
        <v>-0.11799999999999999</v>
      </c>
      <c r="H48" s="1393">
        <v>7.6999999999999999E-2</v>
      </c>
      <c r="I48" s="1393"/>
      <c r="J48" s="1066">
        <v>0.154</v>
      </c>
    </row>
    <row r="49" spans="1:26" s="227" customFormat="1" ht="14.25" customHeight="1" x14ac:dyDescent="0.2">
      <c r="A49" s="547" t="s">
        <v>604</v>
      </c>
      <c r="B49" s="1217" t="s">
        <v>1370</v>
      </c>
      <c r="C49" s="1186">
        <v>10.298999999999999</v>
      </c>
      <c r="D49" s="1066">
        <v>4.1000000000000002E-2</v>
      </c>
      <c r="E49" s="1065">
        <v>10.28</v>
      </c>
      <c r="F49" s="1169">
        <v>0.05</v>
      </c>
      <c r="G49" s="1218">
        <v>-1.9E-2</v>
      </c>
      <c r="H49" s="1393">
        <v>6.5000000000000002E-2</v>
      </c>
      <c r="I49" s="1393"/>
      <c r="J49" s="1066">
        <v>0.13</v>
      </c>
    </row>
    <row r="50" spans="1:26" s="227" customFormat="1" ht="14.25" customHeight="1" x14ac:dyDescent="0.2">
      <c r="A50" s="547" t="s">
        <v>1371</v>
      </c>
      <c r="B50" s="1217" t="s">
        <v>1372</v>
      </c>
      <c r="C50" s="1186">
        <v>10.37</v>
      </c>
      <c r="D50" s="1066">
        <v>4.1000000000000002E-2</v>
      </c>
      <c r="E50" s="1065">
        <v>10.51</v>
      </c>
      <c r="F50" s="1169">
        <v>0.105</v>
      </c>
      <c r="G50" s="1218">
        <v>0.14000000000000001</v>
      </c>
      <c r="H50" s="1393">
        <v>0.113</v>
      </c>
      <c r="I50" s="1393"/>
      <c r="J50" s="1066">
        <v>0.22600000000000001</v>
      </c>
    </row>
    <row r="51" spans="1:26" s="227" customFormat="1" ht="14.25" customHeight="1" x14ac:dyDescent="0.2">
      <c r="A51" s="547" t="s">
        <v>570</v>
      </c>
      <c r="B51" s="1217" t="s">
        <v>1373</v>
      </c>
      <c r="C51" s="1186">
        <v>10.435</v>
      </c>
      <c r="D51" s="1066">
        <v>4.2000000000000003E-2</v>
      </c>
      <c r="E51" s="1065">
        <v>10.72</v>
      </c>
      <c r="F51" s="1169">
        <v>0.11</v>
      </c>
      <c r="G51" s="1218">
        <v>0.28499999999999998</v>
      </c>
      <c r="H51" s="1393">
        <v>0.11799999999999999</v>
      </c>
      <c r="I51" s="1393"/>
      <c r="J51" s="1066">
        <v>0.23499999999999999</v>
      </c>
    </row>
    <row r="52" spans="1:26" s="227" customFormat="1" ht="14.25" customHeight="1" x14ac:dyDescent="0.2">
      <c r="A52" s="547" t="s">
        <v>631</v>
      </c>
      <c r="B52" s="1217" t="s">
        <v>1374</v>
      </c>
      <c r="C52" s="1186">
        <v>10.32</v>
      </c>
      <c r="D52" s="1066">
        <v>4.2000000000000003E-2</v>
      </c>
      <c r="E52" s="1065">
        <v>10.55</v>
      </c>
      <c r="F52" s="1169">
        <v>0.08</v>
      </c>
      <c r="G52" s="1218">
        <v>0.23</v>
      </c>
      <c r="H52" s="1393">
        <v>0.09</v>
      </c>
      <c r="I52" s="1393"/>
      <c r="J52" s="1066">
        <v>0.18099999999999999</v>
      </c>
    </row>
    <row r="53" spans="1:26" s="227" customFormat="1" ht="14.25" customHeight="1" x14ac:dyDescent="0.2">
      <c r="A53" s="547" t="s">
        <v>626</v>
      </c>
      <c r="B53" s="1217" t="s">
        <v>1375</v>
      </c>
      <c r="C53" s="1186">
        <v>10.35</v>
      </c>
      <c r="D53" s="1066">
        <v>4.2000000000000003E-2</v>
      </c>
      <c r="E53" s="1065">
        <v>10.53</v>
      </c>
      <c r="F53" s="1169">
        <v>0.375</v>
      </c>
      <c r="G53" s="1218">
        <v>0.18</v>
      </c>
      <c r="H53" s="1393">
        <v>0.377</v>
      </c>
      <c r="I53" s="1393"/>
      <c r="J53" s="1066">
        <v>0.755</v>
      </c>
    </row>
    <row r="54" spans="1:26" s="227" customFormat="1" ht="14.25" customHeight="1" x14ac:dyDescent="0.2">
      <c r="A54" s="561" t="s">
        <v>1376</v>
      </c>
      <c r="B54" s="1219" t="s">
        <v>1377</v>
      </c>
      <c r="C54" s="1191">
        <v>10.343</v>
      </c>
      <c r="D54" s="1076">
        <v>4.1000000000000002E-2</v>
      </c>
      <c r="E54" s="1220">
        <v>10.343</v>
      </c>
      <c r="F54" s="1178">
        <v>2.4E-2</v>
      </c>
      <c r="G54" s="1221">
        <v>0</v>
      </c>
      <c r="H54" s="1396">
        <v>4.8000000000000001E-2</v>
      </c>
      <c r="I54" s="1396"/>
      <c r="J54" s="1076">
        <v>9.6000000000000002E-2</v>
      </c>
    </row>
    <row r="55" spans="1:26" s="227" customFormat="1" ht="14.25" customHeight="1" x14ac:dyDescent="0.2">
      <c r="A55" s="1395" t="s">
        <v>1378</v>
      </c>
      <c r="B55" s="1395"/>
      <c r="C55" s="1395"/>
      <c r="D55" s="1395"/>
      <c r="E55" s="1395"/>
      <c r="F55" s="1395"/>
      <c r="G55" s="1395"/>
      <c r="H55" s="1395"/>
      <c r="I55" s="1395"/>
      <c r="J55" s="1395"/>
      <c r="K55" s="1395"/>
    </row>
    <row r="56" spans="1:26" ht="14.25" x14ac:dyDescent="0.2">
      <c r="H56" s="9"/>
      <c r="X56" s="21"/>
      <c r="Y56" s="21"/>
      <c r="Z56" s="21"/>
    </row>
    <row r="57" spans="1:26" ht="14.25" x14ac:dyDescent="0.2">
      <c r="H57" s="9"/>
      <c r="X57" s="21"/>
      <c r="Y57" s="21"/>
      <c r="Z57" s="21"/>
    </row>
    <row r="58" spans="1:26" ht="14.25" x14ac:dyDescent="0.2">
      <c r="H58" s="9"/>
      <c r="X58" s="21"/>
      <c r="Y58" s="21"/>
      <c r="Z58" s="21"/>
    </row>
    <row r="59" spans="1:26" ht="14.25" x14ac:dyDescent="0.2">
      <c r="H59" s="9"/>
      <c r="X59" s="21"/>
      <c r="Y59" s="21"/>
      <c r="Z59" s="21"/>
    </row>
    <row r="60" spans="1:26" ht="14.25" x14ac:dyDescent="0.2">
      <c r="H60" s="9"/>
      <c r="X60" s="21"/>
      <c r="Y60" s="21"/>
      <c r="Z60" s="21"/>
    </row>
    <row r="61" spans="1:26" ht="14.25" x14ac:dyDescent="0.2">
      <c r="H61" s="9"/>
      <c r="X61" s="21"/>
      <c r="Y61" s="21"/>
      <c r="Z61" s="21"/>
    </row>
    <row r="62" spans="1:26" ht="14.25" x14ac:dyDescent="0.2">
      <c r="H62" s="9"/>
      <c r="X62" s="21"/>
      <c r="Y62" s="21"/>
      <c r="Z62" s="21"/>
    </row>
    <row r="63" spans="1:26" ht="14.25" x14ac:dyDescent="0.2">
      <c r="H63" s="9"/>
      <c r="U63" s="152"/>
      <c r="V63" s="21"/>
      <c r="W63" s="21"/>
      <c r="X63" s="21"/>
      <c r="Y63" s="21"/>
      <c r="Z63" s="21"/>
    </row>
    <row r="64" spans="1:26" ht="14.25" x14ac:dyDescent="0.2">
      <c r="H64" s="9"/>
      <c r="U64" s="152"/>
      <c r="V64" s="21"/>
      <c r="W64" s="21"/>
      <c r="X64" s="21"/>
      <c r="Y64" s="21"/>
      <c r="Z64" s="21"/>
    </row>
    <row r="65" spans="8:26" ht="14.25" x14ac:dyDescent="0.2">
      <c r="H65" s="9"/>
      <c r="U65" s="152"/>
      <c r="V65" s="21"/>
      <c r="W65" s="21"/>
      <c r="X65" s="21"/>
      <c r="Y65" s="21"/>
      <c r="Z65" s="21"/>
    </row>
    <row r="66" spans="8:26" ht="14.25" x14ac:dyDescent="0.2">
      <c r="H66" s="9"/>
      <c r="U66" s="152"/>
      <c r="V66" s="21"/>
      <c r="W66" s="21"/>
      <c r="X66" s="21"/>
      <c r="Y66" s="21"/>
      <c r="Z66" s="21"/>
    </row>
    <row r="67" spans="8:26" ht="14.25" x14ac:dyDescent="0.2">
      <c r="H67" s="9"/>
      <c r="U67" s="152"/>
      <c r="V67" s="21"/>
      <c r="W67" s="21"/>
      <c r="X67" s="21"/>
      <c r="Y67" s="21"/>
      <c r="Z67" s="21"/>
    </row>
    <row r="68" spans="8:26" ht="14.25" x14ac:dyDescent="0.2">
      <c r="H68" s="9"/>
      <c r="U68" s="152"/>
      <c r="V68" s="21"/>
      <c r="W68" s="21"/>
      <c r="X68" s="21"/>
      <c r="Y68" s="21"/>
      <c r="Z68" s="21"/>
    </row>
    <row r="69" spans="8:26" ht="14.25" x14ac:dyDescent="0.2">
      <c r="H69" s="9"/>
      <c r="U69" s="152"/>
      <c r="V69" s="21"/>
      <c r="W69" s="21"/>
      <c r="X69" s="21"/>
      <c r="Y69" s="21"/>
      <c r="Z69" s="21"/>
    </row>
    <row r="70" spans="8:26" ht="14.25" x14ac:dyDescent="0.2">
      <c r="H70" s="9"/>
      <c r="U70" s="152"/>
      <c r="V70" s="21"/>
      <c r="W70" s="21"/>
      <c r="X70" s="21"/>
      <c r="Y70" s="21"/>
      <c r="Z70" s="21"/>
    </row>
    <row r="71" spans="8:26" ht="14.25" x14ac:dyDescent="0.2">
      <c r="H71" s="9"/>
      <c r="U71" s="152"/>
      <c r="V71" s="21"/>
      <c r="W71" s="21"/>
      <c r="X71" s="21"/>
      <c r="Y71" s="21"/>
      <c r="Z71" s="21"/>
    </row>
    <row r="72" spans="8:26" ht="14.25" x14ac:dyDescent="0.2">
      <c r="H72" s="9"/>
      <c r="U72" s="152"/>
      <c r="V72" s="21"/>
      <c r="W72" s="21"/>
      <c r="X72" s="21"/>
      <c r="Y72" s="21"/>
      <c r="Z72" s="21"/>
    </row>
    <row r="73" spans="8:26" ht="14.25" x14ac:dyDescent="0.2">
      <c r="H73" s="9"/>
      <c r="U73" s="152"/>
      <c r="V73" s="21"/>
      <c r="W73" s="21"/>
      <c r="X73" s="21"/>
      <c r="Y73" s="21"/>
      <c r="Z73" s="21"/>
    </row>
    <row r="74" spans="8:26" ht="14.25" x14ac:dyDescent="0.2">
      <c r="H74" s="9"/>
      <c r="U74" s="152"/>
      <c r="V74" s="21"/>
      <c r="W74" s="21"/>
      <c r="X74" s="21"/>
      <c r="Y74" s="21"/>
      <c r="Z74" s="21"/>
    </row>
    <row r="75" spans="8:26" ht="14.25" x14ac:dyDescent="0.2">
      <c r="H75" s="9"/>
      <c r="U75" s="152"/>
      <c r="V75" s="21"/>
      <c r="W75" s="21"/>
      <c r="X75" s="21"/>
      <c r="Y75" s="21"/>
      <c r="Z75" s="21"/>
    </row>
    <row r="76" spans="8:26" ht="14.25" x14ac:dyDescent="0.2">
      <c r="H76" s="9"/>
      <c r="U76" s="152"/>
      <c r="V76" s="21"/>
      <c r="W76" s="21"/>
      <c r="X76" s="21"/>
      <c r="Y76" s="21"/>
      <c r="Z76" s="21"/>
    </row>
    <row r="77" spans="8:26" ht="14.25" x14ac:dyDescent="0.2">
      <c r="H77" s="9"/>
      <c r="U77" s="152"/>
      <c r="V77" s="21"/>
      <c r="W77" s="21"/>
      <c r="X77" s="21"/>
      <c r="Y77" s="21"/>
      <c r="Z77" s="21"/>
    </row>
    <row r="78" spans="8:26" ht="14.25" x14ac:dyDescent="0.2">
      <c r="H78" s="9"/>
      <c r="U78" s="152"/>
      <c r="V78" s="21"/>
      <c r="W78" s="21"/>
      <c r="X78" s="21"/>
      <c r="Y78" s="21"/>
      <c r="Z78" s="21"/>
    </row>
    <row r="79" spans="8:26" ht="14.25" x14ac:dyDescent="0.2">
      <c r="H79" s="9"/>
      <c r="U79" s="152"/>
      <c r="V79" s="21"/>
      <c r="W79" s="21"/>
      <c r="X79" s="21"/>
      <c r="Y79" s="21"/>
      <c r="Z79" s="21"/>
    </row>
    <row r="80" spans="8:26" ht="14.25" x14ac:dyDescent="0.2">
      <c r="H80" s="9"/>
      <c r="U80" s="152"/>
      <c r="V80" s="21"/>
      <c r="W80" s="21"/>
      <c r="X80" s="21"/>
      <c r="Y80" s="21"/>
      <c r="Z80" s="21"/>
    </row>
    <row r="81" spans="1:26" ht="14.25" x14ac:dyDescent="0.2">
      <c r="U81" s="152"/>
      <c r="V81" s="21"/>
      <c r="W81" s="21"/>
      <c r="X81" s="21"/>
      <c r="Y81" s="21"/>
      <c r="Z81" s="21"/>
    </row>
    <row r="82" spans="1:26" ht="14.25" x14ac:dyDescent="0.2">
      <c r="H82" s="9"/>
      <c r="U82" s="152"/>
      <c r="V82" s="21"/>
      <c r="W82" s="21"/>
      <c r="X82" s="21"/>
      <c r="Y82" s="21"/>
      <c r="Z82" s="21"/>
    </row>
    <row r="83" spans="1:26" ht="14.25" x14ac:dyDescent="0.2">
      <c r="H83" s="9"/>
      <c r="U83" s="152"/>
      <c r="V83" s="21"/>
      <c r="W83" s="21"/>
      <c r="X83" s="21"/>
      <c r="Y83" s="21"/>
      <c r="Z83" s="21"/>
    </row>
    <row r="84" spans="1:26" ht="14.25" x14ac:dyDescent="0.2">
      <c r="H84" s="9"/>
      <c r="U84" s="152"/>
      <c r="V84" s="21"/>
      <c r="W84" s="21"/>
      <c r="X84" s="21"/>
      <c r="Y84" s="21"/>
      <c r="Z84" s="21"/>
    </row>
    <row r="85" spans="1:26" ht="14.25" x14ac:dyDescent="0.2">
      <c r="H85" s="9"/>
      <c r="U85" s="152"/>
      <c r="V85" s="21"/>
      <c r="W85" s="21"/>
      <c r="X85" s="21"/>
      <c r="Y85" s="21"/>
      <c r="Z85" s="21"/>
    </row>
    <row r="86" spans="1:26" ht="14.25" x14ac:dyDescent="0.2">
      <c r="H86" s="9"/>
      <c r="U86" s="152"/>
      <c r="V86" s="21"/>
      <c r="W86" s="21"/>
      <c r="X86" s="21"/>
      <c r="Y86" s="21"/>
      <c r="Z86" s="21"/>
    </row>
    <row r="87" spans="1:26" ht="14.25" x14ac:dyDescent="0.2">
      <c r="H87" s="9"/>
      <c r="U87" s="152"/>
      <c r="V87" s="21"/>
      <c r="W87" s="21"/>
      <c r="X87" s="21"/>
      <c r="Y87" s="21"/>
      <c r="Z87" s="21"/>
    </row>
    <row r="88" spans="1:26" ht="14.25" x14ac:dyDescent="0.2">
      <c r="U88" s="152"/>
      <c r="V88" s="21"/>
      <c r="W88" s="21"/>
      <c r="X88" s="21"/>
      <c r="Y88" s="21"/>
      <c r="Z88" s="21"/>
    </row>
    <row r="89" spans="1:26" ht="14.25" x14ac:dyDescent="0.2">
      <c r="U89" s="152"/>
      <c r="V89" s="21"/>
      <c r="W89" s="21"/>
      <c r="X89" s="21"/>
      <c r="Y89" s="21"/>
      <c r="Z89" s="21"/>
    </row>
    <row r="90" spans="1:26" ht="14.25" x14ac:dyDescent="0.2">
      <c r="U90" s="152"/>
      <c r="V90" s="21"/>
      <c r="W90" s="21"/>
      <c r="X90" s="21"/>
      <c r="Y90" s="21"/>
      <c r="Z90" s="21"/>
    </row>
    <row r="91" spans="1:26" ht="14.25" x14ac:dyDescent="0.2">
      <c r="U91" s="152"/>
      <c r="V91" s="21"/>
      <c r="W91" s="21"/>
      <c r="X91" s="21"/>
      <c r="Y91" s="21"/>
      <c r="Z91" s="21"/>
    </row>
    <row r="92" spans="1:26" ht="14.25" x14ac:dyDescent="0.2">
      <c r="U92" s="152"/>
      <c r="V92" s="21"/>
      <c r="W92" s="21"/>
      <c r="X92" s="21"/>
      <c r="Y92" s="21"/>
      <c r="Z92" s="21"/>
    </row>
    <row r="93" spans="1:26" ht="14.25" x14ac:dyDescent="0.2">
      <c r="U93" s="152"/>
      <c r="V93" s="21"/>
      <c r="W93" s="21"/>
      <c r="X93" s="21"/>
      <c r="Y93" s="21"/>
      <c r="Z93" s="21"/>
    </row>
    <row r="94" spans="1:26" ht="14.25" x14ac:dyDescent="0.2">
      <c r="A94" s="23"/>
      <c r="B94" s="23"/>
      <c r="C94" s="23"/>
      <c r="D94" s="23"/>
      <c r="T94" s="151"/>
      <c r="U94" s="152"/>
      <c r="V94" s="21"/>
      <c r="W94" s="21"/>
      <c r="X94" s="21"/>
      <c r="Y94" s="21"/>
      <c r="Z94" s="21"/>
    </row>
    <row r="95" spans="1:26" ht="14.25" x14ac:dyDescent="0.2">
      <c r="T95" s="151"/>
      <c r="U95" s="152"/>
      <c r="V95" s="21"/>
      <c r="W95" s="21"/>
      <c r="X95" s="21"/>
      <c r="Y95" s="21"/>
      <c r="Z95" s="21"/>
    </row>
    <row r="96" spans="1:26" ht="14.25" x14ac:dyDescent="0.2">
      <c r="T96" s="151"/>
      <c r="U96" s="152"/>
      <c r="V96" s="21"/>
      <c r="W96" s="21"/>
      <c r="X96" s="21"/>
      <c r="Y96" s="21"/>
      <c r="Z96" s="21"/>
    </row>
    <row r="97" spans="1:26" ht="14.25" x14ac:dyDescent="0.2">
      <c r="T97" s="151"/>
      <c r="U97" s="152"/>
      <c r="V97" s="21"/>
      <c r="W97" s="21"/>
      <c r="X97" s="21"/>
      <c r="Y97" s="21"/>
      <c r="Z97" s="21"/>
    </row>
    <row r="98" spans="1:26" ht="14.25" x14ac:dyDescent="0.2">
      <c r="T98" s="151"/>
      <c r="U98" s="152"/>
      <c r="V98" s="21"/>
      <c r="W98" s="21"/>
      <c r="X98" s="21"/>
      <c r="Y98" s="21"/>
      <c r="Z98" s="21"/>
    </row>
    <row r="99" spans="1:26" ht="14.25" x14ac:dyDescent="0.2">
      <c r="T99" s="151"/>
      <c r="U99" s="152"/>
      <c r="V99" s="21"/>
      <c r="W99" s="21"/>
      <c r="X99" s="21"/>
      <c r="Y99" s="21"/>
      <c r="Z99" s="21"/>
    </row>
    <row r="100" spans="1:26" ht="14.25" x14ac:dyDescent="0.2">
      <c r="T100" s="151"/>
      <c r="U100" s="152"/>
      <c r="V100" s="21"/>
      <c r="W100" s="21"/>
      <c r="X100" s="21"/>
      <c r="Y100" s="21"/>
      <c r="Z100" s="21"/>
    </row>
    <row r="101" spans="1:26" ht="14.25" x14ac:dyDescent="0.2">
      <c r="T101" s="151"/>
      <c r="U101" s="152"/>
      <c r="V101" s="21"/>
      <c r="W101" s="21"/>
      <c r="X101" s="21"/>
      <c r="Y101" s="21"/>
      <c r="Z101" s="21"/>
    </row>
    <row r="102" spans="1:26" ht="14.25" x14ac:dyDescent="0.2">
      <c r="T102" s="151"/>
      <c r="U102" s="152"/>
      <c r="V102" s="21"/>
      <c r="W102" s="21"/>
      <c r="X102" s="21"/>
      <c r="Y102" s="21"/>
      <c r="Z102" s="21"/>
    </row>
    <row r="103" spans="1:26" ht="14.25" x14ac:dyDescent="0.2">
      <c r="T103" s="151"/>
      <c r="U103" s="152"/>
      <c r="V103" s="21"/>
      <c r="W103" s="21"/>
      <c r="X103" s="21"/>
      <c r="Y103" s="21"/>
      <c r="Z103" s="21"/>
    </row>
    <row r="104" spans="1:26" ht="14.25" x14ac:dyDescent="0.2">
      <c r="T104" s="151"/>
      <c r="U104" s="152"/>
      <c r="V104" s="21"/>
      <c r="W104" s="21"/>
      <c r="X104" s="21"/>
      <c r="Y104" s="21"/>
      <c r="Z104" s="21"/>
    </row>
    <row r="105" spans="1:26" ht="14.25" x14ac:dyDescent="0.2">
      <c r="T105" s="151"/>
      <c r="U105" s="152"/>
      <c r="V105" s="21"/>
      <c r="W105" s="21"/>
      <c r="X105" s="21"/>
      <c r="Y105" s="21"/>
      <c r="Z105" s="21"/>
    </row>
    <row r="106" spans="1:26" ht="14.25" x14ac:dyDescent="0.2">
      <c r="T106" s="151"/>
      <c r="U106" s="152"/>
      <c r="V106" s="21"/>
      <c r="W106" s="21"/>
      <c r="X106" s="21"/>
      <c r="Y106" s="21"/>
      <c r="Z106" s="21"/>
    </row>
    <row r="107" spans="1:26" ht="14.25" x14ac:dyDescent="0.2">
      <c r="A107" s="23"/>
      <c r="B107" s="23"/>
      <c r="C107" s="23"/>
      <c r="D107" s="23"/>
      <c r="T107" s="151"/>
      <c r="U107" s="152"/>
      <c r="V107" s="21"/>
      <c r="W107" s="21"/>
      <c r="X107" s="21"/>
      <c r="Y107" s="21"/>
      <c r="Z107" s="21"/>
    </row>
    <row r="108" spans="1:26" ht="14.25" x14ac:dyDescent="0.2">
      <c r="A108" s="23"/>
      <c r="B108" s="23"/>
      <c r="C108" s="23"/>
      <c r="D108" s="23"/>
      <c r="T108" s="151"/>
      <c r="U108" s="152"/>
      <c r="V108" s="21"/>
      <c r="W108" s="21"/>
      <c r="X108" s="21"/>
      <c r="Y108" s="21"/>
      <c r="Z108" s="21"/>
    </row>
    <row r="109" spans="1:26" ht="14.25" x14ac:dyDescent="0.2">
      <c r="A109" s="23"/>
      <c r="B109" s="23"/>
      <c r="C109" s="23"/>
      <c r="D109" s="23"/>
      <c r="T109" s="151"/>
      <c r="U109" s="152"/>
      <c r="V109" s="21"/>
      <c r="W109" s="21"/>
      <c r="X109" s="21"/>
      <c r="Y109" s="21"/>
      <c r="Z109" s="21"/>
    </row>
    <row r="110" spans="1:26" ht="14.25" x14ac:dyDescent="0.2">
      <c r="A110" s="23"/>
      <c r="B110" s="23"/>
      <c r="C110" s="23"/>
      <c r="D110" s="23"/>
      <c r="T110" s="151"/>
      <c r="U110" s="152"/>
      <c r="V110" s="21"/>
      <c r="W110" s="21"/>
      <c r="X110" s="21"/>
      <c r="Y110" s="21"/>
      <c r="Z110" s="21"/>
    </row>
    <row r="111" spans="1:26" ht="14.25" x14ac:dyDescent="0.2">
      <c r="A111" s="23"/>
      <c r="B111" s="23"/>
      <c r="C111" s="23"/>
      <c r="D111" s="23"/>
      <c r="T111" s="151"/>
      <c r="U111" s="152"/>
      <c r="V111" s="21"/>
      <c r="W111" s="21"/>
      <c r="X111" s="21"/>
      <c r="Y111" s="21"/>
      <c r="Z111" s="21"/>
    </row>
    <row r="112" spans="1:26" ht="14.25" x14ac:dyDescent="0.2">
      <c r="A112" s="23"/>
      <c r="B112" s="23"/>
      <c r="C112" s="23"/>
      <c r="D112" s="23"/>
      <c r="T112" s="151"/>
      <c r="U112" s="152"/>
      <c r="V112" s="21"/>
      <c r="W112" s="21"/>
      <c r="X112" s="21"/>
      <c r="Y112" s="21"/>
      <c r="Z112" s="21"/>
    </row>
    <row r="113" spans="1:26" ht="14.25" x14ac:dyDescent="0.2">
      <c r="A113" s="23"/>
      <c r="B113" s="23"/>
      <c r="C113" s="23"/>
      <c r="D113" s="23"/>
      <c r="T113" s="151"/>
      <c r="U113" s="152"/>
      <c r="V113" s="21"/>
      <c r="W113" s="21"/>
      <c r="X113" s="21"/>
      <c r="Y113" s="21"/>
      <c r="Z113" s="21"/>
    </row>
    <row r="114" spans="1:26" ht="14.25" x14ac:dyDescent="0.2">
      <c r="A114" s="23"/>
      <c r="B114" s="23"/>
      <c r="C114" s="23"/>
      <c r="D114" s="23"/>
      <c r="T114" s="151"/>
      <c r="U114" s="152"/>
      <c r="V114" s="21"/>
      <c r="W114" s="21"/>
      <c r="X114" s="21"/>
      <c r="Y114" s="21"/>
      <c r="Z114" s="21"/>
    </row>
    <row r="115" spans="1:26" ht="14.25" x14ac:dyDescent="0.2">
      <c r="A115" s="23"/>
      <c r="B115" s="23"/>
      <c r="C115" s="23"/>
      <c r="D115" s="23"/>
      <c r="T115" s="151"/>
      <c r="U115" s="152"/>
      <c r="V115" s="21"/>
      <c r="W115" s="21"/>
      <c r="X115" s="21"/>
      <c r="Y115" s="21"/>
      <c r="Z115" s="21"/>
    </row>
    <row r="116" spans="1:26" ht="14.25" x14ac:dyDescent="0.2">
      <c r="A116" s="23"/>
      <c r="B116" s="23"/>
      <c r="C116" s="23"/>
      <c r="D116" s="23"/>
      <c r="T116" s="151"/>
      <c r="U116" s="152"/>
      <c r="V116" s="21"/>
      <c r="W116" s="21"/>
      <c r="X116" s="21"/>
      <c r="Y116" s="21"/>
      <c r="Z116" s="21"/>
    </row>
    <row r="117" spans="1:26" ht="14.25" x14ac:dyDescent="0.2">
      <c r="A117" s="23"/>
      <c r="B117" s="23"/>
      <c r="C117" s="23"/>
      <c r="D117" s="23"/>
      <c r="T117" s="151"/>
      <c r="U117" s="152"/>
      <c r="V117" s="21"/>
      <c r="W117" s="21"/>
      <c r="X117" s="21"/>
      <c r="Y117" s="21"/>
      <c r="Z117" s="21"/>
    </row>
    <row r="118" spans="1:26" ht="14.25" x14ac:dyDescent="0.2">
      <c r="A118" s="23"/>
      <c r="B118" s="23"/>
      <c r="C118" s="23"/>
      <c r="D118" s="23"/>
      <c r="T118" s="151"/>
      <c r="U118" s="152"/>
      <c r="V118" s="21"/>
      <c r="W118" s="21"/>
      <c r="X118" s="21"/>
      <c r="Y118" s="21"/>
      <c r="Z118" s="21"/>
    </row>
    <row r="119" spans="1:26" ht="14.25" x14ac:dyDescent="0.2">
      <c r="A119" s="23"/>
      <c r="B119" s="23"/>
      <c r="C119" s="23"/>
      <c r="D119" s="23"/>
      <c r="T119" s="151"/>
      <c r="U119" s="152"/>
      <c r="V119" s="21"/>
      <c r="W119" s="21"/>
      <c r="X119" s="21"/>
      <c r="Y119" s="21"/>
      <c r="Z119" s="21"/>
    </row>
    <row r="120" spans="1:26" ht="14.25" x14ac:dyDescent="0.2">
      <c r="A120" s="23"/>
      <c r="B120" s="23"/>
      <c r="C120" s="23"/>
      <c r="D120" s="23"/>
      <c r="T120" s="151"/>
      <c r="U120" s="152"/>
      <c r="V120" s="21"/>
      <c r="W120" s="21"/>
      <c r="X120" s="21"/>
      <c r="Y120" s="21"/>
      <c r="Z120" s="21"/>
    </row>
    <row r="121" spans="1:26" ht="13.5" x14ac:dyDescent="0.2">
      <c r="A121" s="24"/>
      <c r="B121" s="24"/>
      <c r="T121" s="153"/>
      <c r="V121" s="21"/>
      <c r="W121" s="21"/>
      <c r="X121" s="21"/>
      <c r="Y121" s="21"/>
      <c r="Z121" s="21"/>
    </row>
    <row r="135" spans="1:26" ht="16.899999999999999" customHeight="1" x14ac:dyDescent="0.2">
      <c r="A135" s="25"/>
    </row>
    <row r="136" spans="1:26" ht="12" customHeight="1" x14ac:dyDescent="0.2">
      <c r="A136" s="4"/>
    </row>
    <row r="137" spans="1:26" ht="13.15" customHeight="1" x14ac:dyDescent="0.2"/>
    <row r="138" spans="1:26" ht="13.15" customHeight="1" x14ac:dyDescent="0.2"/>
    <row r="139" spans="1:26" ht="13.15" customHeight="1" x14ac:dyDescent="0.2"/>
    <row r="140" spans="1:26" s="149" customFormat="1" ht="13.15" customHeight="1" x14ac:dyDescent="0.2">
      <c r="A140" s="1"/>
      <c r="B140" s="1"/>
      <c r="C140" s="1"/>
      <c r="D140" s="1"/>
      <c r="E140" s="1"/>
      <c r="F140" s="1"/>
      <c r="G140" s="1"/>
      <c r="H140" s="1"/>
      <c r="P140" s="1"/>
      <c r="Q140" s="1"/>
      <c r="T140" s="150"/>
      <c r="U140" s="150"/>
      <c r="V140" s="1"/>
      <c r="W140" s="1"/>
      <c r="X140" s="1"/>
      <c r="Y140" s="1"/>
      <c r="Z140" s="1"/>
    </row>
    <row r="141" spans="1:26" s="149" customFormat="1" ht="13.15" customHeight="1" x14ac:dyDescent="0.2">
      <c r="A141" s="1"/>
      <c r="B141" s="1"/>
      <c r="C141" s="1"/>
      <c r="D141" s="1"/>
      <c r="E141" s="1"/>
      <c r="F141" s="1"/>
      <c r="G141" s="1"/>
      <c r="H141" s="1"/>
      <c r="P141" s="1"/>
      <c r="Q141" s="1"/>
      <c r="T141" s="150"/>
      <c r="U141" s="150"/>
      <c r="V141" s="1"/>
      <c r="W141" s="1"/>
      <c r="X141" s="1"/>
      <c r="Y141" s="1"/>
      <c r="Z141" s="1"/>
    </row>
    <row r="142" spans="1:26" s="149" customFormat="1" ht="13.15" customHeight="1" x14ac:dyDescent="0.2">
      <c r="A142" s="1"/>
      <c r="B142" s="1"/>
      <c r="C142" s="1"/>
      <c r="D142" s="1"/>
      <c r="E142" s="1"/>
      <c r="F142" s="1"/>
      <c r="G142" s="1"/>
      <c r="H142" s="1"/>
      <c r="P142" s="1"/>
      <c r="Q142" s="1"/>
      <c r="T142" s="150"/>
      <c r="U142" s="150"/>
      <c r="V142" s="1"/>
      <c r="W142" s="1"/>
      <c r="X142" s="1"/>
      <c r="Y142" s="1"/>
      <c r="Z142" s="1"/>
    </row>
    <row r="143" spans="1:26" s="149" customFormat="1" ht="12" customHeight="1" x14ac:dyDescent="0.2">
      <c r="A143" s="1"/>
      <c r="B143" s="1"/>
      <c r="C143" s="1"/>
      <c r="D143" s="1"/>
      <c r="E143" s="1"/>
      <c r="F143" s="1"/>
      <c r="G143" s="1"/>
      <c r="H143" s="1"/>
      <c r="P143" s="1"/>
      <c r="Q143" s="1"/>
      <c r="T143" s="150"/>
      <c r="U143" s="150"/>
      <c r="V143" s="1"/>
      <c r="W143" s="1"/>
      <c r="X143" s="1"/>
      <c r="Y143" s="1"/>
      <c r="Z143" s="1"/>
    </row>
    <row r="144" spans="1:26" s="149" customFormat="1" ht="12" customHeight="1" x14ac:dyDescent="0.2">
      <c r="A144" s="1"/>
      <c r="B144" s="1"/>
      <c r="C144" s="1"/>
      <c r="D144" s="1"/>
      <c r="E144" s="1"/>
      <c r="F144" s="1"/>
      <c r="G144" s="1"/>
      <c r="H144" s="1"/>
      <c r="P144" s="1"/>
      <c r="Q144" s="1"/>
      <c r="T144" s="150"/>
      <c r="U144" s="150"/>
      <c r="V144" s="1"/>
      <c r="W144" s="1"/>
      <c r="X144" s="1"/>
      <c r="Y144" s="1"/>
      <c r="Z144" s="1"/>
    </row>
    <row r="145" spans="1:26" s="149" customFormat="1" ht="15" customHeight="1" x14ac:dyDescent="0.2">
      <c r="A145" s="1"/>
      <c r="B145" s="1"/>
      <c r="C145" s="1"/>
      <c r="D145" s="1"/>
      <c r="E145" s="1"/>
      <c r="F145" s="1"/>
      <c r="G145" s="1"/>
      <c r="H145" s="1"/>
      <c r="P145" s="1"/>
      <c r="Q145" s="1"/>
      <c r="T145" s="150"/>
      <c r="U145" s="150"/>
      <c r="V145" s="1"/>
      <c r="W145" s="1"/>
      <c r="X145" s="1"/>
      <c r="Y145" s="1"/>
      <c r="Z145" s="1"/>
    </row>
    <row r="146" spans="1:26" s="149" customFormat="1" ht="15" customHeight="1" x14ac:dyDescent="0.2">
      <c r="A146" s="1"/>
      <c r="B146" s="1"/>
      <c r="C146" s="1"/>
      <c r="D146" s="1"/>
      <c r="E146" s="1"/>
      <c r="F146" s="1"/>
      <c r="G146" s="1"/>
      <c r="H146" s="1"/>
      <c r="P146" s="1"/>
      <c r="Q146" s="1"/>
      <c r="T146" s="150"/>
      <c r="U146" s="150"/>
      <c r="V146" s="1"/>
      <c r="W146" s="1"/>
      <c r="X146" s="1"/>
      <c r="Y146" s="1"/>
      <c r="Z146" s="1"/>
    </row>
  </sheetData>
  <sheetProtection sheet="1" formatCells="0" formatColumns="0" formatRows="0"/>
  <mergeCells count="18">
    <mergeCell ref="A55:K55"/>
    <mergeCell ref="H44:I44"/>
    <mergeCell ref="H45:I45"/>
    <mergeCell ref="H46:I46"/>
    <mergeCell ref="H47:I47"/>
    <mergeCell ref="H48:I48"/>
    <mergeCell ref="H49:I49"/>
    <mergeCell ref="H50:I50"/>
    <mergeCell ref="H51:I51"/>
    <mergeCell ref="H52:I52"/>
    <mergeCell ref="H53:I53"/>
    <mergeCell ref="H54:I54"/>
    <mergeCell ref="H43:I43"/>
    <mergeCell ref="H38:I38"/>
    <mergeCell ref="H39:I39"/>
    <mergeCell ref="H40:I40"/>
    <mergeCell ref="H41:I41"/>
    <mergeCell ref="H42:I42"/>
  </mergeCells>
  <phoneticPr fontId="4"/>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4143-4D0B-4AB4-9E50-E14B3A23ADBC}">
  <dimension ref="A1:Z145"/>
  <sheetViews>
    <sheetView zoomScale="160" zoomScaleNormal="160" workbookViewId="0">
      <selection activeCell="Q17" sqref="Q17"/>
    </sheetView>
  </sheetViews>
  <sheetFormatPr defaultColWidth="9.33203125" defaultRowHeight="12.75" x14ac:dyDescent="0.2"/>
  <cols>
    <col min="1" max="1" width="9.33203125" style="1"/>
    <col min="2" max="2" width="12.83203125" style="1" customWidth="1"/>
    <col min="3" max="7" width="10.1640625" style="1" customWidth="1"/>
    <col min="8" max="8" width="9.33203125" style="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406" t="s">
        <v>725</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226" t="s">
        <v>726</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27" customFormat="1" x14ac:dyDescent="0.2">
      <c r="A6" s="779" t="s">
        <v>727</v>
      </c>
      <c r="N6" s="113"/>
      <c r="O6" s="113"/>
      <c r="P6" s="2"/>
      <c r="Q6" s="2"/>
      <c r="R6" s="113"/>
      <c r="S6" s="113"/>
    </row>
    <row r="7" spans="1:25" s="227" customFormat="1" x14ac:dyDescent="0.2">
      <c r="A7" s="779" t="s">
        <v>728</v>
      </c>
      <c r="N7" s="113"/>
      <c r="O7" s="113"/>
      <c r="P7" s="2"/>
      <c r="Q7" s="2"/>
      <c r="R7" s="113"/>
      <c r="S7" s="113"/>
    </row>
    <row r="8" spans="1:25" s="227" customFormat="1" x14ac:dyDescent="0.2">
      <c r="A8" s="779" t="s">
        <v>729</v>
      </c>
      <c r="N8" s="113"/>
      <c r="O8" s="113"/>
      <c r="P8" s="2"/>
      <c r="Q8" s="2"/>
      <c r="R8" s="113"/>
      <c r="S8" s="113"/>
    </row>
    <row r="9" spans="1:25" s="227" customFormat="1" x14ac:dyDescent="0.2">
      <c r="A9" s="779" t="s">
        <v>730</v>
      </c>
      <c r="N9" s="113"/>
      <c r="O9" s="113"/>
      <c r="P9" s="2"/>
      <c r="Q9" s="2"/>
      <c r="R9" s="113"/>
      <c r="S9" s="113"/>
    </row>
    <row r="10" spans="1:25" s="227" customFormat="1" x14ac:dyDescent="0.2">
      <c r="A10" s="780" t="s">
        <v>731</v>
      </c>
      <c r="N10" s="113"/>
      <c r="O10" s="113"/>
      <c r="P10" s="1"/>
      <c r="Q10" s="1"/>
      <c r="R10" s="113"/>
      <c r="S10" s="113"/>
    </row>
    <row r="11" spans="1:25" x14ac:dyDescent="0.2">
      <c r="A11" s="97"/>
      <c r="B11" s="97"/>
      <c r="C11" s="97"/>
      <c r="D11" s="97"/>
      <c r="E11" s="97"/>
      <c r="F11" s="97"/>
      <c r="G11" s="97"/>
      <c r="H11" s="97"/>
      <c r="I11" s="113"/>
      <c r="J11" s="113"/>
      <c r="K11" s="113"/>
      <c r="L11" s="113"/>
      <c r="M11" s="113"/>
      <c r="N11" s="113"/>
      <c r="O11" s="113"/>
      <c r="R11" s="113"/>
      <c r="S11" s="113"/>
      <c r="T11" s="146"/>
      <c r="U11" s="146"/>
    </row>
    <row r="12" spans="1:25" x14ac:dyDescent="0.2">
      <c r="A12" s="97"/>
      <c r="B12" s="97"/>
      <c r="C12" s="97"/>
      <c r="D12" s="97"/>
      <c r="E12" s="97"/>
      <c r="F12" s="97"/>
      <c r="G12" s="97"/>
      <c r="H12" s="97"/>
      <c r="I12" s="113"/>
      <c r="J12" s="113"/>
      <c r="K12" s="113"/>
      <c r="L12" s="113"/>
      <c r="M12" s="113"/>
      <c r="N12" s="113"/>
      <c r="O12" s="113"/>
      <c r="R12" s="113"/>
      <c r="S12" s="113"/>
      <c r="T12" s="146"/>
      <c r="U12" s="146"/>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
        <v>197</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12</v>
      </c>
      <c r="N16" s="104" t="s">
        <v>1058</v>
      </c>
      <c r="O16" s="104" t="s">
        <v>100</v>
      </c>
      <c r="P16" s="6" t="s">
        <v>105</v>
      </c>
      <c r="Q16" s="6" t="s">
        <v>106</v>
      </c>
      <c r="R16" s="104" t="s">
        <v>1051</v>
      </c>
      <c r="S16" s="104" t="s">
        <v>1052</v>
      </c>
      <c r="T16" s="147" t="s">
        <v>80</v>
      </c>
      <c r="U16" s="147" t="s">
        <v>81</v>
      </c>
      <c r="V16" s="5" t="s">
        <v>101</v>
      </c>
      <c r="W16" s="5" t="s">
        <v>102</v>
      </c>
      <c r="X16" s="112" t="s">
        <v>103</v>
      </c>
      <c r="Y16" s="112" t="s">
        <v>104</v>
      </c>
    </row>
    <row r="17" spans="1:25" x14ac:dyDescent="0.2">
      <c r="A17" s="213" t="str">
        <f>A40</f>
        <v>CENAM</v>
      </c>
      <c r="B17" s="213" t="str">
        <f>B40</f>
        <v>SG080089A</v>
      </c>
      <c r="C17" s="219">
        <f>E40</f>
        <v>100.238</v>
      </c>
      <c r="D17" s="219">
        <f>F40</f>
        <v>0.14000000000000001</v>
      </c>
      <c r="E17" s="219">
        <f>C40</f>
        <v>100.26</v>
      </c>
      <c r="F17" s="219">
        <f>D40</f>
        <v>0.32</v>
      </c>
      <c r="G17" s="219">
        <f>G40</f>
        <v>0.02</v>
      </c>
      <c r="H17" s="219">
        <f>H40</f>
        <v>0.69</v>
      </c>
      <c r="I17" s="155">
        <f t="shared" ref="I17:I32" si="0">IF(ABS(G17)&gt;ABS(H17), 1, 0)</f>
        <v>0</v>
      </c>
      <c r="J17" s="155">
        <f t="shared" ref="J17:J32" si="1">I17*ABS(C17-E17)</f>
        <v>0</v>
      </c>
      <c r="K17" s="155">
        <f t="shared" ref="K17:K32" si="2">SQRT(SUMSQ(F17,J17))*2</f>
        <v>0.64</v>
      </c>
      <c r="L17" s="155">
        <f t="shared" ref="L17:L32" si="3">IF(C17&lt;$K$2, C17, $K$1)</f>
        <v>10</v>
      </c>
      <c r="M17" s="156">
        <f t="shared" ref="M17:M32" si="4">IF(AND(C17&lt;$K$1,C17&gt; $K$2), K17/L17*100, K17/C17*100)</f>
        <v>0.63848041660847188</v>
      </c>
      <c r="N17" s="157">
        <f t="shared" ref="N17" si="5">M17*L17/100</f>
        <v>6.3848041660847177E-2</v>
      </c>
      <c r="O17" s="155">
        <f t="shared" ref="O17" si="6">N17/(M17*L17/100)*100</f>
        <v>100</v>
      </c>
      <c r="P17" s="250">
        <v>1</v>
      </c>
      <c r="Q17" s="250">
        <v>1000</v>
      </c>
      <c r="R17" s="148">
        <f>IF( IF(P17&lt;L17, M17*L17/P17, M17)&gt;100, "ERROR",  IF(P17&lt;L17, M17*L17/P17, M17))</f>
        <v>6.3848041660847183</v>
      </c>
      <c r="S17" s="148">
        <f>IF(IF(Q17&lt;L17, M17*L17/Q17, M17)&gt;100, "ERROR", IF(Q17&lt;L17, M17*L17/Q17, M17))</f>
        <v>0.63848041660847188</v>
      </c>
      <c r="T17" s="148">
        <f>R17*P17*0.01</f>
        <v>6.3848041660847191E-2</v>
      </c>
      <c r="U17" s="148">
        <f>S17*Q17*0.01</f>
        <v>6.3848041660847183</v>
      </c>
      <c r="V17" s="7">
        <f>P17*1000</f>
        <v>1000</v>
      </c>
      <c r="W17" s="7">
        <f>Q17*1000</f>
        <v>1000000</v>
      </c>
      <c r="X17" s="1345">
        <f>T17*1000</f>
        <v>63.848041660847194</v>
      </c>
      <c r="Y17" s="1345">
        <f>U17*1000</f>
        <v>6384.8041660847184</v>
      </c>
    </row>
    <row r="18" spans="1:25" x14ac:dyDescent="0.2">
      <c r="A18" s="213" t="str">
        <f t="shared" ref="A18:B18" si="7">A41</f>
        <v>CERI</v>
      </c>
      <c r="B18" s="213" t="str">
        <f t="shared" si="7"/>
        <v>SG080104A</v>
      </c>
      <c r="C18" s="219">
        <f t="shared" ref="C18:D18" si="8">E41</f>
        <v>100.17</v>
      </c>
      <c r="D18" s="219">
        <f t="shared" si="8"/>
        <v>0.14000000000000001</v>
      </c>
      <c r="E18" s="219">
        <f t="shared" ref="E18:F18" si="9">C41</f>
        <v>100.12</v>
      </c>
      <c r="F18" s="219">
        <f t="shared" si="9"/>
        <v>0.3</v>
      </c>
      <c r="G18" s="219">
        <f t="shared" ref="G18:H18" si="10">G41</f>
        <v>-0.05</v>
      </c>
      <c r="H18" s="219">
        <f t="shared" si="10"/>
        <v>0.66</v>
      </c>
      <c r="I18" s="155">
        <f t="shared" si="0"/>
        <v>0</v>
      </c>
      <c r="J18" s="155">
        <f t="shared" si="1"/>
        <v>0</v>
      </c>
      <c r="K18" s="155">
        <f t="shared" si="2"/>
        <v>0.6</v>
      </c>
      <c r="L18" s="155">
        <f t="shared" si="3"/>
        <v>10</v>
      </c>
      <c r="M18" s="156">
        <f t="shared" si="4"/>
        <v>0.59898173105720265</v>
      </c>
      <c r="N18" s="157">
        <f t="shared" ref="N18:N32" si="11">M18*L18/100</f>
        <v>5.9898173105720265E-2</v>
      </c>
      <c r="O18" s="155">
        <f t="shared" ref="O18:O32" si="12">N18/(M18*L18/100)*100</f>
        <v>100</v>
      </c>
      <c r="P18" s="250">
        <v>1</v>
      </c>
      <c r="Q18" s="250">
        <v>1000</v>
      </c>
      <c r="R18" s="148">
        <f t="shared" ref="R18:R32" si="13">IF( IF(P18&lt;L18, M18*L18/P18, M18)&gt;100, "ERROR",  IF(P18&lt;L18, M18*L18/P18, M18))</f>
        <v>5.9898173105720263</v>
      </c>
      <c r="S18" s="148">
        <f t="shared" ref="S18:S32" si="14">IF(IF(Q18&lt;L18, M18*L18/Q18, M18)&gt;100, "ERROR", IF(Q18&lt;L18, M18*L18/Q18, M18))</f>
        <v>0.59898173105720265</v>
      </c>
      <c r="T18" s="148">
        <f t="shared" ref="T18:U32" si="15">R18*P18*0.01</f>
        <v>5.9898173105720265E-2</v>
      </c>
      <c r="U18" s="148">
        <f t="shared" si="15"/>
        <v>5.9898173105720263</v>
      </c>
      <c r="V18" s="7">
        <f t="shared" ref="V18:W32" si="16">P18*1000</f>
        <v>1000</v>
      </c>
      <c r="W18" s="7">
        <f t="shared" si="16"/>
        <v>1000000</v>
      </c>
      <c r="X18" s="1345">
        <f t="shared" ref="X18:Y32" si="17">T18*1000</f>
        <v>59.898173105720268</v>
      </c>
      <c r="Y18" s="1345">
        <f t="shared" si="17"/>
        <v>5989.8173105720261</v>
      </c>
    </row>
    <row r="19" spans="1:25" x14ac:dyDescent="0.2">
      <c r="A19" s="213" t="str">
        <f t="shared" ref="A19:B19" si="18">A42</f>
        <v>GUM</v>
      </c>
      <c r="B19" s="213" t="str">
        <f t="shared" si="18"/>
        <v>SG080110A</v>
      </c>
      <c r="C19" s="219">
        <f t="shared" ref="C19:D19" si="19">E42</f>
        <v>100.15</v>
      </c>
      <c r="D19" s="219">
        <f t="shared" si="19"/>
        <v>0.14000000000000001</v>
      </c>
      <c r="E19" s="219">
        <f t="shared" ref="E19:F19" si="20">C42</f>
        <v>99.9</v>
      </c>
      <c r="F19" s="219">
        <f t="shared" si="20"/>
        <v>0.5</v>
      </c>
      <c r="G19" s="219">
        <f t="shared" ref="G19:H19" si="21">G42</f>
        <v>-0.25</v>
      </c>
      <c r="H19" s="219">
        <f t="shared" si="21"/>
        <v>1.04</v>
      </c>
      <c r="I19" s="155">
        <f t="shared" si="0"/>
        <v>0</v>
      </c>
      <c r="J19" s="155">
        <f t="shared" si="1"/>
        <v>0</v>
      </c>
      <c r="K19" s="155">
        <f t="shared" si="2"/>
        <v>1</v>
      </c>
      <c r="L19" s="155">
        <f t="shared" si="3"/>
        <v>10</v>
      </c>
      <c r="M19" s="156">
        <f t="shared" si="4"/>
        <v>0.99850224663005482</v>
      </c>
      <c r="N19" s="157">
        <f t="shared" si="11"/>
        <v>9.9850224663005485E-2</v>
      </c>
      <c r="O19" s="155">
        <f t="shared" si="12"/>
        <v>100</v>
      </c>
      <c r="P19" s="250">
        <v>1</v>
      </c>
      <c r="Q19" s="250">
        <v>1000</v>
      </c>
      <c r="R19" s="148">
        <f t="shared" si="13"/>
        <v>9.9850224663005491</v>
      </c>
      <c r="S19" s="148">
        <f t="shared" si="14"/>
        <v>0.99850224663005482</v>
      </c>
      <c r="T19" s="148">
        <f t="shared" si="15"/>
        <v>9.9850224663005499E-2</v>
      </c>
      <c r="U19" s="148">
        <f t="shared" si="15"/>
        <v>9.9850224663005491</v>
      </c>
      <c r="V19" s="7">
        <f t="shared" si="16"/>
        <v>1000</v>
      </c>
      <c r="W19" s="7">
        <f t="shared" si="16"/>
        <v>1000000</v>
      </c>
      <c r="X19" s="1345">
        <f t="shared" si="17"/>
        <v>99.850224663005505</v>
      </c>
      <c r="Y19" s="1345">
        <f t="shared" si="17"/>
        <v>9985.0224663005483</v>
      </c>
    </row>
    <row r="20" spans="1:25" x14ac:dyDescent="0.2">
      <c r="A20" s="213" t="str">
        <f t="shared" ref="A20:B20" si="22">A43</f>
        <v>INMETRO</v>
      </c>
      <c r="B20" s="213" t="str">
        <f t="shared" si="22"/>
        <v>SG080102A</v>
      </c>
      <c r="C20" s="219">
        <f t="shared" ref="C20:D20" si="23">E43</f>
        <v>100.184</v>
      </c>
      <c r="D20" s="219">
        <f t="shared" si="23"/>
        <v>0.16</v>
      </c>
      <c r="E20" s="219">
        <f t="shared" ref="E20:F20" si="24">C43</f>
        <v>100.3</v>
      </c>
      <c r="F20" s="219">
        <f t="shared" si="24"/>
        <v>0.2</v>
      </c>
      <c r="G20" s="219">
        <f t="shared" ref="G20:H20" si="25">G43</f>
        <v>0.12</v>
      </c>
      <c r="H20" s="219">
        <f t="shared" si="25"/>
        <v>0.51</v>
      </c>
      <c r="I20" s="155">
        <f t="shared" si="0"/>
        <v>0</v>
      </c>
      <c r="J20" s="155">
        <f t="shared" si="1"/>
        <v>0</v>
      </c>
      <c r="K20" s="155">
        <f t="shared" si="2"/>
        <v>0.4</v>
      </c>
      <c r="L20" s="155">
        <f t="shared" si="3"/>
        <v>10</v>
      </c>
      <c r="M20" s="156">
        <f t="shared" si="4"/>
        <v>0.39926535175277494</v>
      </c>
      <c r="N20" s="157">
        <f t="shared" si="11"/>
        <v>3.9926535175277493E-2</v>
      </c>
      <c r="O20" s="155">
        <f t="shared" si="12"/>
        <v>100</v>
      </c>
      <c r="P20" s="250">
        <v>1</v>
      </c>
      <c r="Q20" s="250">
        <v>1000</v>
      </c>
      <c r="R20" s="148">
        <f t="shared" si="13"/>
        <v>3.9926535175277493</v>
      </c>
      <c r="S20" s="148">
        <f t="shared" si="14"/>
        <v>0.39926535175277494</v>
      </c>
      <c r="T20" s="148">
        <f t="shared" si="15"/>
        <v>3.9926535175277493E-2</v>
      </c>
      <c r="U20" s="148">
        <f t="shared" si="15"/>
        <v>3.9926535175277498</v>
      </c>
      <c r="V20" s="7">
        <f t="shared" si="16"/>
        <v>1000</v>
      </c>
      <c r="W20" s="7">
        <f t="shared" si="16"/>
        <v>1000000</v>
      </c>
      <c r="X20" s="1345">
        <f t="shared" si="17"/>
        <v>39.926535175277493</v>
      </c>
      <c r="Y20" s="1345">
        <f t="shared" si="17"/>
        <v>3992.65351752775</v>
      </c>
    </row>
    <row r="21" spans="1:25" x14ac:dyDescent="0.2">
      <c r="A21" s="213" t="str">
        <f t="shared" ref="A21:B21" si="26">A44</f>
        <v>IPQ</v>
      </c>
      <c r="B21" s="213" t="str">
        <f t="shared" si="26"/>
        <v>SG080095A</v>
      </c>
      <c r="C21" s="219">
        <f t="shared" ref="C21:D21" si="27">E44</f>
        <v>100.176</v>
      </c>
      <c r="D21" s="219">
        <f t="shared" si="27"/>
        <v>0.17</v>
      </c>
      <c r="E21" s="219">
        <f t="shared" ref="E21:F21" si="28">C44</f>
        <v>101.02</v>
      </c>
      <c r="F21" s="219">
        <f t="shared" si="28"/>
        <v>0.39</v>
      </c>
      <c r="G21" s="219">
        <f t="shared" ref="G21:H21" si="29">G44</f>
        <v>0.84</v>
      </c>
      <c r="H21" s="219">
        <f t="shared" si="29"/>
        <v>0.84</v>
      </c>
      <c r="I21" s="155">
        <f t="shared" si="0"/>
        <v>0</v>
      </c>
      <c r="J21" s="155">
        <f t="shared" si="1"/>
        <v>0</v>
      </c>
      <c r="K21" s="155">
        <f t="shared" si="2"/>
        <v>0.78</v>
      </c>
      <c r="L21" s="155">
        <f t="shared" si="3"/>
        <v>10</v>
      </c>
      <c r="M21" s="156">
        <f t="shared" si="4"/>
        <v>0.77862961188308577</v>
      </c>
      <c r="N21" s="157">
        <f t="shared" si="11"/>
        <v>7.7862961188308585E-2</v>
      </c>
      <c r="O21" s="155">
        <f t="shared" si="12"/>
        <v>100</v>
      </c>
      <c r="P21" s="250">
        <v>1</v>
      </c>
      <c r="Q21" s="250">
        <v>1000</v>
      </c>
      <c r="R21" s="148">
        <f t="shared" si="13"/>
        <v>7.7862961188308581</v>
      </c>
      <c r="S21" s="148">
        <f t="shared" si="14"/>
        <v>0.77862961188308577</v>
      </c>
      <c r="T21" s="148">
        <f t="shared" si="15"/>
        <v>7.7862961188308585E-2</v>
      </c>
      <c r="U21" s="148">
        <f t="shared" si="15"/>
        <v>7.7862961188308581</v>
      </c>
      <c r="V21" s="7">
        <f t="shared" si="16"/>
        <v>1000</v>
      </c>
      <c r="W21" s="7">
        <f t="shared" si="16"/>
        <v>1000000</v>
      </c>
      <c r="X21" s="1345">
        <f t="shared" si="17"/>
        <v>77.862961188308589</v>
      </c>
      <c r="Y21" s="1345">
        <f t="shared" si="17"/>
        <v>7786.2961188308582</v>
      </c>
    </row>
    <row r="22" spans="1:25" x14ac:dyDescent="0.2">
      <c r="A22" s="213" t="str">
        <f t="shared" ref="A22:B22" si="30">A45</f>
        <v>KRISS</v>
      </c>
      <c r="B22" s="213" t="str">
        <f t="shared" si="30"/>
        <v>SG080101A</v>
      </c>
      <c r="C22" s="219">
        <f t="shared" ref="C22:D22" si="31">E45</f>
        <v>100.245</v>
      </c>
      <c r="D22" s="219">
        <f t="shared" si="31"/>
        <v>0.15</v>
      </c>
      <c r="E22" s="219">
        <f t="shared" ref="E22:F22" si="32">C45</f>
        <v>99.97</v>
      </c>
      <c r="F22" s="219">
        <f t="shared" si="32"/>
        <v>0.25</v>
      </c>
      <c r="G22" s="219">
        <f t="shared" ref="G22:H22" si="33">G45</f>
        <v>-0.28000000000000003</v>
      </c>
      <c r="H22" s="219">
        <f t="shared" si="33"/>
        <v>0.57999999999999996</v>
      </c>
      <c r="I22" s="155">
        <f t="shared" si="0"/>
        <v>0</v>
      </c>
      <c r="J22" s="155">
        <f t="shared" si="1"/>
        <v>0</v>
      </c>
      <c r="K22" s="155">
        <f t="shared" si="2"/>
        <v>0.5</v>
      </c>
      <c r="L22" s="155">
        <f t="shared" si="3"/>
        <v>10</v>
      </c>
      <c r="M22" s="156">
        <f t="shared" si="4"/>
        <v>0.49877799391490846</v>
      </c>
      <c r="N22" s="157">
        <f t="shared" si="11"/>
        <v>4.9877799391490847E-2</v>
      </c>
      <c r="O22" s="155">
        <f t="shared" si="12"/>
        <v>100</v>
      </c>
      <c r="P22" s="250">
        <v>1</v>
      </c>
      <c r="Q22" s="250">
        <v>1000</v>
      </c>
      <c r="R22" s="148">
        <f t="shared" si="13"/>
        <v>4.9877799391490845</v>
      </c>
      <c r="S22" s="148">
        <f t="shared" si="14"/>
        <v>0.49877799391490846</v>
      </c>
      <c r="T22" s="148">
        <f t="shared" si="15"/>
        <v>4.9877799391490847E-2</v>
      </c>
      <c r="U22" s="148">
        <f t="shared" si="15"/>
        <v>4.9877799391490845</v>
      </c>
      <c r="V22" s="7">
        <f t="shared" si="16"/>
        <v>1000</v>
      </c>
      <c r="W22" s="7">
        <f t="shared" si="16"/>
        <v>1000000</v>
      </c>
      <c r="X22" s="1345">
        <f t="shared" si="17"/>
        <v>49.877799391490846</v>
      </c>
      <c r="Y22" s="1345">
        <f t="shared" si="17"/>
        <v>4987.7799391490844</v>
      </c>
    </row>
    <row r="23" spans="1:25" x14ac:dyDescent="0.2">
      <c r="A23" s="213" t="str">
        <f t="shared" ref="A23:B23" si="34">A46</f>
        <v>LNE</v>
      </c>
      <c r="B23" s="213" t="str">
        <f t="shared" si="34"/>
        <v>SG080093A</v>
      </c>
      <c r="C23" s="219">
        <f t="shared" ref="C23:D23" si="35">E46</f>
        <v>100.09399999999999</v>
      </c>
      <c r="D23" s="219">
        <f t="shared" si="35"/>
        <v>0.15</v>
      </c>
      <c r="E23" s="219">
        <f t="shared" ref="E23:F23" si="36">C46</f>
        <v>99.74</v>
      </c>
      <c r="F23" s="219">
        <f t="shared" si="36"/>
        <v>0.47</v>
      </c>
      <c r="G23" s="219">
        <f t="shared" ref="G23:H23" si="37">G46</f>
        <v>-0.35</v>
      </c>
      <c r="H23" s="219">
        <f t="shared" si="37"/>
        <v>0.99</v>
      </c>
      <c r="I23" s="155">
        <f t="shared" si="0"/>
        <v>0</v>
      </c>
      <c r="J23" s="155">
        <f t="shared" si="1"/>
        <v>0</v>
      </c>
      <c r="K23" s="155">
        <f t="shared" si="2"/>
        <v>0.94</v>
      </c>
      <c r="L23" s="155">
        <f t="shared" si="3"/>
        <v>10</v>
      </c>
      <c r="M23" s="156">
        <f t="shared" si="4"/>
        <v>0.93911722980398427</v>
      </c>
      <c r="N23" s="157">
        <f t="shared" si="11"/>
        <v>9.3911722980398432E-2</v>
      </c>
      <c r="O23" s="155">
        <f t="shared" si="12"/>
        <v>100</v>
      </c>
      <c r="P23" s="250">
        <v>1</v>
      </c>
      <c r="Q23" s="250">
        <v>1000</v>
      </c>
      <c r="R23" s="148">
        <f t="shared" si="13"/>
        <v>9.3911722980398427</v>
      </c>
      <c r="S23" s="148">
        <f t="shared" si="14"/>
        <v>0.93911722980398427</v>
      </c>
      <c r="T23" s="148">
        <f t="shared" si="15"/>
        <v>9.3911722980398432E-2</v>
      </c>
      <c r="U23" s="148">
        <f t="shared" si="15"/>
        <v>9.3911722980398427</v>
      </c>
      <c r="V23" s="7">
        <f t="shared" si="16"/>
        <v>1000</v>
      </c>
      <c r="W23" s="7">
        <f t="shared" si="16"/>
        <v>1000000</v>
      </c>
      <c r="X23" s="1345">
        <f t="shared" si="17"/>
        <v>93.911722980398437</v>
      </c>
      <c r="Y23" s="1345">
        <f t="shared" si="17"/>
        <v>9391.1722980398426</v>
      </c>
    </row>
    <row r="24" spans="1:25" x14ac:dyDescent="0.2">
      <c r="A24" s="213" t="str">
        <f t="shared" ref="A24:B24" si="38">A47</f>
        <v>MKEH</v>
      </c>
      <c r="B24" s="213" t="str">
        <f t="shared" si="38"/>
        <v>SG080097A</v>
      </c>
      <c r="C24" s="219">
        <f t="shared" ref="C24:D24" si="39">E47</f>
        <v>100.181</v>
      </c>
      <c r="D24" s="219">
        <f t="shared" si="39"/>
        <v>0.14000000000000001</v>
      </c>
      <c r="E24" s="219">
        <f t="shared" ref="E24:F24" si="40">C47</f>
        <v>100.29</v>
      </c>
      <c r="F24" s="219">
        <f t="shared" si="40"/>
        <v>0.49</v>
      </c>
      <c r="G24" s="219">
        <f t="shared" ref="G24:H24" si="41">G47</f>
        <v>0.11</v>
      </c>
      <c r="H24" s="219">
        <f t="shared" si="41"/>
        <v>1.02</v>
      </c>
      <c r="I24" s="155">
        <f t="shared" si="0"/>
        <v>0</v>
      </c>
      <c r="J24" s="155">
        <f t="shared" si="1"/>
        <v>0</v>
      </c>
      <c r="K24" s="155">
        <f t="shared" si="2"/>
        <v>0.98</v>
      </c>
      <c r="L24" s="155">
        <f t="shared" si="3"/>
        <v>10</v>
      </c>
      <c r="M24" s="156">
        <f t="shared" si="4"/>
        <v>0.97822940477735298</v>
      </c>
      <c r="N24" s="157">
        <f t="shared" si="11"/>
        <v>9.7822940477735293E-2</v>
      </c>
      <c r="O24" s="155">
        <f t="shared" si="12"/>
        <v>100</v>
      </c>
      <c r="P24" s="250">
        <v>1</v>
      </c>
      <c r="Q24" s="250">
        <v>1000</v>
      </c>
      <c r="R24" s="148">
        <f t="shared" si="13"/>
        <v>9.7822940477735294</v>
      </c>
      <c r="S24" s="148">
        <f t="shared" si="14"/>
        <v>0.97822940477735298</v>
      </c>
      <c r="T24" s="148">
        <f t="shared" si="15"/>
        <v>9.7822940477735293E-2</v>
      </c>
      <c r="U24" s="148">
        <f t="shared" si="15"/>
        <v>9.7822940477735312</v>
      </c>
      <c r="V24" s="7">
        <f t="shared" si="16"/>
        <v>1000</v>
      </c>
      <c r="W24" s="7">
        <f t="shared" si="16"/>
        <v>1000000</v>
      </c>
      <c r="X24" s="1345">
        <f t="shared" si="17"/>
        <v>97.822940477735287</v>
      </c>
      <c r="Y24" s="1345">
        <f t="shared" si="17"/>
        <v>9782.2940477735319</v>
      </c>
    </row>
    <row r="25" spans="1:25" x14ac:dyDescent="0.2">
      <c r="A25" s="213" t="str">
        <f t="shared" ref="A25:B25" si="42">A48</f>
        <v>NIM</v>
      </c>
      <c r="B25" s="213" t="str">
        <f t="shared" si="42"/>
        <v>SG080125A</v>
      </c>
      <c r="C25" s="219">
        <f t="shared" ref="C25:D25" si="43">E48</f>
        <v>100.11199999999999</v>
      </c>
      <c r="D25" s="219">
        <f t="shared" si="43"/>
        <v>0.15</v>
      </c>
      <c r="E25" s="219">
        <f t="shared" ref="E25:F25" si="44">C48</f>
        <v>99.44</v>
      </c>
      <c r="F25" s="219">
        <f t="shared" si="44"/>
        <v>0.26</v>
      </c>
      <c r="G25" s="219">
        <f t="shared" ref="G25:H25" si="45">G48</f>
        <v>-0.67</v>
      </c>
      <c r="H25" s="219">
        <f t="shared" si="45"/>
        <v>0.59</v>
      </c>
      <c r="I25" s="155">
        <f t="shared" si="0"/>
        <v>1</v>
      </c>
      <c r="J25" s="155">
        <f t="shared" si="1"/>
        <v>0.67199999999999704</v>
      </c>
      <c r="K25" s="155">
        <f t="shared" si="2"/>
        <v>1.4410884775057999</v>
      </c>
      <c r="L25" s="155">
        <f t="shared" si="3"/>
        <v>10</v>
      </c>
      <c r="M25" s="156">
        <f t="shared" si="4"/>
        <v>1.4394762640900192</v>
      </c>
      <c r="N25" s="157">
        <f t="shared" si="11"/>
        <v>0.14394762640900191</v>
      </c>
      <c r="O25" s="155">
        <f t="shared" si="12"/>
        <v>100</v>
      </c>
      <c r="P25" s="250">
        <v>1</v>
      </c>
      <c r="Q25" s="250">
        <v>1000</v>
      </c>
      <c r="R25" s="148">
        <f t="shared" si="13"/>
        <v>14.394762640900192</v>
      </c>
      <c r="S25" s="148">
        <f t="shared" si="14"/>
        <v>1.4394762640900192</v>
      </c>
      <c r="T25" s="148">
        <f t="shared" si="15"/>
        <v>0.14394762640900191</v>
      </c>
      <c r="U25" s="148">
        <f t="shared" si="15"/>
        <v>14.394762640900192</v>
      </c>
      <c r="V25" s="7">
        <f t="shared" si="16"/>
        <v>1000</v>
      </c>
      <c r="W25" s="7">
        <f t="shared" si="16"/>
        <v>1000000</v>
      </c>
      <c r="X25" s="1345">
        <f t="shared" si="17"/>
        <v>143.94762640900191</v>
      </c>
      <c r="Y25" s="1345">
        <f t="shared" si="17"/>
        <v>14394.762640900191</v>
      </c>
    </row>
    <row r="26" spans="1:25" x14ac:dyDescent="0.2">
      <c r="A26" s="213" t="str">
        <f t="shared" ref="A26:B26" si="46">A49</f>
        <v>NIST</v>
      </c>
      <c r="B26" s="213" t="str">
        <f t="shared" si="46"/>
        <v>SG080122A</v>
      </c>
      <c r="C26" s="219">
        <f t="shared" ref="C26:D26" si="47">E49</f>
        <v>100.10299999999999</v>
      </c>
      <c r="D26" s="219">
        <f t="shared" si="47"/>
        <v>0.15</v>
      </c>
      <c r="E26" s="219">
        <f t="shared" ref="E26:F26" si="48">C49</f>
        <v>100.4</v>
      </c>
      <c r="F26" s="219">
        <f t="shared" si="48"/>
        <v>0.12</v>
      </c>
      <c r="G26" s="219">
        <f t="shared" ref="G26:H26" si="49">G49</f>
        <v>0.3</v>
      </c>
      <c r="H26" s="219">
        <f t="shared" si="49"/>
        <v>0.38</v>
      </c>
      <c r="I26" s="155">
        <f t="shared" si="0"/>
        <v>0</v>
      </c>
      <c r="J26" s="155">
        <f t="shared" si="1"/>
        <v>0</v>
      </c>
      <c r="K26" s="155">
        <f t="shared" si="2"/>
        <v>0.24</v>
      </c>
      <c r="L26" s="155">
        <f t="shared" si="3"/>
        <v>10</v>
      </c>
      <c r="M26" s="156">
        <f t="shared" si="4"/>
        <v>0.23975305435401537</v>
      </c>
      <c r="N26" s="157">
        <f t="shared" si="11"/>
        <v>2.3975305435401537E-2</v>
      </c>
      <c r="O26" s="155">
        <f t="shared" si="12"/>
        <v>100</v>
      </c>
      <c r="P26" s="250">
        <v>1</v>
      </c>
      <c r="Q26" s="250">
        <v>1000</v>
      </c>
      <c r="R26" s="148">
        <f t="shared" si="13"/>
        <v>2.3975305435401535</v>
      </c>
      <c r="S26" s="148">
        <f t="shared" si="14"/>
        <v>0.23975305435401537</v>
      </c>
      <c r="T26" s="148">
        <f t="shared" si="15"/>
        <v>2.3975305435401537E-2</v>
      </c>
      <c r="U26" s="148">
        <f t="shared" si="15"/>
        <v>2.3975305435401539</v>
      </c>
      <c r="V26" s="7">
        <f t="shared" si="16"/>
        <v>1000</v>
      </c>
      <c r="W26" s="7">
        <f t="shared" si="16"/>
        <v>1000000</v>
      </c>
      <c r="X26" s="1345">
        <f t="shared" si="17"/>
        <v>23.975305435401538</v>
      </c>
      <c r="Y26" s="1345">
        <f t="shared" si="17"/>
        <v>2397.5305435401538</v>
      </c>
    </row>
    <row r="27" spans="1:25" x14ac:dyDescent="0.2">
      <c r="A27" s="213" t="str">
        <f t="shared" ref="A27:B27" si="50">A50</f>
        <v>NMISA</v>
      </c>
      <c r="B27" s="213" t="str">
        <f t="shared" si="50"/>
        <v>SG080113A</v>
      </c>
      <c r="C27" s="219">
        <f t="shared" ref="C27:D27" si="51">E50</f>
        <v>100.051</v>
      </c>
      <c r="D27" s="219">
        <f t="shared" si="51"/>
        <v>0.14000000000000001</v>
      </c>
      <c r="E27" s="219">
        <f t="shared" ref="E27:F27" si="52">C50</f>
        <v>100.48</v>
      </c>
      <c r="F27" s="219">
        <f t="shared" si="52"/>
        <v>0.28000000000000003</v>
      </c>
      <c r="G27" s="219">
        <f t="shared" ref="G27:H27" si="53">G50</f>
        <v>0.43</v>
      </c>
      <c r="H27" s="219">
        <f t="shared" si="53"/>
        <v>0.63</v>
      </c>
      <c r="I27" s="155">
        <f t="shared" si="0"/>
        <v>0</v>
      </c>
      <c r="J27" s="155">
        <f t="shared" si="1"/>
        <v>0</v>
      </c>
      <c r="K27" s="155">
        <f t="shared" si="2"/>
        <v>0.56000000000000005</v>
      </c>
      <c r="L27" s="155">
        <f t="shared" si="3"/>
        <v>10</v>
      </c>
      <c r="M27" s="156">
        <f t="shared" si="4"/>
        <v>0.55971454558175338</v>
      </c>
      <c r="N27" s="157">
        <f t="shared" si="11"/>
        <v>5.5971454558175343E-2</v>
      </c>
      <c r="O27" s="155">
        <f t="shared" si="12"/>
        <v>100</v>
      </c>
      <c r="P27" s="250">
        <v>1</v>
      </c>
      <c r="Q27" s="250">
        <v>1000</v>
      </c>
      <c r="R27" s="148">
        <f t="shared" si="13"/>
        <v>5.5971454558175342</v>
      </c>
      <c r="S27" s="148">
        <f t="shared" si="14"/>
        <v>0.55971454558175338</v>
      </c>
      <c r="T27" s="148">
        <f t="shared" si="15"/>
        <v>5.5971454558175343E-2</v>
      </c>
      <c r="U27" s="148">
        <f t="shared" si="15"/>
        <v>5.5971454558175333</v>
      </c>
      <c r="V27" s="7">
        <f t="shared" si="16"/>
        <v>1000</v>
      </c>
      <c r="W27" s="7">
        <f t="shared" si="16"/>
        <v>1000000</v>
      </c>
      <c r="X27" s="1345">
        <f t="shared" si="17"/>
        <v>55.971454558175346</v>
      </c>
      <c r="Y27" s="1345">
        <f t="shared" si="17"/>
        <v>5597.1454558175337</v>
      </c>
    </row>
    <row r="28" spans="1:25" x14ac:dyDescent="0.2">
      <c r="A28" s="213" t="str">
        <f t="shared" ref="A28:B28" si="54">A51</f>
        <v>NPL</v>
      </c>
      <c r="B28" s="213" t="str">
        <f t="shared" si="54"/>
        <v>SG080114A</v>
      </c>
      <c r="C28" s="219">
        <f t="shared" ref="C28:D28" si="55">E51</f>
        <v>100.236</v>
      </c>
      <c r="D28" s="219">
        <f t="shared" si="55"/>
        <v>0.14000000000000001</v>
      </c>
      <c r="E28" s="219">
        <f t="shared" ref="E28:F28" si="56">C51</f>
        <v>100.13</v>
      </c>
      <c r="F28" s="219">
        <f t="shared" si="56"/>
        <v>0.1</v>
      </c>
      <c r="G28" s="219">
        <f t="shared" ref="G28:H28" si="57">G51</f>
        <v>-0.11</v>
      </c>
      <c r="H28" s="219">
        <f t="shared" si="57"/>
        <v>0.34</v>
      </c>
      <c r="I28" s="155">
        <f t="shared" si="0"/>
        <v>0</v>
      </c>
      <c r="J28" s="155">
        <f t="shared" si="1"/>
        <v>0</v>
      </c>
      <c r="K28" s="155">
        <f t="shared" si="2"/>
        <v>0.2</v>
      </c>
      <c r="L28" s="155">
        <f t="shared" si="3"/>
        <v>10</v>
      </c>
      <c r="M28" s="156">
        <f t="shared" si="4"/>
        <v>0.1995291112973383</v>
      </c>
      <c r="N28" s="157">
        <f t="shared" si="11"/>
        <v>1.9952911129733832E-2</v>
      </c>
      <c r="O28" s="155">
        <f t="shared" si="12"/>
        <v>100</v>
      </c>
      <c r="P28" s="250">
        <v>1</v>
      </c>
      <c r="Q28" s="250">
        <v>1000</v>
      </c>
      <c r="R28" s="148">
        <f t="shared" si="13"/>
        <v>1.995291112973383</v>
      </c>
      <c r="S28" s="148">
        <f t="shared" si="14"/>
        <v>0.1995291112973383</v>
      </c>
      <c r="T28" s="148">
        <f t="shared" si="15"/>
        <v>1.9952911129733832E-2</v>
      </c>
      <c r="U28" s="148">
        <f t="shared" si="15"/>
        <v>1.995291112973383</v>
      </c>
      <c r="V28" s="7">
        <f t="shared" si="16"/>
        <v>1000</v>
      </c>
      <c r="W28" s="7">
        <f t="shared" si="16"/>
        <v>1000000</v>
      </c>
      <c r="X28" s="1345">
        <f t="shared" si="17"/>
        <v>19.952911129733831</v>
      </c>
      <c r="Y28" s="1345">
        <f t="shared" si="17"/>
        <v>1995.291112973383</v>
      </c>
    </row>
    <row r="29" spans="1:25" x14ac:dyDescent="0.2">
      <c r="A29" s="213" t="str">
        <f t="shared" ref="A29:B29" si="58">A52</f>
        <v>NPLI</v>
      </c>
      <c r="B29" s="213" t="str">
        <f t="shared" si="58"/>
        <v>SG080085A</v>
      </c>
      <c r="C29" s="219">
        <f t="shared" ref="C29:D29" si="59">E52</f>
        <v>100.096</v>
      </c>
      <c r="D29" s="219">
        <f t="shared" si="59"/>
        <v>0.14000000000000001</v>
      </c>
      <c r="E29" s="219">
        <f t="shared" ref="E29:F29" si="60">C52</f>
        <v>102.95</v>
      </c>
      <c r="F29" s="219">
        <f t="shared" si="60"/>
        <v>0.4</v>
      </c>
      <c r="G29" s="219">
        <f t="shared" ref="G29:H29" si="61">G52</f>
        <v>2.85</v>
      </c>
      <c r="H29" s="219">
        <f t="shared" si="61"/>
        <v>0.85</v>
      </c>
      <c r="I29" s="155">
        <f t="shared" si="0"/>
        <v>1</v>
      </c>
      <c r="J29" s="155">
        <f t="shared" si="1"/>
        <v>2.8539999999999992</v>
      </c>
      <c r="K29" s="155">
        <f t="shared" si="2"/>
        <v>5.7637890315312532</v>
      </c>
      <c r="L29" s="155">
        <f t="shared" si="3"/>
        <v>10</v>
      </c>
      <c r="M29" s="156">
        <f t="shared" si="4"/>
        <v>5.7582611008744138</v>
      </c>
      <c r="N29" s="157">
        <f t="shared" si="11"/>
        <v>0.57582611008744133</v>
      </c>
      <c r="O29" s="155">
        <f t="shared" si="12"/>
        <v>100</v>
      </c>
      <c r="P29" s="250">
        <v>1</v>
      </c>
      <c r="Q29" s="250">
        <v>1000</v>
      </c>
      <c r="R29" s="148">
        <f t="shared" si="13"/>
        <v>57.582611008744138</v>
      </c>
      <c r="S29" s="148">
        <f t="shared" si="14"/>
        <v>5.7582611008744138</v>
      </c>
      <c r="T29" s="148">
        <f t="shared" si="15"/>
        <v>0.57582611008744145</v>
      </c>
      <c r="U29" s="148">
        <f t="shared" si="15"/>
        <v>57.582611008744138</v>
      </c>
      <c r="V29" s="7">
        <f t="shared" si="16"/>
        <v>1000</v>
      </c>
      <c r="W29" s="7">
        <f t="shared" si="16"/>
        <v>1000000</v>
      </c>
      <c r="X29" s="1345">
        <f t="shared" si="17"/>
        <v>575.82611008744141</v>
      </c>
      <c r="Y29" s="1345">
        <f t="shared" si="17"/>
        <v>57582.611008744141</v>
      </c>
    </row>
    <row r="30" spans="1:25" x14ac:dyDescent="0.2">
      <c r="A30" s="213" t="str">
        <f t="shared" ref="A30:B30" si="62">A53</f>
        <v>SMU</v>
      </c>
      <c r="B30" s="213" t="str">
        <f t="shared" si="62"/>
        <v>SG080117A</v>
      </c>
      <c r="C30" s="219">
        <f t="shared" ref="C30:D30" si="63">E53</f>
        <v>100.009</v>
      </c>
      <c r="D30" s="219">
        <f t="shared" si="63"/>
        <v>0.14000000000000001</v>
      </c>
      <c r="E30" s="219">
        <f t="shared" ref="E30:F30" si="64">C53</f>
        <v>102.19</v>
      </c>
      <c r="F30" s="219">
        <f t="shared" si="64"/>
        <v>0.51</v>
      </c>
      <c r="G30" s="219">
        <f t="shared" ref="G30:H30" si="65">G53</f>
        <v>2.1800000000000002</v>
      </c>
      <c r="H30" s="219">
        <f t="shared" si="65"/>
        <v>1.06</v>
      </c>
      <c r="I30" s="155">
        <f t="shared" si="0"/>
        <v>1</v>
      </c>
      <c r="J30" s="155">
        <f t="shared" si="1"/>
        <v>2.1809999999999974</v>
      </c>
      <c r="K30" s="155">
        <f t="shared" si="2"/>
        <v>4.4796700771373725</v>
      </c>
      <c r="L30" s="155">
        <f t="shared" si="3"/>
        <v>10</v>
      </c>
      <c r="M30" s="156">
        <f t="shared" si="4"/>
        <v>4.4792669431124921</v>
      </c>
      <c r="N30" s="157">
        <f t="shared" si="11"/>
        <v>0.44792669431124921</v>
      </c>
      <c r="O30" s="155">
        <f t="shared" si="12"/>
        <v>100</v>
      </c>
      <c r="P30" s="250">
        <v>1</v>
      </c>
      <c r="Q30" s="250">
        <v>1000</v>
      </c>
      <c r="R30" s="148">
        <f t="shared" si="13"/>
        <v>44.792669431124921</v>
      </c>
      <c r="S30" s="148">
        <f t="shared" si="14"/>
        <v>4.4792669431124921</v>
      </c>
      <c r="T30" s="148">
        <f t="shared" si="15"/>
        <v>0.44792669431124921</v>
      </c>
      <c r="U30" s="148">
        <f t="shared" si="15"/>
        <v>44.792669431124921</v>
      </c>
      <c r="V30" s="7">
        <f t="shared" si="16"/>
        <v>1000</v>
      </c>
      <c r="W30" s="7">
        <f t="shared" si="16"/>
        <v>1000000</v>
      </c>
      <c r="X30" s="1345">
        <f t="shared" si="17"/>
        <v>447.92669431124921</v>
      </c>
      <c r="Y30" s="1345">
        <f t="shared" si="17"/>
        <v>44792.669431124923</v>
      </c>
    </row>
    <row r="31" spans="1:25" x14ac:dyDescent="0.2">
      <c r="A31" s="213" t="str">
        <f t="shared" ref="A31:B31" si="66">A54</f>
        <v>VNIIM</v>
      </c>
      <c r="B31" s="213" t="str">
        <f t="shared" si="66"/>
        <v>SG080119A</v>
      </c>
      <c r="C31" s="219">
        <f t="shared" ref="C31:D31" si="67">E54</f>
        <v>100.006</v>
      </c>
      <c r="D31" s="219">
        <f t="shared" si="67"/>
        <v>0.14000000000000001</v>
      </c>
      <c r="E31" s="219">
        <f t="shared" ref="E31:F31" si="68">C54</f>
        <v>100.38</v>
      </c>
      <c r="F31" s="219">
        <f t="shared" si="68"/>
        <v>0.33</v>
      </c>
      <c r="G31" s="219">
        <f t="shared" ref="G31:H31" si="69">G54</f>
        <v>0.37</v>
      </c>
      <c r="H31" s="219">
        <f t="shared" si="69"/>
        <v>0.72</v>
      </c>
      <c r="I31" s="155">
        <f t="shared" si="0"/>
        <v>0</v>
      </c>
      <c r="J31" s="155">
        <f t="shared" si="1"/>
        <v>0</v>
      </c>
      <c r="K31" s="155">
        <f t="shared" si="2"/>
        <v>0.66</v>
      </c>
      <c r="L31" s="155">
        <f t="shared" si="3"/>
        <v>10</v>
      </c>
      <c r="M31" s="156">
        <f t="shared" si="4"/>
        <v>0.65996040237585751</v>
      </c>
      <c r="N31" s="157">
        <f t="shared" si="11"/>
        <v>6.5996040237585749E-2</v>
      </c>
      <c r="O31" s="155">
        <f t="shared" si="12"/>
        <v>100</v>
      </c>
      <c r="P31" s="250">
        <v>1</v>
      </c>
      <c r="Q31" s="250">
        <v>1000</v>
      </c>
      <c r="R31" s="148">
        <f t="shared" si="13"/>
        <v>6.5996040237585749</v>
      </c>
      <c r="S31" s="148">
        <f t="shared" si="14"/>
        <v>0.65996040237585751</v>
      </c>
      <c r="T31" s="148">
        <f t="shared" si="15"/>
        <v>6.5996040237585749E-2</v>
      </c>
      <c r="U31" s="148">
        <f t="shared" si="15"/>
        <v>6.5996040237585749</v>
      </c>
      <c r="V31" s="7">
        <f t="shared" si="16"/>
        <v>1000</v>
      </c>
      <c r="W31" s="7">
        <f t="shared" si="16"/>
        <v>1000000</v>
      </c>
      <c r="X31" s="1345">
        <f t="shared" si="17"/>
        <v>65.996040237585746</v>
      </c>
      <c r="Y31" s="1345">
        <f t="shared" si="17"/>
        <v>6599.6040237585748</v>
      </c>
    </row>
    <row r="32" spans="1:25" x14ac:dyDescent="0.2">
      <c r="A32" s="213" t="str">
        <f t="shared" ref="A32:B32" si="70">A55</f>
        <v>VSL</v>
      </c>
      <c r="B32" s="213" t="str">
        <f t="shared" si="70"/>
        <v>SG080123A</v>
      </c>
      <c r="C32" s="219">
        <f t="shared" ref="C32:D32" si="71">E55</f>
        <v>100.218</v>
      </c>
      <c r="D32" s="219">
        <f t="shared" si="71"/>
        <v>0.14000000000000001</v>
      </c>
      <c r="E32" s="219">
        <f t="shared" ref="E32:F32" si="72">C55</f>
        <v>100.06</v>
      </c>
      <c r="F32" s="219">
        <f t="shared" si="72"/>
        <v>0.06</v>
      </c>
      <c r="G32" s="219">
        <f t="shared" ref="G32:H32" si="73">G55</f>
        <v>-0.16</v>
      </c>
      <c r="H32" s="219">
        <f t="shared" si="73"/>
        <v>0.31</v>
      </c>
      <c r="I32" s="155">
        <f t="shared" si="0"/>
        <v>0</v>
      </c>
      <c r="J32" s="155">
        <f t="shared" si="1"/>
        <v>0</v>
      </c>
      <c r="K32" s="155">
        <f t="shared" si="2"/>
        <v>0.12</v>
      </c>
      <c r="L32" s="155">
        <f t="shared" si="3"/>
        <v>10</v>
      </c>
      <c r="M32" s="156">
        <f t="shared" si="4"/>
        <v>0.1197389690474765</v>
      </c>
      <c r="N32" s="157">
        <f t="shared" si="11"/>
        <v>1.197389690474765E-2</v>
      </c>
      <c r="O32" s="155">
        <f t="shared" si="12"/>
        <v>100</v>
      </c>
      <c r="P32" s="250">
        <v>1</v>
      </c>
      <c r="Q32" s="250">
        <v>1000</v>
      </c>
      <c r="R32" s="148">
        <f t="shared" si="13"/>
        <v>1.197389690474765</v>
      </c>
      <c r="S32" s="148">
        <f t="shared" si="14"/>
        <v>0.1197389690474765</v>
      </c>
      <c r="T32" s="148">
        <f t="shared" si="15"/>
        <v>1.197389690474765E-2</v>
      </c>
      <c r="U32" s="148">
        <f t="shared" si="15"/>
        <v>1.197389690474765</v>
      </c>
      <c r="V32" s="7">
        <f t="shared" si="16"/>
        <v>1000</v>
      </c>
      <c r="W32" s="7">
        <f t="shared" si="16"/>
        <v>1000000</v>
      </c>
      <c r="X32" s="1345">
        <f t="shared" si="17"/>
        <v>11.973896904747649</v>
      </c>
      <c r="Y32" s="1345">
        <f t="shared" si="17"/>
        <v>1197.3896904747648</v>
      </c>
    </row>
    <row r="33" spans="1:26" ht="14.25" x14ac:dyDescent="0.2">
      <c r="H33" s="9"/>
      <c r="U33" s="152"/>
      <c r="V33" s="21"/>
      <c r="W33" s="21"/>
      <c r="X33" s="21"/>
      <c r="Y33" s="21"/>
      <c r="Z33" s="21"/>
    </row>
    <row r="34" spans="1:26" ht="14.25" x14ac:dyDescent="0.2">
      <c r="H34" s="9"/>
      <c r="U34" s="152"/>
      <c r="V34" s="21"/>
      <c r="W34" s="21"/>
      <c r="X34" s="21"/>
      <c r="Y34" s="21"/>
      <c r="Z34" s="21"/>
    </row>
    <row r="35" spans="1:26" s="227" customFormat="1" x14ac:dyDescent="0.2">
      <c r="A35" s="227" t="s">
        <v>732</v>
      </c>
    </row>
    <row r="36" spans="1:26" s="227" customFormat="1" x14ac:dyDescent="0.2">
      <c r="A36" s="227" t="s">
        <v>733</v>
      </c>
    </row>
    <row r="37" spans="1:26" s="227" customFormat="1" x14ac:dyDescent="0.2">
      <c r="A37" s="227" t="s">
        <v>734</v>
      </c>
    </row>
    <row r="38" spans="1:26" s="227" customFormat="1" x14ac:dyDescent="0.2">
      <c r="A38" s="227" t="s">
        <v>735</v>
      </c>
    </row>
    <row r="39" spans="1:26" s="227" customFormat="1" ht="78.75" x14ac:dyDescent="0.2">
      <c r="A39" s="781" t="s">
        <v>736</v>
      </c>
      <c r="B39" s="782" t="s">
        <v>737</v>
      </c>
      <c r="C39" s="504" t="s">
        <v>738</v>
      </c>
      <c r="D39" s="504" t="s">
        <v>739</v>
      </c>
      <c r="E39" s="504" t="s">
        <v>740</v>
      </c>
      <c r="F39" s="504" t="s">
        <v>741</v>
      </c>
      <c r="G39" s="1403" t="s">
        <v>742</v>
      </c>
      <c r="H39" s="1404"/>
      <c r="K39" s="783" t="s">
        <v>743</v>
      </c>
      <c r="L39" s="1405" t="s">
        <v>744</v>
      </c>
      <c r="M39" s="1405"/>
      <c r="N39" s="784" t="s">
        <v>745</v>
      </c>
    </row>
    <row r="40" spans="1:26" s="227" customFormat="1" ht="30" x14ac:dyDescent="0.2">
      <c r="A40" s="785" t="s">
        <v>746</v>
      </c>
      <c r="B40" s="785" t="s">
        <v>747</v>
      </c>
      <c r="C40" s="786">
        <v>100.26</v>
      </c>
      <c r="D40" s="786">
        <v>0.32</v>
      </c>
      <c r="E40" s="787">
        <v>100.238</v>
      </c>
      <c r="F40" s="786">
        <v>0.14000000000000001</v>
      </c>
      <c r="G40" s="788">
        <v>0.02</v>
      </c>
      <c r="H40" s="788">
        <v>0.69</v>
      </c>
      <c r="K40" s="789" t="s">
        <v>748</v>
      </c>
      <c r="L40" s="1406" t="s">
        <v>749</v>
      </c>
      <c r="M40" s="1406"/>
      <c r="N40" s="1398" t="s">
        <v>750</v>
      </c>
      <c r="O40" s="1398"/>
      <c r="P40" s="1398"/>
      <c r="Q40" s="1398"/>
      <c r="R40" s="1398"/>
    </row>
    <row r="41" spans="1:26" s="227" customFormat="1" ht="30" x14ac:dyDescent="0.2">
      <c r="A41" s="785" t="s">
        <v>751</v>
      </c>
      <c r="B41" s="785" t="s">
        <v>752</v>
      </c>
      <c r="C41" s="786">
        <v>100.12</v>
      </c>
      <c r="D41" s="786">
        <v>0.3</v>
      </c>
      <c r="E41" s="787">
        <v>100.17</v>
      </c>
      <c r="F41" s="786">
        <v>0.14000000000000001</v>
      </c>
      <c r="G41" s="790">
        <v>-0.05</v>
      </c>
      <c r="H41" s="788">
        <v>0.66</v>
      </c>
      <c r="K41" s="791" t="s">
        <v>753</v>
      </c>
      <c r="L41" s="1400" t="s">
        <v>754</v>
      </c>
      <c r="M41" s="1400"/>
      <c r="N41" s="1401" t="s">
        <v>755</v>
      </c>
      <c r="O41" s="1401"/>
      <c r="P41" s="1401"/>
      <c r="Q41" s="1401"/>
      <c r="R41" s="1401"/>
    </row>
    <row r="42" spans="1:26" s="227" customFormat="1" ht="30" x14ac:dyDescent="0.2">
      <c r="A42" s="785" t="s">
        <v>756</v>
      </c>
      <c r="B42" s="785" t="s">
        <v>757</v>
      </c>
      <c r="C42" s="792">
        <v>99.9</v>
      </c>
      <c r="D42" s="786">
        <v>0.5</v>
      </c>
      <c r="E42" s="787">
        <v>100.15</v>
      </c>
      <c r="F42" s="786">
        <v>0.14000000000000001</v>
      </c>
      <c r="G42" s="790">
        <v>-0.25</v>
      </c>
      <c r="H42" s="788">
        <v>1.04</v>
      </c>
      <c r="K42" s="793" t="s">
        <v>758</v>
      </c>
      <c r="L42" s="1397" t="s">
        <v>759</v>
      </c>
      <c r="M42" s="1397"/>
      <c r="N42" s="1398" t="s">
        <v>760</v>
      </c>
      <c r="O42" s="1398"/>
      <c r="P42" s="1398"/>
      <c r="Q42" s="1398"/>
      <c r="R42" s="1398"/>
    </row>
    <row r="43" spans="1:26" s="227" customFormat="1" ht="30" x14ac:dyDescent="0.2">
      <c r="A43" s="785" t="s">
        <v>761</v>
      </c>
      <c r="B43" s="785" t="s">
        <v>762</v>
      </c>
      <c r="C43" s="792">
        <v>100.3</v>
      </c>
      <c r="D43" s="786">
        <v>0.2</v>
      </c>
      <c r="E43" s="787">
        <v>100.184</v>
      </c>
      <c r="F43" s="786">
        <v>0.16</v>
      </c>
      <c r="G43" s="788">
        <v>0.12</v>
      </c>
      <c r="H43" s="788">
        <v>0.51</v>
      </c>
      <c r="K43" s="794" t="s">
        <v>763</v>
      </c>
      <c r="L43" s="1402" t="s">
        <v>764</v>
      </c>
      <c r="M43" s="1402"/>
      <c r="N43" s="1401" t="s">
        <v>765</v>
      </c>
      <c r="O43" s="1401"/>
      <c r="P43" s="1401"/>
      <c r="Q43" s="1401"/>
      <c r="R43" s="1401"/>
    </row>
    <row r="44" spans="1:26" s="227" customFormat="1" ht="30" x14ac:dyDescent="0.2">
      <c r="A44" s="785" t="s">
        <v>766</v>
      </c>
      <c r="B44" s="785" t="s">
        <v>767</v>
      </c>
      <c r="C44" s="786">
        <v>101.02</v>
      </c>
      <c r="D44" s="786">
        <v>0.39</v>
      </c>
      <c r="E44" s="787">
        <v>100.176</v>
      </c>
      <c r="F44" s="786">
        <v>0.17</v>
      </c>
      <c r="G44" s="788">
        <v>0.84</v>
      </c>
      <c r="H44" s="788">
        <v>0.84</v>
      </c>
      <c r="K44" s="793" t="s">
        <v>768</v>
      </c>
      <c r="L44" s="1397" t="s">
        <v>769</v>
      </c>
      <c r="M44" s="1397"/>
      <c r="N44" s="1398" t="s">
        <v>770</v>
      </c>
      <c r="O44" s="1398"/>
      <c r="P44" s="1398"/>
      <c r="Q44" s="1398"/>
      <c r="R44" s="1398"/>
    </row>
    <row r="45" spans="1:26" s="227" customFormat="1" ht="30" x14ac:dyDescent="0.2">
      <c r="A45" s="785" t="s">
        <v>771</v>
      </c>
      <c r="B45" s="785" t="s">
        <v>772</v>
      </c>
      <c r="C45" s="786">
        <v>99.97</v>
      </c>
      <c r="D45" s="786">
        <v>0.25</v>
      </c>
      <c r="E45" s="787">
        <v>100.245</v>
      </c>
      <c r="F45" s="786">
        <v>0.15</v>
      </c>
      <c r="G45" s="790">
        <v>-0.28000000000000003</v>
      </c>
      <c r="H45" s="788">
        <v>0.57999999999999996</v>
      </c>
      <c r="K45" s="794" t="s">
        <v>773</v>
      </c>
      <c r="L45" s="1402" t="s">
        <v>774</v>
      </c>
      <c r="M45" s="1402"/>
      <c r="N45" s="1401" t="s">
        <v>775</v>
      </c>
      <c r="O45" s="1401"/>
      <c r="P45" s="1401"/>
      <c r="Q45" s="1401"/>
      <c r="R45" s="1401"/>
    </row>
    <row r="46" spans="1:26" s="227" customFormat="1" ht="30" x14ac:dyDescent="0.2">
      <c r="A46" s="785" t="s">
        <v>776</v>
      </c>
      <c r="B46" s="785" t="s">
        <v>777</v>
      </c>
      <c r="C46" s="786">
        <v>99.74</v>
      </c>
      <c r="D46" s="786">
        <v>0.47</v>
      </c>
      <c r="E46" s="787">
        <v>100.09399999999999</v>
      </c>
      <c r="F46" s="786">
        <v>0.15</v>
      </c>
      <c r="G46" s="790">
        <v>-0.35</v>
      </c>
      <c r="H46" s="788">
        <v>0.99</v>
      </c>
      <c r="K46" s="793" t="s">
        <v>778</v>
      </c>
      <c r="L46" s="1397" t="s">
        <v>779</v>
      </c>
      <c r="M46" s="1397"/>
      <c r="N46" s="1398" t="s">
        <v>780</v>
      </c>
      <c r="O46" s="1398"/>
      <c r="P46" s="1398"/>
      <c r="Q46" s="1398"/>
      <c r="R46" s="1398"/>
    </row>
    <row r="47" spans="1:26" s="227" customFormat="1" ht="30" x14ac:dyDescent="0.2">
      <c r="A47" s="785" t="s">
        <v>781</v>
      </c>
      <c r="B47" s="785" t="s">
        <v>782</v>
      </c>
      <c r="C47" s="786">
        <v>100.29</v>
      </c>
      <c r="D47" s="786">
        <v>0.49</v>
      </c>
      <c r="E47" s="787">
        <v>100.181</v>
      </c>
      <c r="F47" s="786">
        <v>0.14000000000000001</v>
      </c>
      <c r="G47" s="788">
        <v>0.11</v>
      </c>
      <c r="H47" s="788">
        <v>1.02</v>
      </c>
      <c r="K47" s="794" t="s">
        <v>783</v>
      </c>
      <c r="L47" s="1402" t="s">
        <v>784</v>
      </c>
      <c r="M47" s="1402"/>
      <c r="N47" s="1401" t="s">
        <v>785</v>
      </c>
      <c r="O47" s="1401"/>
      <c r="P47" s="1401"/>
      <c r="Q47" s="1401"/>
      <c r="R47" s="1401"/>
    </row>
    <row r="48" spans="1:26" s="227" customFormat="1" ht="30" x14ac:dyDescent="0.2">
      <c r="A48" s="785" t="s">
        <v>786</v>
      </c>
      <c r="B48" s="785" t="s">
        <v>787</v>
      </c>
      <c r="C48" s="786">
        <v>99.44</v>
      </c>
      <c r="D48" s="786">
        <v>0.26</v>
      </c>
      <c r="E48" s="787">
        <v>100.11199999999999</v>
      </c>
      <c r="F48" s="786">
        <v>0.15</v>
      </c>
      <c r="G48" s="790">
        <v>-0.67</v>
      </c>
      <c r="H48" s="788">
        <v>0.59</v>
      </c>
      <c r="K48" s="793" t="s">
        <v>788</v>
      </c>
      <c r="L48" s="1397" t="s">
        <v>789</v>
      </c>
      <c r="M48" s="1397"/>
      <c r="N48" s="1398" t="s">
        <v>790</v>
      </c>
      <c r="O48" s="1398"/>
      <c r="P48" s="1398"/>
      <c r="Q48" s="1398"/>
      <c r="R48" s="1398"/>
    </row>
    <row r="49" spans="1:26" s="227" customFormat="1" ht="30" x14ac:dyDescent="0.2">
      <c r="A49" s="785" t="s">
        <v>791</v>
      </c>
      <c r="B49" s="785" t="s">
        <v>792</v>
      </c>
      <c r="C49" s="786">
        <v>100.4</v>
      </c>
      <c r="D49" s="786">
        <v>0.12</v>
      </c>
      <c r="E49" s="787">
        <v>100.10299999999999</v>
      </c>
      <c r="F49" s="786">
        <v>0.15</v>
      </c>
      <c r="G49" s="788">
        <v>0.3</v>
      </c>
      <c r="H49" s="788">
        <v>0.38</v>
      </c>
      <c r="K49" s="791" t="s">
        <v>793</v>
      </c>
      <c r="L49" s="1400" t="s">
        <v>794</v>
      </c>
      <c r="M49" s="1400"/>
      <c r="N49" s="1401" t="s">
        <v>795</v>
      </c>
      <c r="O49" s="1401"/>
      <c r="P49" s="1401"/>
      <c r="Q49" s="1401"/>
      <c r="R49" s="1401"/>
    </row>
    <row r="50" spans="1:26" s="227" customFormat="1" ht="30" x14ac:dyDescent="0.2">
      <c r="A50" s="785" t="s">
        <v>796</v>
      </c>
      <c r="B50" s="785" t="s">
        <v>797</v>
      </c>
      <c r="C50" s="786">
        <v>100.48</v>
      </c>
      <c r="D50" s="786">
        <v>0.28000000000000003</v>
      </c>
      <c r="E50" s="787">
        <v>100.051</v>
      </c>
      <c r="F50" s="786">
        <v>0.14000000000000001</v>
      </c>
      <c r="G50" s="788">
        <v>0.43</v>
      </c>
      <c r="H50" s="788">
        <v>0.63</v>
      </c>
      <c r="K50" s="793" t="s">
        <v>798</v>
      </c>
      <c r="L50" s="1397" t="s">
        <v>799</v>
      </c>
      <c r="M50" s="1397"/>
      <c r="N50" s="1398" t="s">
        <v>800</v>
      </c>
      <c r="O50" s="1398"/>
      <c r="P50" s="1398"/>
      <c r="Q50" s="1398"/>
      <c r="R50" s="1398"/>
    </row>
    <row r="51" spans="1:26" s="227" customFormat="1" ht="30" x14ac:dyDescent="0.2">
      <c r="A51" s="785" t="s">
        <v>801</v>
      </c>
      <c r="B51" s="785" t="s">
        <v>802</v>
      </c>
      <c r="C51" s="786">
        <v>100.13</v>
      </c>
      <c r="D51" s="786">
        <v>0.1</v>
      </c>
      <c r="E51" s="787">
        <v>100.236</v>
      </c>
      <c r="F51" s="786">
        <v>0.14000000000000001</v>
      </c>
      <c r="G51" s="790">
        <v>-0.11</v>
      </c>
      <c r="H51" s="788">
        <v>0.34</v>
      </c>
      <c r="K51" s="791" t="s">
        <v>803</v>
      </c>
      <c r="L51" s="1400" t="s">
        <v>804</v>
      </c>
      <c r="M51" s="1400"/>
      <c r="N51" s="1401" t="s">
        <v>805</v>
      </c>
      <c r="O51" s="1401"/>
      <c r="P51" s="1401"/>
      <c r="Q51" s="1401"/>
      <c r="R51" s="1401"/>
    </row>
    <row r="52" spans="1:26" s="227" customFormat="1" ht="30" x14ac:dyDescent="0.2">
      <c r="A52" s="785" t="s">
        <v>806</v>
      </c>
      <c r="B52" s="785" t="s">
        <v>807</v>
      </c>
      <c r="C52" s="786">
        <v>102.95</v>
      </c>
      <c r="D52" s="786">
        <v>0.4</v>
      </c>
      <c r="E52" s="787">
        <v>100.096</v>
      </c>
      <c r="F52" s="786">
        <v>0.14000000000000001</v>
      </c>
      <c r="G52" s="788">
        <v>2.85</v>
      </c>
      <c r="H52" s="788">
        <v>0.85</v>
      </c>
      <c r="K52" s="793" t="s">
        <v>808</v>
      </c>
      <c r="L52" s="1397" t="s">
        <v>809</v>
      </c>
      <c r="M52" s="1397"/>
      <c r="N52" s="1398" t="s">
        <v>810</v>
      </c>
      <c r="O52" s="1398"/>
      <c r="P52" s="1398"/>
      <c r="Q52" s="1398"/>
      <c r="R52" s="1398"/>
    </row>
    <row r="53" spans="1:26" s="227" customFormat="1" ht="30" x14ac:dyDescent="0.2">
      <c r="A53" s="785" t="s">
        <v>811</v>
      </c>
      <c r="B53" s="785" t="s">
        <v>812</v>
      </c>
      <c r="C53" s="786">
        <v>102.19</v>
      </c>
      <c r="D53" s="786">
        <v>0.51</v>
      </c>
      <c r="E53" s="787">
        <v>100.009</v>
      </c>
      <c r="F53" s="786">
        <v>0.14000000000000001</v>
      </c>
      <c r="G53" s="788">
        <v>2.1800000000000002</v>
      </c>
      <c r="H53" s="788">
        <v>1.06</v>
      </c>
      <c r="K53" s="791" t="s">
        <v>813</v>
      </c>
      <c r="L53" s="1400" t="s">
        <v>814</v>
      </c>
      <c r="M53" s="1400"/>
      <c r="N53" s="1401" t="s">
        <v>815</v>
      </c>
      <c r="O53" s="1401"/>
      <c r="P53" s="1401"/>
      <c r="Q53" s="1401"/>
      <c r="R53" s="1401"/>
    </row>
    <row r="54" spans="1:26" s="227" customFormat="1" ht="30" x14ac:dyDescent="0.2">
      <c r="A54" s="785" t="s">
        <v>816</v>
      </c>
      <c r="B54" s="785" t="s">
        <v>817</v>
      </c>
      <c r="C54" s="786">
        <v>100.38</v>
      </c>
      <c r="D54" s="786">
        <v>0.33</v>
      </c>
      <c r="E54" s="787">
        <v>100.006</v>
      </c>
      <c r="F54" s="786">
        <v>0.14000000000000001</v>
      </c>
      <c r="G54" s="788">
        <v>0.37</v>
      </c>
      <c r="H54" s="788">
        <v>0.72</v>
      </c>
      <c r="K54" s="793" t="s">
        <v>818</v>
      </c>
      <c r="L54" s="1397" t="s">
        <v>819</v>
      </c>
      <c r="M54" s="1397"/>
      <c r="N54" s="1398" t="s">
        <v>820</v>
      </c>
      <c r="O54" s="1398"/>
      <c r="P54" s="1398"/>
      <c r="Q54" s="1398"/>
      <c r="R54" s="1398"/>
    </row>
    <row r="55" spans="1:26" s="227" customFormat="1" ht="30" x14ac:dyDescent="0.2">
      <c r="A55" s="785" t="s">
        <v>821</v>
      </c>
      <c r="B55" s="785" t="s">
        <v>822</v>
      </c>
      <c r="C55" s="786">
        <v>100.06</v>
      </c>
      <c r="D55" s="786">
        <v>0.06</v>
      </c>
      <c r="E55" s="787">
        <v>100.218</v>
      </c>
      <c r="F55" s="786">
        <v>0.14000000000000001</v>
      </c>
      <c r="G55" s="790">
        <v>-0.16</v>
      </c>
      <c r="H55" s="788">
        <v>0.31</v>
      </c>
      <c r="K55" s="795" t="s">
        <v>823</v>
      </c>
      <c r="L55" s="1399" t="s">
        <v>824</v>
      </c>
      <c r="M55" s="1399"/>
      <c r="N55" s="796" t="s">
        <v>825</v>
      </c>
    </row>
    <row r="56" spans="1:26" ht="14.25" x14ac:dyDescent="0.2">
      <c r="H56" s="9"/>
      <c r="X56" s="21"/>
      <c r="Y56" s="21"/>
      <c r="Z56" s="21"/>
    </row>
    <row r="57" spans="1:26" ht="14.25" x14ac:dyDescent="0.2">
      <c r="H57" s="9"/>
      <c r="X57" s="21"/>
      <c r="Y57" s="21"/>
      <c r="Z57" s="21"/>
    </row>
    <row r="58" spans="1:26" ht="14.25" x14ac:dyDescent="0.2">
      <c r="H58" s="9"/>
      <c r="X58" s="21"/>
      <c r="Y58" s="21"/>
      <c r="Z58" s="21"/>
    </row>
    <row r="59" spans="1:26" ht="14.25" x14ac:dyDescent="0.2">
      <c r="H59" s="9"/>
      <c r="X59" s="21"/>
      <c r="Y59" s="21"/>
      <c r="Z59" s="21"/>
    </row>
    <row r="60" spans="1:26" ht="14.25" x14ac:dyDescent="0.2">
      <c r="H60" s="9"/>
      <c r="X60" s="21"/>
      <c r="Y60" s="21"/>
      <c r="Z60" s="21"/>
    </row>
    <row r="61" spans="1:26" ht="14.25" x14ac:dyDescent="0.2">
      <c r="H61" s="9"/>
      <c r="X61" s="21"/>
      <c r="Y61" s="21"/>
      <c r="Z61" s="21"/>
    </row>
    <row r="62" spans="1:26" ht="14.25" x14ac:dyDescent="0.2">
      <c r="H62" s="9"/>
      <c r="U62" s="152"/>
      <c r="V62" s="21"/>
      <c r="W62" s="21"/>
      <c r="X62" s="21"/>
      <c r="Y62" s="21"/>
      <c r="Z62" s="21"/>
    </row>
    <row r="63" spans="1:26" ht="14.25" x14ac:dyDescent="0.2">
      <c r="H63" s="9"/>
      <c r="U63" s="152"/>
      <c r="V63" s="21"/>
      <c r="W63" s="21"/>
      <c r="X63" s="21"/>
      <c r="Y63" s="21"/>
      <c r="Z63" s="21"/>
    </row>
    <row r="64" spans="1:26" ht="14.25" x14ac:dyDescent="0.2">
      <c r="H64" s="9"/>
      <c r="U64" s="152"/>
      <c r="V64" s="21"/>
      <c r="W64" s="21"/>
      <c r="X64" s="21"/>
      <c r="Y64" s="21"/>
      <c r="Z64" s="21"/>
    </row>
    <row r="65" spans="8:26" ht="14.25" x14ac:dyDescent="0.2">
      <c r="H65" s="9"/>
      <c r="U65" s="152"/>
      <c r="V65" s="21"/>
      <c r="W65" s="21"/>
      <c r="X65" s="21"/>
      <c r="Y65" s="21"/>
      <c r="Z65" s="21"/>
    </row>
    <row r="66" spans="8:26" ht="14.25" x14ac:dyDescent="0.2">
      <c r="H66" s="9"/>
      <c r="U66" s="152"/>
      <c r="V66" s="21"/>
      <c r="W66" s="21"/>
      <c r="X66" s="21"/>
      <c r="Y66" s="21"/>
      <c r="Z66" s="21"/>
    </row>
    <row r="67" spans="8:26" ht="14.25" x14ac:dyDescent="0.2">
      <c r="H67" s="9"/>
      <c r="U67" s="152"/>
      <c r="V67" s="21"/>
      <c r="W67" s="21"/>
      <c r="X67" s="21"/>
      <c r="Y67" s="21"/>
      <c r="Z67" s="21"/>
    </row>
    <row r="68" spans="8:26" ht="14.25" x14ac:dyDescent="0.2">
      <c r="H68" s="9"/>
      <c r="U68" s="152"/>
      <c r="V68" s="21"/>
      <c r="W68" s="21"/>
      <c r="X68" s="21"/>
      <c r="Y68" s="21"/>
      <c r="Z68" s="21"/>
    </row>
    <row r="69" spans="8:26" ht="14.25" x14ac:dyDescent="0.2">
      <c r="H69" s="9"/>
      <c r="U69" s="152"/>
      <c r="V69" s="21"/>
      <c r="W69" s="21"/>
      <c r="X69" s="21"/>
      <c r="Y69" s="21"/>
      <c r="Z69" s="21"/>
    </row>
    <row r="70" spans="8:26" ht="14.25" x14ac:dyDescent="0.2">
      <c r="H70" s="9"/>
      <c r="U70" s="152"/>
      <c r="V70" s="21"/>
      <c r="W70" s="21"/>
      <c r="X70" s="21"/>
      <c r="Y70" s="21"/>
      <c r="Z70" s="21"/>
    </row>
    <row r="71" spans="8:26" ht="14.25" x14ac:dyDescent="0.2">
      <c r="H71" s="9"/>
      <c r="U71" s="152"/>
      <c r="V71" s="21"/>
      <c r="W71" s="21"/>
      <c r="X71" s="21"/>
      <c r="Y71" s="21"/>
      <c r="Z71" s="21"/>
    </row>
    <row r="72" spans="8:26" ht="14.25" x14ac:dyDescent="0.2">
      <c r="H72" s="9"/>
      <c r="U72" s="152"/>
      <c r="V72" s="21"/>
      <c r="W72" s="21"/>
      <c r="X72" s="21"/>
      <c r="Y72" s="21"/>
      <c r="Z72" s="21"/>
    </row>
    <row r="73" spans="8:26" ht="14.25" x14ac:dyDescent="0.2">
      <c r="H73" s="9"/>
      <c r="U73" s="152"/>
      <c r="V73" s="21"/>
      <c r="W73" s="21"/>
      <c r="X73" s="21"/>
      <c r="Y73" s="21"/>
      <c r="Z73" s="21"/>
    </row>
    <row r="74" spans="8:26" ht="14.25" x14ac:dyDescent="0.2">
      <c r="H74" s="9"/>
      <c r="U74" s="152"/>
      <c r="V74" s="21"/>
      <c r="W74" s="21"/>
      <c r="X74" s="21"/>
      <c r="Y74" s="21"/>
      <c r="Z74" s="21"/>
    </row>
    <row r="75" spans="8:26" ht="14.25" x14ac:dyDescent="0.2">
      <c r="H75" s="9"/>
      <c r="U75" s="152"/>
      <c r="V75" s="21"/>
      <c r="W75" s="21"/>
      <c r="X75" s="21"/>
      <c r="Y75" s="21"/>
      <c r="Z75" s="21"/>
    </row>
    <row r="76" spans="8:26" ht="14.25" x14ac:dyDescent="0.2">
      <c r="H76" s="9"/>
      <c r="U76" s="152"/>
      <c r="V76" s="21"/>
      <c r="W76" s="21"/>
      <c r="X76" s="21"/>
      <c r="Y76" s="21"/>
      <c r="Z76" s="21"/>
    </row>
    <row r="77" spans="8:26" ht="14.25" x14ac:dyDescent="0.2">
      <c r="H77" s="9"/>
      <c r="U77" s="152"/>
      <c r="V77" s="21"/>
      <c r="W77" s="21"/>
      <c r="X77" s="21"/>
      <c r="Y77" s="21"/>
      <c r="Z77" s="21"/>
    </row>
    <row r="78" spans="8:26" ht="14.25" x14ac:dyDescent="0.2">
      <c r="H78" s="9"/>
      <c r="U78" s="152"/>
      <c r="V78" s="21"/>
      <c r="W78" s="21"/>
      <c r="X78" s="21"/>
      <c r="Y78" s="21"/>
      <c r="Z78" s="21"/>
    </row>
    <row r="79" spans="8:26" ht="14.25" x14ac:dyDescent="0.2">
      <c r="H79" s="9"/>
      <c r="U79" s="152"/>
      <c r="V79" s="21"/>
      <c r="W79" s="21"/>
      <c r="X79" s="21"/>
      <c r="Y79" s="21"/>
      <c r="Z79" s="21"/>
    </row>
    <row r="80" spans="8:26" ht="14.25" x14ac:dyDescent="0.2">
      <c r="U80" s="152"/>
      <c r="V80" s="21"/>
      <c r="W80" s="21"/>
      <c r="X80" s="21"/>
      <c r="Y80" s="21"/>
      <c r="Z80" s="21"/>
    </row>
    <row r="81" spans="1:26" ht="14.25" x14ac:dyDescent="0.2">
      <c r="H81" s="9"/>
      <c r="U81" s="152"/>
      <c r="V81" s="21"/>
      <c r="W81" s="21"/>
      <c r="X81" s="21"/>
      <c r="Y81" s="21"/>
      <c r="Z81" s="21"/>
    </row>
    <row r="82" spans="1:26" ht="14.25" x14ac:dyDescent="0.2">
      <c r="H82" s="9"/>
      <c r="U82" s="152"/>
      <c r="V82" s="21"/>
      <c r="W82" s="21"/>
      <c r="X82" s="21"/>
      <c r="Y82" s="21"/>
      <c r="Z82" s="21"/>
    </row>
    <row r="83" spans="1:26" ht="14.25" x14ac:dyDescent="0.2">
      <c r="H83" s="9"/>
      <c r="U83" s="152"/>
      <c r="V83" s="21"/>
      <c r="W83" s="21"/>
      <c r="X83" s="21"/>
      <c r="Y83" s="21"/>
      <c r="Z83" s="21"/>
    </row>
    <row r="84" spans="1:26" ht="14.25" x14ac:dyDescent="0.2">
      <c r="H84" s="9"/>
      <c r="U84" s="152"/>
      <c r="V84" s="21"/>
      <c r="W84" s="21"/>
      <c r="X84" s="21"/>
      <c r="Y84" s="21"/>
      <c r="Z84" s="21"/>
    </row>
    <row r="85" spans="1:26" ht="14.25" x14ac:dyDescent="0.2">
      <c r="H85" s="9"/>
      <c r="U85" s="152"/>
      <c r="V85" s="21"/>
      <c r="W85" s="21"/>
      <c r="X85" s="21"/>
      <c r="Y85" s="21"/>
      <c r="Z85" s="21"/>
    </row>
    <row r="86" spans="1:26" ht="14.25" x14ac:dyDescent="0.2">
      <c r="H86" s="9"/>
      <c r="U86" s="152"/>
      <c r="V86" s="21"/>
      <c r="W86" s="21"/>
      <c r="X86" s="21"/>
      <c r="Y86" s="21"/>
      <c r="Z86" s="21"/>
    </row>
    <row r="87" spans="1:26" ht="14.25" x14ac:dyDescent="0.2">
      <c r="U87" s="152"/>
      <c r="V87" s="21"/>
      <c r="W87" s="21"/>
      <c r="X87" s="21"/>
      <c r="Y87" s="21"/>
      <c r="Z87" s="21"/>
    </row>
    <row r="88" spans="1:26" ht="14.25" x14ac:dyDescent="0.2">
      <c r="U88" s="152"/>
      <c r="V88" s="21"/>
      <c r="W88" s="21"/>
      <c r="X88" s="21"/>
      <c r="Y88" s="21"/>
      <c r="Z88" s="21"/>
    </row>
    <row r="89" spans="1:26" ht="14.25" x14ac:dyDescent="0.2">
      <c r="U89" s="152"/>
      <c r="V89" s="21"/>
      <c r="W89" s="21"/>
      <c r="X89" s="21"/>
      <c r="Y89" s="21"/>
      <c r="Z89" s="21"/>
    </row>
    <row r="90" spans="1:26" ht="14.25" x14ac:dyDescent="0.2">
      <c r="U90" s="152"/>
      <c r="V90" s="21"/>
      <c r="W90" s="21"/>
      <c r="X90" s="21"/>
      <c r="Y90" s="21"/>
      <c r="Z90" s="21"/>
    </row>
    <row r="91" spans="1:26" ht="14.25" x14ac:dyDescent="0.2">
      <c r="U91" s="152"/>
      <c r="V91" s="21"/>
      <c r="W91" s="21"/>
      <c r="X91" s="21"/>
      <c r="Y91" s="21"/>
      <c r="Z91" s="21"/>
    </row>
    <row r="92" spans="1:26" ht="14.25" x14ac:dyDescent="0.2">
      <c r="U92" s="152"/>
      <c r="V92" s="21"/>
      <c r="W92" s="21"/>
      <c r="X92" s="21"/>
      <c r="Y92" s="21"/>
      <c r="Z92" s="21"/>
    </row>
    <row r="93" spans="1:26" ht="14.25" x14ac:dyDescent="0.2">
      <c r="A93" s="23"/>
      <c r="B93" s="23"/>
      <c r="C93" s="23"/>
      <c r="D93" s="23"/>
      <c r="T93" s="151"/>
      <c r="U93" s="152"/>
      <c r="V93" s="21"/>
      <c r="W93" s="21"/>
      <c r="X93" s="21"/>
      <c r="Y93" s="21"/>
      <c r="Z93" s="21"/>
    </row>
    <row r="94" spans="1:26" ht="14.25" x14ac:dyDescent="0.2">
      <c r="T94" s="151"/>
      <c r="U94" s="152"/>
      <c r="V94" s="21"/>
      <c r="W94" s="21"/>
      <c r="X94" s="21"/>
      <c r="Y94" s="21"/>
      <c r="Z94" s="21"/>
    </row>
    <row r="95" spans="1:26" ht="14.25" x14ac:dyDescent="0.2">
      <c r="T95" s="151"/>
      <c r="U95" s="152"/>
      <c r="V95" s="21"/>
      <c r="W95" s="21"/>
      <c r="X95" s="21"/>
      <c r="Y95" s="21"/>
      <c r="Z95" s="21"/>
    </row>
    <row r="96" spans="1:26" ht="14.25" x14ac:dyDescent="0.2">
      <c r="T96" s="151"/>
      <c r="U96" s="152"/>
      <c r="V96" s="21"/>
      <c r="W96" s="21"/>
      <c r="X96" s="21"/>
      <c r="Y96" s="21"/>
      <c r="Z96" s="21"/>
    </row>
    <row r="97" spans="1:26" ht="14.25" x14ac:dyDescent="0.2">
      <c r="T97" s="151"/>
      <c r="U97" s="152"/>
      <c r="V97" s="21"/>
      <c r="W97" s="21"/>
      <c r="X97" s="21"/>
      <c r="Y97" s="21"/>
      <c r="Z97" s="21"/>
    </row>
    <row r="98" spans="1:26" ht="14.25" x14ac:dyDescent="0.2">
      <c r="T98" s="151"/>
      <c r="U98" s="152"/>
      <c r="V98" s="21"/>
      <c r="W98" s="21"/>
      <c r="X98" s="21"/>
      <c r="Y98" s="21"/>
      <c r="Z98" s="21"/>
    </row>
    <row r="99" spans="1:26" ht="14.25" x14ac:dyDescent="0.2">
      <c r="T99" s="151"/>
      <c r="U99" s="152"/>
      <c r="V99" s="21"/>
      <c r="W99" s="21"/>
      <c r="X99" s="21"/>
      <c r="Y99" s="21"/>
      <c r="Z99" s="21"/>
    </row>
    <row r="100" spans="1:26" ht="14.25" x14ac:dyDescent="0.2">
      <c r="T100" s="151"/>
      <c r="U100" s="152"/>
      <c r="V100" s="21"/>
      <c r="W100" s="21"/>
      <c r="X100" s="21"/>
      <c r="Y100" s="21"/>
      <c r="Z100" s="21"/>
    </row>
    <row r="101" spans="1:26" ht="14.25" x14ac:dyDescent="0.2">
      <c r="T101" s="151"/>
      <c r="U101" s="152"/>
      <c r="V101" s="21"/>
      <c r="W101" s="21"/>
      <c r="X101" s="21"/>
      <c r="Y101" s="21"/>
      <c r="Z101" s="21"/>
    </row>
    <row r="102" spans="1:26" ht="14.25" x14ac:dyDescent="0.2">
      <c r="T102" s="151"/>
      <c r="U102" s="152"/>
      <c r="V102" s="21"/>
      <c r="W102" s="21"/>
      <c r="X102" s="21"/>
      <c r="Y102" s="21"/>
      <c r="Z102" s="21"/>
    </row>
    <row r="103" spans="1:26" ht="14.25" x14ac:dyDescent="0.2">
      <c r="T103" s="151"/>
      <c r="U103" s="152"/>
      <c r="V103" s="21"/>
      <c r="W103" s="21"/>
      <c r="X103" s="21"/>
      <c r="Y103" s="21"/>
      <c r="Z103" s="21"/>
    </row>
    <row r="104" spans="1:26" ht="14.25" x14ac:dyDescent="0.2">
      <c r="T104" s="151"/>
      <c r="U104" s="152"/>
      <c r="V104" s="21"/>
      <c r="W104" s="21"/>
      <c r="X104" s="21"/>
      <c r="Y104" s="21"/>
      <c r="Z104" s="21"/>
    </row>
    <row r="105" spans="1:26" ht="14.25" x14ac:dyDescent="0.2">
      <c r="T105" s="151"/>
      <c r="U105" s="152"/>
      <c r="V105" s="21"/>
      <c r="W105" s="21"/>
      <c r="X105" s="21"/>
      <c r="Y105" s="21"/>
      <c r="Z105" s="21"/>
    </row>
    <row r="106" spans="1:26" ht="14.25" x14ac:dyDescent="0.2">
      <c r="A106" s="23"/>
      <c r="B106" s="23"/>
      <c r="C106" s="23"/>
      <c r="D106" s="23"/>
      <c r="T106" s="151"/>
      <c r="U106" s="152"/>
      <c r="V106" s="21"/>
      <c r="W106" s="21"/>
      <c r="X106" s="21"/>
      <c r="Y106" s="21"/>
      <c r="Z106" s="21"/>
    </row>
    <row r="107" spans="1:26" ht="14.25" x14ac:dyDescent="0.2">
      <c r="A107" s="23"/>
      <c r="B107" s="23"/>
      <c r="C107" s="23"/>
      <c r="D107" s="23"/>
      <c r="T107" s="151"/>
      <c r="U107" s="152"/>
      <c r="V107" s="21"/>
      <c r="W107" s="21"/>
      <c r="X107" s="21"/>
      <c r="Y107" s="21"/>
      <c r="Z107" s="21"/>
    </row>
    <row r="108" spans="1:26" ht="14.25" x14ac:dyDescent="0.2">
      <c r="A108" s="23"/>
      <c r="B108" s="23"/>
      <c r="C108" s="23"/>
      <c r="D108" s="23"/>
      <c r="T108" s="151"/>
      <c r="U108" s="152"/>
      <c r="V108" s="21"/>
      <c r="W108" s="21"/>
      <c r="X108" s="21"/>
      <c r="Y108" s="21"/>
      <c r="Z108" s="21"/>
    </row>
    <row r="109" spans="1:26" ht="14.25" x14ac:dyDescent="0.2">
      <c r="A109" s="23"/>
      <c r="B109" s="23"/>
      <c r="C109" s="23"/>
      <c r="D109" s="23"/>
      <c r="T109" s="151"/>
      <c r="U109" s="152"/>
      <c r="V109" s="21"/>
      <c r="W109" s="21"/>
      <c r="X109" s="21"/>
      <c r="Y109" s="21"/>
      <c r="Z109" s="21"/>
    </row>
    <row r="110" spans="1:26" ht="14.25" x14ac:dyDescent="0.2">
      <c r="A110" s="23"/>
      <c r="B110" s="23"/>
      <c r="C110" s="23"/>
      <c r="D110" s="23"/>
      <c r="T110" s="151"/>
      <c r="U110" s="152"/>
      <c r="V110" s="21"/>
      <c r="W110" s="21"/>
      <c r="X110" s="21"/>
      <c r="Y110" s="21"/>
      <c r="Z110" s="21"/>
    </row>
    <row r="111" spans="1:26" ht="14.25" x14ac:dyDescent="0.2">
      <c r="A111" s="23"/>
      <c r="B111" s="23"/>
      <c r="C111" s="23"/>
      <c r="D111" s="23"/>
      <c r="T111" s="151"/>
      <c r="U111" s="152"/>
      <c r="V111" s="21"/>
      <c r="W111" s="21"/>
      <c r="X111" s="21"/>
      <c r="Y111" s="21"/>
      <c r="Z111" s="21"/>
    </row>
    <row r="112" spans="1:26" ht="14.25" x14ac:dyDescent="0.2">
      <c r="A112" s="23"/>
      <c r="B112" s="23"/>
      <c r="C112" s="23"/>
      <c r="D112" s="23"/>
      <c r="T112" s="151"/>
      <c r="U112" s="152"/>
      <c r="V112" s="21"/>
      <c r="W112" s="21"/>
      <c r="X112" s="21"/>
      <c r="Y112" s="21"/>
      <c r="Z112" s="21"/>
    </row>
    <row r="113" spans="1:26" ht="14.25" x14ac:dyDescent="0.2">
      <c r="A113" s="23"/>
      <c r="B113" s="23"/>
      <c r="C113" s="23"/>
      <c r="D113" s="23"/>
      <c r="T113" s="151"/>
      <c r="U113" s="152"/>
      <c r="V113" s="21"/>
      <c r="W113" s="21"/>
      <c r="X113" s="21"/>
      <c r="Y113" s="21"/>
      <c r="Z113" s="21"/>
    </row>
    <row r="114" spans="1:26" ht="14.25" x14ac:dyDescent="0.2">
      <c r="A114" s="23"/>
      <c r="B114" s="23"/>
      <c r="C114" s="23"/>
      <c r="D114" s="23"/>
      <c r="T114" s="151"/>
      <c r="U114" s="152"/>
      <c r="V114" s="21"/>
      <c r="W114" s="21"/>
      <c r="X114" s="21"/>
      <c r="Y114" s="21"/>
      <c r="Z114" s="21"/>
    </row>
    <row r="115" spans="1:26" ht="14.25" x14ac:dyDescent="0.2">
      <c r="A115" s="23"/>
      <c r="B115" s="23"/>
      <c r="C115" s="23"/>
      <c r="D115" s="23"/>
      <c r="T115" s="151"/>
      <c r="U115" s="152"/>
      <c r="V115" s="21"/>
      <c r="W115" s="21"/>
      <c r="X115" s="21"/>
      <c r="Y115" s="21"/>
      <c r="Z115" s="21"/>
    </row>
    <row r="116" spans="1:26" ht="14.25" x14ac:dyDescent="0.2">
      <c r="A116" s="23"/>
      <c r="B116" s="23"/>
      <c r="C116" s="23"/>
      <c r="D116" s="23"/>
      <c r="T116" s="151"/>
      <c r="U116" s="152"/>
      <c r="V116" s="21"/>
      <c r="W116" s="21"/>
      <c r="X116" s="21"/>
      <c r="Y116" s="21"/>
      <c r="Z116" s="21"/>
    </row>
    <row r="117" spans="1:26" ht="14.25" x14ac:dyDescent="0.2">
      <c r="A117" s="23"/>
      <c r="B117" s="23"/>
      <c r="C117" s="23"/>
      <c r="D117" s="23"/>
      <c r="T117" s="151"/>
      <c r="U117" s="152"/>
      <c r="V117" s="21"/>
      <c r="W117" s="21"/>
      <c r="X117" s="21"/>
      <c r="Y117" s="21"/>
      <c r="Z117" s="21"/>
    </row>
    <row r="118" spans="1:26" ht="14.25" x14ac:dyDescent="0.2">
      <c r="A118" s="23"/>
      <c r="B118" s="23"/>
      <c r="C118" s="23"/>
      <c r="D118" s="23"/>
      <c r="T118" s="151"/>
      <c r="U118" s="152"/>
      <c r="V118" s="21"/>
      <c r="W118" s="21"/>
      <c r="X118" s="21"/>
      <c r="Y118" s="21"/>
      <c r="Z118" s="21"/>
    </row>
    <row r="119" spans="1:26" ht="14.25" x14ac:dyDescent="0.2">
      <c r="A119" s="23"/>
      <c r="B119" s="23"/>
      <c r="C119" s="23"/>
      <c r="D119" s="23"/>
      <c r="T119" s="151"/>
      <c r="U119" s="152"/>
      <c r="V119" s="21"/>
      <c r="W119" s="21"/>
      <c r="X119" s="21"/>
      <c r="Y119" s="21"/>
      <c r="Z119" s="21"/>
    </row>
    <row r="120" spans="1:26" ht="13.5" x14ac:dyDescent="0.2">
      <c r="A120" s="24"/>
      <c r="B120" s="24"/>
      <c r="T120" s="153"/>
      <c r="V120" s="21"/>
      <c r="W120" s="21"/>
      <c r="X120" s="21"/>
      <c r="Y120" s="21"/>
      <c r="Z120" s="21"/>
    </row>
    <row r="134" spans="1:26" ht="16.899999999999999" customHeight="1" x14ac:dyDescent="0.2">
      <c r="A134" s="25"/>
    </row>
    <row r="135" spans="1:26" ht="12" customHeight="1" x14ac:dyDescent="0.2">
      <c r="A135" s="4"/>
    </row>
    <row r="136" spans="1:26" ht="13.15" customHeight="1" x14ac:dyDescent="0.2"/>
    <row r="137" spans="1:26" ht="13.15" customHeight="1" x14ac:dyDescent="0.2"/>
    <row r="138" spans="1:26" ht="13.15" customHeight="1" x14ac:dyDescent="0.2"/>
    <row r="139" spans="1:26" s="149" customFormat="1" ht="13.15" customHeight="1" x14ac:dyDescent="0.2">
      <c r="A139" s="1"/>
      <c r="B139" s="1"/>
      <c r="C139" s="1"/>
      <c r="D139" s="1"/>
      <c r="E139" s="1"/>
      <c r="F139" s="1"/>
      <c r="G139" s="1"/>
      <c r="H139" s="1"/>
      <c r="P139" s="1"/>
      <c r="Q139" s="1"/>
      <c r="T139" s="150"/>
      <c r="U139" s="150"/>
      <c r="V139" s="1"/>
      <c r="W139" s="1"/>
      <c r="X139" s="1"/>
      <c r="Y139" s="1"/>
      <c r="Z139" s="1"/>
    </row>
    <row r="140" spans="1:26" s="149" customFormat="1" ht="13.15" customHeight="1" x14ac:dyDescent="0.2">
      <c r="A140" s="1"/>
      <c r="B140" s="1"/>
      <c r="C140" s="1"/>
      <c r="D140" s="1"/>
      <c r="E140" s="1"/>
      <c r="F140" s="1"/>
      <c r="G140" s="1"/>
      <c r="H140" s="1"/>
      <c r="P140" s="1"/>
      <c r="Q140" s="1"/>
      <c r="T140" s="150"/>
      <c r="U140" s="150"/>
      <c r="V140" s="1"/>
      <c r="W140" s="1"/>
      <c r="X140" s="1"/>
      <c r="Y140" s="1"/>
      <c r="Z140" s="1"/>
    </row>
    <row r="141" spans="1:26" s="149" customFormat="1" ht="13.15" customHeight="1" x14ac:dyDescent="0.2">
      <c r="A141" s="1"/>
      <c r="B141" s="1"/>
      <c r="C141" s="1"/>
      <c r="D141" s="1"/>
      <c r="E141" s="1"/>
      <c r="F141" s="1"/>
      <c r="G141" s="1"/>
      <c r="H141" s="1"/>
      <c r="P141" s="1"/>
      <c r="Q141" s="1"/>
      <c r="T141" s="150"/>
      <c r="U141" s="150"/>
      <c r="V141" s="1"/>
      <c r="W141" s="1"/>
      <c r="X141" s="1"/>
      <c r="Y141" s="1"/>
      <c r="Z141" s="1"/>
    </row>
    <row r="142" spans="1:26" s="149" customFormat="1" ht="12" customHeight="1" x14ac:dyDescent="0.2">
      <c r="A142" s="1"/>
      <c r="B142" s="1"/>
      <c r="C142" s="1"/>
      <c r="D142" s="1"/>
      <c r="E142" s="1"/>
      <c r="F142" s="1"/>
      <c r="G142" s="1"/>
      <c r="H142" s="1"/>
      <c r="P142" s="1"/>
      <c r="Q142" s="1"/>
      <c r="T142" s="150"/>
      <c r="U142" s="150"/>
      <c r="V142" s="1"/>
      <c r="W142" s="1"/>
      <c r="X142" s="1"/>
      <c r="Y142" s="1"/>
      <c r="Z142" s="1"/>
    </row>
    <row r="143" spans="1:26" s="149" customFormat="1" ht="12" customHeight="1" x14ac:dyDescent="0.2">
      <c r="A143" s="1"/>
      <c r="B143" s="1"/>
      <c r="C143" s="1"/>
      <c r="D143" s="1"/>
      <c r="E143" s="1"/>
      <c r="F143" s="1"/>
      <c r="G143" s="1"/>
      <c r="H143" s="1"/>
      <c r="P143" s="1"/>
      <c r="Q143" s="1"/>
      <c r="T143" s="150"/>
      <c r="U143" s="150"/>
      <c r="V143" s="1"/>
      <c r="W143" s="1"/>
      <c r="X143" s="1"/>
      <c r="Y143" s="1"/>
      <c r="Z143" s="1"/>
    </row>
    <row r="144" spans="1:26" s="149" customFormat="1" ht="15" customHeight="1" x14ac:dyDescent="0.2">
      <c r="A144" s="1"/>
      <c r="B144" s="1"/>
      <c r="C144" s="1"/>
      <c r="D144" s="1"/>
      <c r="E144" s="1"/>
      <c r="F144" s="1"/>
      <c r="G144" s="1"/>
      <c r="H144" s="1"/>
      <c r="P144" s="1"/>
      <c r="Q144" s="1"/>
      <c r="T144" s="150"/>
      <c r="U144" s="150"/>
      <c r="V144" s="1"/>
      <c r="W144" s="1"/>
      <c r="X144" s="1"/>
      <c r="Y144" s="1"/>
      <c r="Z144" s="1"/>
    </row>
    <row r="145" spans="1:26" s="149" customFormat="1" ht="15" customHeight="1" x14ac:dyDescent="0.2">
      <c r="A145" s="1"/>
      <c r="B145" s="1"/>
      <c r="C145" s="1"/>
      <c r="D145" s="1"/>
      <c r="E145" s="1"/>
      <c r="F145" s="1"/>
      <c r="G145" s="1"/>
      <c r="H145" s="1"/>
      <c r="P145" s="1"/>
      <c r="Q145" s="1"/>
      <c r="T145" s="150"/>
      <c r="U145" s="150"/>
      <c r="V145" s="1"/>
      <c r="W145" s="1"/>
      <c r="X145" s="1"/>
      <c r="Y145" s="1"/>
      <c r="Z145" s="1"/>
    </row>
  </sheetData>
  <sheetProtection sheet="1" formatCells="0" formatColumns="0" formatRows="0"/>
  <mergeCells count="33">
    <mergeCell ref="G39:H39"/>
    <mergeCell ref="L39:M39"/>
    <mergeCell ref="L40:M40"/>
    <mergeCell ref="N40:R40"/>
    <mergeCell ref="L41:M41"/>
    <mergeCell ref="N41:R41"/>
    <mergeCell ref="L42:M42"/>
    <mergeCell ref="N42:R42"/>
    <mergeCell ref="L43:M43"/>
    <mergeCell ref="N43:R43"/>
    <mergeCell ref="L44:M44"/>
    <mergeCell ref="N44:R44"/>
    <mergeCell ref="L45:M45"/>
    <mergeCell ref="N45:R45"/>
    <mergeCell ref="L46:M46"/>
    <mergeCell ref="N46:R46"/>
    <mergeCell ref="L47:M47"/>
    <mergeCell ref="N47:R47"/>
    <mergeCell ref="L48:M48"/>
    <mergeCell ref="N48:R48"/>
    <mergeCell ref="L49:M49"/>
    <mergeCell ref="N49:R49"/>
    <mergeCell ref="L50:M50"/>
    <mergeCell ref="N50:R50"/>
    <mergeCell ref="L54:M54"/>
    <mergeCell ref="N54:R54"/>
    <mergeCell ref="L55:M55"/>
    <mergeCell ref="L51:M51"/>
    <mergeCell ref="N51:R51"/>
    <mergeCell ref="L52:M52"/>
    <mergeCell ref="N52:R52"/>
    <mergeCell ref="L53:M53"/>
    <mergeCell ref="N53:R53"/>
  </mergeCells>
  <phoneticPr fontId="4"/>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9BFF9-E632-4804-8241-CD47C6D5242F}">
  <dimension ref="A1:Z281"/>
  <sheetViews>
    <sheetView zoomScale="160" zoomScaleNormal="160" workbookViewId="0">
      <selection activeCell="X151" sqref="X151:Y158"/>
    </sheetView>
  </sheetViews>
  <sheetFormatPr defaultColWidth="9.33203125" defaultRowHeight="12.75" x14ac:dyDescent="0.2"/>
  <cols>
    <col min="1" max="1" width="9.33203125" style="1"/>
    <col min="2" max="2" width="11.6640625" style="1" customWidth="1"/>
    <col min="3" max="7" width="10.1640625" style="1" customWidth="1"/>
    <col min="8" max="8" width="9.33203125" style="1"/>
    <col min="9" max="12" width="8" style="149" customWidth="1"/>
    <col min="13" max="14" width="9" style="149" customWidth="1"/>
    <col min="15"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1" ht="20.25" x14ac:dyDescent="0.2">
      <c r="A1" s="96" t="s">
        <v>826</v>
      </c>
      <c r="B1" s="97"/>
      <c r="C1" s="97"/>
      <c r="D1" s="97"/>
      <c r="E1" s="97"/>
      <c r="F1" s="97"/>
      <c r="G1" s="97"/>
      <c r="H1" s="97"/>
      <c r="I1" s="113"/>
      <c r="J1" s="154" t="s">
        <v>130</v>
      </c>
      <c r="K1" s="210">
        <v>10</v>
      </c>
      <c r="L1" s="154" t="s">
        <v>129</v>
      </c>
      <c r="M1" s="113"/>
      <c r="N1" s="113" t="s">
        <v>1059</v>
      </c>
      <c r="O1" s="113"/>
      <c r="R1" s="113"/>
      <c r="S1" s="113"/>
      <c r="T1" s="146"/>
      <c r="U1" s="146"/>
    </row>
    <row r="2" spans="1:21" x14ac:dyDescent="0.2">
      <c r="A2" s="99" t="s">
        <v>827</v>
      </c>
      <c r="B2" s="97"/>
      <c r="C2" s="97"/>
      <c r="D2" s="97"/>
      <c r="E2" s="97"/>
      <c r="F2" s="97"/>
      <c r="G2" s="97"/>
      <c r="H2" s="97"/>
      <c r="I2" s="113"/>
      <c r="J2" s="154" t="s">
        <v>4</v>
      </c>
      <c r="K2" s="210">
        <v>1</v>
      </c>
      <c r="L2" s="154" t="s">
        <v>129</v>
      </c>
      <c r="M2" s="113"/>
      <c r="N2" s="113" t="s">
        <v>79</v>
      </c>
      <c r="O2" s="113"/>
      <c r="R2" s="113"/>
      <c r="S2" s="113"/>
      <c r="T2" s="146"/>
      <c r="U2" s="146"/>
    </row>
    <row r="3" spans="1:21" x14ac:dyDescent="0.2">
      <c r="A3" s="97"/>
      <c r="B3" s="97"/>
      <c r="C3" s="97"/>
      <c r="D3" s="97"/>
      <c r="E3" s="97"/>
      <c r="F3" s="97"/>
      <c r="G3" s="97"/>
      <c r="H3" s="97"/>
      <c r="I3" s="113"/>
      <c r="J3" s="113"/>
      <c r="K3" s="113"/>
      <c r="L3" s="113"/>
      <c r="M3" s="113"/>
      <c r="N3" s="113" t="s">
        <v>311</v>
      </c>
      <c r="O3" s="113"/>
      <c r="R3" s="113"/>
      <c r="S3" s="113"/>
      <c r="T3" s="146"/>
      <c r="U3" s="146"/>
    </row>
    <row r="4" spans="1:21" s="227" customFormat="1" x14ac:dyDescent="0.2">
      <c r="A4" s="523" t="s">
        <v>690</v>
      </c>
    </row>
    <row r="5" spans="1:21" s="227" customFormat="1" ht="12.95" customHeight="1" x14ac:dyDescent="0.2">
      <c r="A5" s="1411" t="s">
        <v>691</v>
      </c>
      <c r="B5" s="1411"/>
      <c r="C5" s="1412" t="s">
        <v>828</v>
      </c>
      <c r="D5" s="1412"/>
      <c r="F5" s="797"/>
      <c r="G5" s="798"/>
    </row>
    <row r="6" spans="1:21" s="227" customFormat="1" ht="12.95" customHeight="1" x14ac:dyDescent="0.2">
      <c r="A6" s="1408" t="s">
        <v>829</v>
      </c>
      <c r="B6" s="1408"/>
      <c r="C6" s="1408" t="s">
        <v>830</v>
      </c>
      <c r="D6" s="1408"/>
      <c r="F6" s="799"/>
      <c r="G6" s="800"/>
    </row>
    <row r="7" spans="1:21" s="227" customFormat="1" ht="12.95" customHeight="1" x14ac:dyDescent="0.2">
      <c r="A7" s="1408" t="s">
        <v>831</v>
      </c>
      <c r="B7" s="1408"/>
      <c r="C7" s="1408" t="s">
        <v>830</v>
      </c>
      <c r="D7" s="1408"/>
      <c r="F7" s="799"/>
      <c r="G7" s="800"/>
    </row>
    <row r="8" spans="1:21" s="227" customFormat="1" ht="12.95" customHeight="1" x14ac:dyDescent="0.2">
      <c r="A8" s="1408" t="s">
        <v>832</v>
      </c>
      <c r="B8" s="1408"/>
      <c r="C8" s="1408" t="s">
        <v>833</v>
      </c>
      <c r="D8" s="1408"/>
      <c r="F8" s="799"/>
      <c r="G8" s="800"/>
    </row>
    <row r="9" spans="1:21" s="227" customFormat="1" ht="12.95" customHeight="1" x14ac:dyDescent="0.2">
      <c r="A9" s="1408" t="s">
        <v>834</v>
      </c>
      <c r="B9" s="1408"/>
      <c r="C9" s="1408" t="s">
        <v>833</v>
      </c>
      <c r="D9" s="1408"/>
      <c r="F9" s="799"/>
      <c r="G9" s="800"/>
    </row>
    <row r="10" spans="1:21" s="227" customFormat="1" ht="12.95" customHeight="1" x14ac:dyDescent="0.2">
      <c r="A10" s="1408" t="s">
        <v>835</v>
      </c>
      <c r="B10" s="1408"/>
      <c r="C10" s="1408" t="s">
        <v>836</v>
      </c>
      <c r="D10" s="1408"/>
      <c r="F10" s="799"/>
      <c r="G10" s="800"/>
    </row>
    <row r="11" spans="1:21" s="227" customFormat="1" x14ac:dyDescent="0.2">
      <c r="A11" s="1408" t="s">
        <v>837</v>
      </c>
      <c r="B11" s="1408"/>
      <c r="C11" s="1408" t="s">
        <v>838</v>
      </c>
      <c r="D11" s="1408"/>
      <c r="F11" s="799"/>
      <c r="G11" s="800"/>
    </row>
    <row r="12" spans="1:21" s="227" customFormat="1" x14ac:dyDescent="0.2">
      <c r="A12" s="1408" t="s">
        <v>839</v>
      </c>
      <c r="B12" s="1408"/>
      <c r="C12" s="1408" t="s">
        <v>840</v>
      </c>
      <c r="D12" s="1408"/>
      <c r="F12" s="799"/>
      <c r="G12" s="800"/>
    </row>
    <row r="13" spans="1:21" s="227" customFormat="1" x14ac:dyDescent="0.2">
      <c r="A13" s="1408" t="s">
        <v>841</v>
      </c>
      <c r="B13" s="1408"/>
      <c r="C13" s="1408" t="s">
        <v>840</v>
      </c>
      <c r="D13" s="1408"/>
      <c r="F13" s="799"/>
      <c r="G13" s="800"/>
    </row>
    <row r="14" spans="1:21" s="227" customFormat="1" x14ac:dyDescent="0.2">
      <c r="A14" s="1408" t="s">
        <v>842</v>
      </c>
      <c r="B14" s="1408"/>
      <c r="C14" s="1408" t="s">
        <v>843</v>
      </c>
      <c r="D14" s="1408"/>
      <c r="F14" s="799"/>
      <c r="G14" s="800"/>
    </row>
    <row r="15" spans="1:21" s="227" customFormat="1" x14ac:dyDescent="0.2">
      <c r="A15" s="1408" t="s">
        <v>844</v>
      </c>
      <c r="B15" s="1408"/>
      <c r="C15" s="1408" t="s">
        <v>845</v>
      </c>
      <c r="D15" s="1408"/>
      <c r="F15" s="799"/>
      <c r="G15" s="800"/>
    </row>
    <row r="16" spans="1:21" s="227" customFormat="1" x14ac:dyDescent="0.2">
      <c r="A16" s="1408" t="s">
        <v>846</v>
      </c>
      <c r="B16" s="1408"/>
      <c r="C16" s="1408" t="s">
        <v>847</v>
      </c>
      <c r="D16" s="1408"/>
      <c r="F16" s="799"/>
      <c r="G16" s="800"/>
    </row>
    <row r="17" spans="1:21" x14ac:dyDescent="0.2">
      <c r="A17" s="100"/>
      <c r="B17" s="97"/>
      <c r="C17" s="97"/>
      <c r="D17" s="97"/>
      <c r="E17" s="97"/>
      <c r="F17" s="97"/>
      <c r="G17" s="97"/>
      <c r="H17" s="97"/>
      <c r="I17" s="113"/>
      <c r="J17" s="113"/>
      <c r="K17" s="113"/>
      <c r="L17" s="113"/>
      <c r="M17" s="113"/>
      <c r="N17" s="113"/>
      <c r="O17" s="113"/>
      <c r="R17" s="113"/>
      <c r="S17" s="113"/>
      <c r="T17" s="146"/>
      <c r="U17" s="146"/>
    </row>
    <row r="18" spans="1:21" ht="20.25" x14ac:dyDescent="0.2">
      <c r="A18" s="101" t="s">
        <v>78</v>
      </c>
      <c r="B18" s="97"/>
      <c r="C18" s="97"/>
      <c r="D18" s="97"/>
      <c r="E18" s="97"/>
      <c r="F18" s="97"/>
      <c r="G18" s="97"/>
      <c r="H18" s="97"/>
      <c r="I18" s="113"/>
      <c r="J18" s="113"/>
      <c r="K18" s="113"/>
      <c r="L18" s="113"/>
      <c r="M18" s="113"/>
      <c r="N18" s="113"/>
      <c r="O18" s="113"/>
      <c r="R18" s="113"/>
      <c r="S18" s="113"/>
      <c r="T18" s="146"/>
      <c r="U18" s="146"/>
    </row>
    <row r="19" spans="1:21" s="227" customFormat="1" x14ac:dyDescent="0.2">
      <c r="A19" s="675" t="s">
        <v>848</v>
      </c>
    </row>
    <row r="20" spans="1:21" s="227" customFormat="1" x14ac:dyDescent="0.2">
      <c r="A20" s="675" t="s">
        <v>849</v>
      </c>
    </row>
    <row r="21" spans="1:21" s="2" customFormat="1" x14ac:dyDescent="0.2">
      <c r="A21" s="99"/>
      <c r="B21" s="99"/>
      <c r="C21" s="99"/>
      <c r="D21" s="99"/>
      <c r="E21" s="99"/>
      <c r="F21" s="99"/>
      <c r="G21" s="99"/>
      <c r="H21" s="99"/>
      <c r="I21" s="113"/>
      <c r="J21" s="113"/>
      <c r="K21" s="113"/>
      <c r="L21" s="113"/>
      <c r="M21" s="113"/>
      <c r="N21" s="113"/>
      <c r="O21" s="113"/>
      <c r="R21" s="113"/>
      <c r="S21" s="113"/>
      <c r="T21" s="146"/>
      <c r="U21" s="146"/>
    </row>
    <row r="22" spans="1:21" s="227" customFormat="1" x14ac:dyDescent="0.2">
      <c r="A22" s="1409" t="s">
        <v>850</v>
      </c>
      <c r="B22" s="1409"/>
      <c r="C22" s="1409"/>
    </row>
    <row r="23" spans="1:21" s="227" customFormat="1" ht="12.95" customHeight="1" x14ac:dyDescent="0.2">
      <c r="A23" s="1410" t="s">
        <v>691</v>
      </c>
      <c r="B23" s="1410"/>
      <c r="C23" s="801" t="s">
        <v>851</v>
      </c>
    </row>
    <row r="24" spans="1:21" s="227" customFormat="1" x14ac:dyDescent="0.2">
      <c r="A24" s="1407" t="s">
        <v>852</v>
      </c>
      <c r="B24" s="1407"/>
      <c r="C24" s="802" t="s">
        <v>853</v>
      </c>
    </row>
    <row r="25" spans="1:21" s="227" customFormat="1" x14ac:dyDescent="0.2">
      <c r="A25" s="1407" t="s">
        <v>854</v>
      </c>
      <c r="B25" s="1407"/>
      <c r="C25" s="802" t="s">
        <v>855</v>
      </c>
    </row>
    <row r="26" spans="1:21" s="227" customFormat="1" x14ac:dyDescent="0.2">
      <c r="A26" s="1407" t="s">
        <v>856</v>
      </c>
      <c r="B26" s="1407"/>
      <c r="C26" s="802" t="s">
        <v>857</v>
      </c>
    </row>
    <row r="27" spans="1:21" s="227" customFormat="1" x14ac:dyDescent="0.2">
      <c r="A27" s="1407" t="s">
        <v>858</v>
      </c>
      <c r="B27" s="1407"/>
      <c r="C27" s="802" t="s">
        <v>859</v>
      </c>
    </row>
    <row r="28" spans="1:21" s="227" customFormat="1" x14ac:dyDescent="0.2">
      <c r="A28" s="1407" t="s">
        <v>860</v>
      </c>
      <c r="B28" s="1407"/>
      <c r="C28" s="802" t="s">
        <v>861</v>
      </c>
    </row>
    <row r="29" spans="1:21" s="227" customFormat="1" ht="11.45" customHeight="1" x14ac:dyDescent="0.2">
      <c r="A29" s="1407" t="s">
        <v>862</v>
      </c>
      <c r="B29" s="1407"/>
      <c r="C29" s="802" t="s">
        <v>863</v>
      </c>
    </row>
    <row r="30" spans="1:21" s="227" customFormat="1" x14ac:dyDescent="0.2">
      <c r="A30" s="1407" t="s">
        <v>864</v>
      </c>
      <c r="B30" s="1407"/>
      <c r="C30" s="802" t="s">
        <v>865</v>
      </c>
    </row>
    <row r="31" spans="1:21" s="227" customFormat="1" ht="12" customHeight="1" x14ac:dyDescent="0.2">
      <c r="A31" s="1407" t="s">
        <v>866</v>
      </c>
      <c r="B31" s="1407"/>
      <c r="C31" s="802" t="s">
        <v>865</v>
      </c>
    </row>
    <row r="32" spans="1:21" s="227" customFormat="1" x14ac:dyDescent="0.2">
      <c r="A32" s="1407" t="s">
        <v>867</v>
      </c>
      <c r="B32" s="1407"/>
      <c r="C32" s="802" t="s">
        <v>868</v>
      </c>
    </row>
    <row r="33" spans="1:25" s="227" customFormat="1" x14ac:dyDescent="0.2">
      <c r="A33" s="1407" t="s">
        <v>869</v>
      </c>
      <c r="B33" s="1407"/>
      <c r="C33" s="802" t="s">
        <v>865</v>
      </c>
    </row>
    <row r="34" spans="1:25" s="227" customFormat="1" x14ac:dyDescent="0.2">
      <c r="A34" s="1407" t="s">
        <v>870</v>
      </c>
      <c r="B34" s="1407"/>
      <c r="C34" s="802" t="s">
        <v>853</v>
      </c>
    </row>
    <row r="35" spans="1:25" s="227" customFormat="1" x14ac:dyDescent="0.2">
      <c r="A35" s="1407" t="s">
        <v>871</v>
      </c>
      <c r="B35" s="1407"/>
      <c r="C35" s="802" t="s">
        <v>872</v>
      </c>
    </row>
    <row r="36" spans="1:25" s="227" customFormat="1" x14ac:dyDescent="0.2">
      <c r="A36" s="1407" t="s">
        <v>873</v>
      </c>
      <c r="B36" s="1407"/>
      <c r="C36" s="802" t="s">
        <v>872</v>
      </c>
    </row>
    <row r="37" spans="1:25" s="2" customFormat="1" x14ac:dyDescent="0.2">
      <c r="A37" s="113"/>
      <c r="B37" s="99"/>
      <c r="C37" s="99"/>
      <c r="D37" s="99"/>
      <c r="E37" s="99"/>
      <c r="F37" s="99"/>
      <c r="G37" s="99"/>
      <c r="H37" s="99"/>
      <c r="I37" s="113"/>
      <c r="J37" s="113"/>
      <c r="K37" s="113"/>
      <c r="L37" s="113"/>
      <c r="M37" s="113"/>
      <c r="N37" s="113"/>
      <c r="O37" s="113"/>
      <c r="R37" s="113"/>
      <c r="S37" s="113"/>
      <c r="T37" s="146"/>
      <c r="U37" s="146"/>
    </row>
    <row r="38" spans="1:25" x14ac:dyDescent="0.2">
      <c r="A38" s="102"/>
      <c r="B38" s="97"/>
      <c r="C38" s="97"/>
      <c r="D38" s="97"/>
      <c r="E38" s="97"/>
      <c r="F38" s="97"/>
      <c r="G38" s="97"/>
      <c r="H38" s="97"/>
      <c r="I38" s="113"/>
      <c r="J38" s="113"/>
      <c r="K38" s="113"/>
      <c r="L38" s="113"/>
      <c r="M38" s="113"/>
      <c r="N38" s="113"/>
      <c r="O38" s="113"/>
      <c r="R38" s="113"/>
      <c r="S38" s="113"/>
      <c r="T38" s="146"/>
      <c r="U38" s="146"/>
    </row>
    <row r="39" spans="1:25" ht="15.75" x14ac:dyDescent="0.2">
      <c r="A39" s="103" t="s">
        <v>874</v>
      </c>
      <c r="B39" s="97"/>
      <c r="C39" s="97"/>
      <c r="D39" s="97"/>
      <c r="E39" s="97"/>
      <c r="F39" s="97"/>
      <c r="G39" s="97"/>
      <c r="H39" s="97"/>
      <c r="I39" s="113"/>
      <c r="J39" s="113"/>
      <c r="K39" s="113"/>
      <c r="L39" s="113"/>
      <c r="M39" s="113"/>
      <c r="N39" s="113"/>
      <c r="O39" s="113"/>
      <c r="R39" s="113"/>
      <c r="S39" s="113"/>
      <c r="T39" s="146"/>
      <c r="U39" s="146"/>
    </row>
    <row r="40" spans="1:25" ht="89.25" x14ac:dyDescent="0.2">
      <c r="A40" s="211" t="s">
        <v>0</v>
      </c>
      <c r="B40" s="212" t="s">
        <v>1</v>
      </c>
      <c r="C40" s="212" t="s">
        <v>133</v>
      </c>
      <c r="D40" s="212" t="s">
        <v>199</v>
      </c>
      <c r="E40" s="212" t="s">
        <v>135</v>
      </c>
      <c r="F40" s="212" t="s">
        <v>200</v>
      </c>
      <c r="G40" s="212" t="s">
        <v>137</v>
      </c>
      <c r="H40" s="212" t="s">
        <v>201</v>
      </c>
      <c r="I40" s="104" t="s">
        <v>8</v>
      </c>
      <c r="J40" s="104" t="s">
        <v>9</v>
      </c>
      <c r="K40" s="104" t="s">
        <v>107</v>
      </c>
      <c r="L40" s="104" t="s">
        <v>14</v>
      </c>
      <c r="M40" s="104" t="s">
        <v>12</v>
      </c>
      <c r="N40" s="104" t="s">
        <v>1058</v>
      </c>
      <c r="O40" s="104" t="s">
        <v>100</v>
      </c>
      <c r="P40" s="6" t="s">
        <v>105</v>
      </c>
      <c r="Q40" s="6" t="s">
        <v>106</v>
      </c>
      <c r="R40" s="104" t="s">
        <v>70</v>
      </c>
      <c r="S40" s="104" t="s">
        <v>71</v>
      </c>
      <c r="T40" s="147" t="s">
        <v>80</v>
      </c>
      <c r="U40" s="147" t="s">
        <v>81</v>
      </c>
      <c r="V40" s="5" t="s">
        <v>101</v>
      </c>
      <c r="W40" s="5" t="s">
        <v>102</v>
      </c>
      <c r="X40" s="112" t="s">
        <v>103</v>
      </c>
      <c r="Y40" s="112" t="s">
        <v>104</v>
      </c>
    </row>
    <row r="41" spans="1:25" x14ac:dyDescent="0.2">
      <c r="A41" s="213" t="str">
        <f>A164</f>
        <v>VSL</v>
      </c>
      <c r="B41" s="213" t="str">
        <f>B164</f>
        <v>D248209</v>
      </c>
      <c r="C41" s="219">
        <f>C164*10000</f>
        <v>109716</v>
      </c>
      <c r="D41" s="219">
        <f>F164*10000</f>
        <v>56.6</v>
      </c>
      <c r="E41" s="219">
        <f t="shared" ref="E41" si="0">G164*10000</f>
        <v>109710</v>
      </c>
      <c r="F41" s="219">
        <f>H164/I164*10000</f>
        <v>85</v>
      </c>
      <c r="G41" s="219">
        <f>J164*10000</f>
        <v>-5.9999999999999991</v>
      </c>
      <c r="H41" s="219">
        <f>M164*10000</f>
        <v>204.00000000000003</v>
      </c>
      <c r="I41" s="155">
        <f t="shared" ref="I41:I48" si="1">IF(ABS(G41)&gt;ABS(H41), 1, 0)</f>
        <v>0</v>
      </c>
      <c r="J41" s="155">
        <f t="shared" ref="J41:J48" si="2">I41*ABS(C41-E41)</f>
        <v>0</v>
      </c>
      <c r="K41" s="155">
        <f t="shared" ref="K41:K48" si="3">SQRT(SUMSQ(F41,J41))*2</f>
        <v>170</v>
      </c>
      <c r="L41" s="155">
        <f t="shared" ref="L41:L48" si="4">IF(C41&lt;$K$2, C41, $K$1)</f>
        <v>10</v>
      </c>
      <c r="M41" s="156">
        <f t="shared" ref="M41:M48" si="5">IF(AND(C41&lt;$K$1,C41&gt; $K$2), K41/L41*100, K41/C41*100)</f>
        <v>0.15494549564329724</v>
      </c>
      <c r="N41" s="157">
        <f t="shared" ref="N41:N48" si="6">M41*L41/100</f>
        <v>1.5494549564329723E-2</v>
      </c>
      <c r="O41" s="155">
        <f t="shared" ref="O41:O48" si="7">N41/(M41*L41/100)*100</f>
        <v>100</v>
      </c>
      <c r="P41" s="250">
        <v>1</v>
      </c>
      <c r="Q41" s="250">
        <v>1000</v>
      </c>
      <c r="R41" s="148">
        <f>IF( IF(P41&lt;L41, M41*L41/P41, M41)&gt;100, "ERROR",  IF(P41&lt;L41, M41*L41/P41, M41))</f>
        <v>1.5494549564329723</v>
      </c>
      <c r="S41" s="148">
        <f>IF(IF(Q41&lt;L41, M41*L41/Q41, M41)&gt;100, "ERROR", IF(Q41&lt;L41, M41*L41/Q41, M41))</f>
        <v>0.15494549564329724</v>
      </c>
      <c r="T41" s="148">
        <f>R41*P41*0.01</f>
        <v>1.5494549564329723E-2</v>
      </c>
      <c r="U41" s="148">
        <f>S41*Q41*0.01</f>
        <v>1.5494549564329725</v>
      </c>
      <c r="V41" s="7">
        <f>P41*1000</f>
        <v>1000</v>
      </c>
      <c r="W41" s="7">
        <f>Q41*1000</f>
        <v>1000000</v>
      </c>
      <c r="X41" s="1345">
        <f>T41*1000</f>
        <v>15.494549564329724</v>
      </c>
      <c r="Y41" s="1345">
        <f>U41*1000</f>
        <v>1549.4549564329725</v>
      </c>
    </row>
    <row r="42" spans="1:25" x14ac:dyDescent="0.2">
      <c r="A42" s="213" t="str">
        <f t="shared" ref="A42:B42" si="8">A165</f>
        <v>BAM</v>
      </c>
      <c r="B42" s="213" t="str">
        <f t="shared" si="8"/>
        <v>D248163</v>
      </c>
      <c r="C42" s="219">
        <f t="shared" ref="C42:C48" si="9">C165*10000</f>
        <v>109564</v>
      </c>
      <c r="D42" s="219">
        <f t="shared" ref="D42:D48" si="10">F165*10000</f>
        <v>56.6</v>
      </c>
      <c r="E42" s="219">
        <f t="shared" ref="E42:E48" si="11">G165*10000</f>
        <v>111010.00000000001</v>
      </c>
      <c r="F42" s="219">
        <f t="shared" ref="F42:F48" si="12">H165/I165*10000</f>
        <v>2595</v>
      </c>
      <c r="G42" s="219">
        <f t="shared" ref="G42:G48" si="13">J165*10000</f>
        <v>1446</v>
      </c>
      <c r="H42" s="219">
        <f t="shared" ref="H42:H48" si="14">M165*10000</f>
        <v>5191</v>
      </c>
      <c r="I42" s="155">
        <f t="shared" si="1"/>
        <v>0</v>
      </c>
      <c r="J42" s="155">
        <f t="shared" si="2"/>
        <v>0</v>
      </c>
      <c r="K42" s="155">
        <f t="shared" si="3"/>
        <v>5190</v>
      </c>
      <c r="L42" s="155">
        <f t="shared" si="4"/>
        <v>10</v>
      </c>
      <c r="M42" s="156">
        <f t="shared" si="5"/>
        <v>4.7369573947647039</v>
      </c>
      <c r="N42" s="157">
        <f t="shared" si="6"/>
        <v>0.47369573947647042</v>
      </c>
      <c r="O42" s="155">
        <f t="shared" si="7"/>
        <v>100</v>
      </c>
      <c r="P42" s="250">
        <v>1</v>
      </c>
      <c r="Q42" s="250">
        <v>1000</v>
      </c>
      <c r="R42" s="148">
        <f t="shared" ref="R42:R48" si="15">IF( IF(P42&lt;L42, M42*L42/P42, M42)&gt;100, "ERROR",  IF(P42&lt;L42, M42*L42/P42, M42))</f>
        <v>47.369573947647041</v>
      </c>
      <c r="S42" s="148">
        <f t="shared" ref="S42:S48" si="16">IF(IF(Q42&lt;L42, M42*L42/Q42, M42)&gt;100, "ERROR", IF(Q42&lt;L42, M42*L42/Q42, M42))</f>
        <v>4.7369573947647039</v>
      </c>
      <c r="T42" s="148">
        <f t="shared" ref="T42:U48" si="17">R42*P42*0.01</f>
        <v>0.47369573947647042</v>
      </c>
      <c r="U42" s="148">
        <f t="shared" si="17"/>
        <v>47.369573947647041</v>
      </c>
      <c r="V42" s="7">
        <f t="shared" ref="V42:W48" si="18">P42*1000</f>
        <v>1000</v>
      </c>
      <c r="W42" s="7">
        <f t="shared" si="18"/>
        <v>1000000</v>
      </c>
      <c r="X42" s="1345">
        <f t="shared" ref="X42:Y48" si="19">T42*1000</f>
        <v>473.69573947647041</v>
      </c>
      <c r="Y42" s="1345">
        <f t="shared" si="19"/>
        <v>47369.573947647041</v>
      </c>
    </row>
    <row r="43" spans="1:25" x14ac:dyDescent="0.2">
      <c r="A43" s="213" t="str">
        <f t="shared" ref="A43:B43" si="20">A166</f>
        <v>MKEH</v>
      </c>
      <c r="B43" s="213" t="str">
        <f t="shared" si="20"/>
        <v>D248168</v>
      </c>
      <c r="C43" s="219">
        <f t="shared" si="9"/>
        <v>108427</v>
      </c>
      <c r="D43" s="219">
        <f t="shared" si="10"/>
        <v>56</v>
      </c>
      <c r="E43" s="219">
        <f t="shared" si="11"/>
        <v>107910.2</v>
      </c>
      <c r="F43" s="219">
        <f t="shared" si="12"/>
        <v>175.00000000000003</v>
      </c>
      <c r="G43" s="219">
        <f t="shared" si="13"/>
        <v>-517</v>
      </c>
      <c r="H43" s="219">
        <f t="shared" si="14"/>
        <v>367.00000000000006</v>
      </c>
      <c r="I43" s="155">
        <f t="shared" si="1"/>
        <v>1</v>
      </c>
      <c r="J43" s="155">
        <f t="shared" si="2"/>
        <v>516.80000000000291</v>
      </c>
      <c r="K43" s="155">
        <f t="shared" si="3"/>
        <v>1091.2510985103347</v>
      </c>
      <c r="L43" s="155">
        <f t="shared" si="4"/>
        <v>10</v>
      </c>
      <c r="M43" s="156">
        <f t="shared" si="5"/>
        <v>1.0064385240856379</v>
      </c>
      <c r="N43" s="157">
        <f t="shared" si="6"/>
        <v>0.1006438524085638</v>
      </c>
      <c r="O43" s="155">
        <f t="shared" si="7"/>
        <v>100</v>
      </c>
      <c r="P43" s="250">
        <v>1</v>
      </c>
      <c r="Q43" s="250">
        <v>1000</v>
      </c>
      <c r="R43" s="148">
        <f t="shared" si="15"/>
        <v>10.06438524085638</v>
      </c>
      <c r="S43" s="148">
        <f t="shared" si="16"/>
        <v>1.0064385240856379</v>
      </c>
      <c r="T43" s="148">
        <f t="shared" si="17"/>
        <v>0.1006438524085638</v>
      </c>
      <c r="U43" s="148">
        <f t="shared" si="17"/>
        <v>10.06438524085638</v>
      </c>
      <c r="V43" s="7">
        <f t="shared" si="18"/>
        <v>1000</v>
      </c>
      <c r="W43" s="7">
        <f t="shared" si="18"/>
        <v>1000000</v>
      </c>
      <c r="X43" s="1345">
        <f t="shared" si="19"/>
        <v>100.6438524085638</v>
      </c>
      <c r="Y43" s="1345">
        <f t="shared" si="19"/>
        <v>10064.38524085638</v>
      </c>
    </row>
    <row r="44" spans="1:25" x14ac:dyDescent="0.2">
      <c r="A44" s="213" t="str">
        <f t="shared" ref="A44:B44" si="21">A167</f>
        <v>KRISS</v>
      </c>
      <c r="B44" s="213" t="str">
        <f t="shared" si="21"/>
        <v>D248205</v>
      </c>
      <c r="C44" s="219">
        <f t="shared" si="9"/>
        <v>108850</v>
      </c>
      <c r="D44" s="219">
        <f t="shared" si="10"/>
        <v>56</v>
      </c>
      <c r="E44" s="219">
        <f t="shared" si="11"/>
        <v>108400</v>
      </c>
      <c r="F44" s="219">
        <f t="shared" si="12"/>
        <v>185</v>
      </c>
      <c r="G44" s="219">
        <f t="shared" si="13"/>
        <v>-450</v>
      </c>
      <c r="H44" s="219">
        <f t="shared" si="14"/>
        <v>387</v>
      </c>
      <c r="I44" s="155">
        <f t="shared" si="1"/>
        <v>1</v>
      </c>
      <c r="J44" s="155">
        <f t="shared" si="2"/>
        <v>450</v>
      </c>
      <c r="K44" s="155">
        <f t="shared" si="3"/>
        <v>973.08786859152656</v>
      </c>
      <c r="L44" s="155">
        <f t="shared" si="4"/>
        <v>10</v>
      </c>
      <c r="M44" s="156">
        <f t="shared" si="5"/>
        <v>0.89397139971660688</v>
      </c>
      <c r="N44" s="157">
        <f t="shared" si="6"/>
        <v>8.9397139971660683E-2</v>
      </c>
      <c r="O44" s="155">
        <f t="shared" si="7"/>
        <v>100</v>
      </c>
      <c r="P44" s="250">
        <v>1</v>
      </c>
      <c r="Q44" s="250">
        <v>1000</v>
      </c>
      <c r="R44" s="148">
        <f t="shared" si="15"/>
        <v>8.9397139971660682</v>
      </c>
      <c r="S44" s="148">
        <f t="shared" si="16"/>
        <v>0.89397139971660688</v>
      </c>
      <c r="T44" s="148">
        <f t="shared" si="17"/>
        <v>8.9397139971660683E-2</v>
      </c>
      <c r="U44" s="148">
        <f t="shared" si="17"/>
        <v>8.93971399716607</v>
      </c>
      <c r="V44" s="7">
        <f t="shared" si="18"/>
        <v>1000</v>
      </c>
      <c r="W44" s="7">
        <f t="shared" si="18"/>
        <v>1000000</v>
      </c>
      <c r="X44" s="1345">
        <f t="shared" si="19"/>
        <v>89.397139971660678</v>
      </c>
      <c r="Y44" s="1345">
        <f t="shared" si="19"/>
        <v>8939.7139971660708</v>
      </c>
    </row>
    <row r="45" spans="1:25" x14ac:dyDescent="0.2">
      <c r="A45" s="213" t="str">
        <f t="shared" ref="A45:B45" si="22">A168</f>
        <v>NIM</v>
      </c>
      <c r="B45" s="213" t="str">
        <f t="shared" si="22"/>
        <v>D248188</v>
      </c>
      <c r="C45" s="219">
        <f t="shared" si="9"/>
        <v>109457</v>
      </c>
      <c r="D45" s="219">
        <f t="shared" si="10"/>
        <v>56.2</v>
      </c>
      <c r="E45" s="219">
        <f t="shared" si="11"/>
        <v>109483</v>
      </c>
      <c r="F45" s="219">
        <f t="shared" si="12"/>
        <v>219</v>
      </c>
      <c r="G45" s="219">
        <f t="shared" si="13"/>
        <v>26</v>
      </c>
      <c r="H45" s="219">
        <f t="shared" si="14"/>
        <v>451.99999999999994</v>
      </c>
      <c r="I45" s="155">
        <f t="shared" si="1"/>
        <v>0</v>
      </c>
      <c r="J45" s="155">
        <f t="shared" si="2"/>
        <v>0</v>
      </c>
      <c r="K45" s="155">
        <f t="shared" si="3"/>
        <v>438</v>
      </c>
      <c r="L45" s="155">
        <f t="shared" si="4"/>
        <v>10</v>
      </c>
      <c r="M45" s="156">
        <f t="shared" si="5"/>
        <v>0.40015713933325414</v>
      </c>
      <c r="N45" s="157">
        <f t="shared" si="6"/>
        <v>4.0015713933325418E-2</v>
      </c>
      <c r="O45" s="155">
        <f t="shared" si="7"/>
        <v>100</v>
      </c>
      <c r="P45" s="250">
        <v>1</v>
      </c>
      <c r="Q45" s="250">
        <v>1000</v>
      </c>
      <c r="R45" s="148">
        <f t="shared" si="15"/>
        <v>4.0015713933325419</v>
      </c>
      <c r="S45" s="148">
        <f t="shared" si="16"/>
        <v>0.40015713933325414</v>
      </c>
      <c r="T45" s="148">
        <f t="shared" si="17"/>
        <v>4.0015713933325418E-2</v>
      </c>
      <c r="U45" s="148">
        <f t="shared" si="17"/>
        <v>4.001571393332541</v>
      </c>
      <c r="V45" s="7">
        <f t="shared" si="18"/>
        <v>1000</v>
      </c>
      <c r="W45" s="7">
        <f t="shared" si="18"/>
        <v>1000000</v>
      </c>
      <c r="X45" s="1345">
        <f t="shared" si="19"/>
        <v>40.015713933325415</v>
      </c>
      <c r="Y45" s="1345">
        <f t="shared" si="19"/>
        <v>4001.571393332541</v>
      </c>
    </row>
    <row r="46" spans="1:25" x14ac:dyDescent="0.2">
      <c r="A46" s="213" t="str">
        <f t="shared" ref="A46:B46" si="23">A169</f>
        <v>NPL</v>
      </c>
      <c r="B46" s="213" t="str">
        <f t="shared" si="23"/>
        <v>D248159</v>
      </c>
      <c r="C46" s="219">
        <f t="shared" si="9"/>
        <v>109705.99999999999</v>
      </c>
      <c r="D46" s="219">
        <f t="shared" si="10"/>
        <v>56.1</v>
      </c>
      <c r="E46" s="219">
        <f t="shared" si="11"/>
        <v>109700</v>
      </c>
      <c r="F46" s="219">
        <f t="shared" si="12"/>
        <v>80</v>
      </c>
      <c r="G46" s="219">
        <f t="shared" si="13"/>
        <v>-5.9999999999999991</v>
      </c>
      <c r="H46" s="219">
        <f t="shared" si="14"/>
        <v>195</v>
      </c>
      <c r="I46" s="155">
        <f t="shared" si="1"/>
        <v>0</v>
      </c>
      <c r="J46" s="155">
        <f t="shared" si="2"/>
        <v>0</v>
      </c>
      <c r="K46" s="155">
        <f t="shared" si="3"/>
        <v>160</v>
      </c>
      <c r="L46" s="155">
        <f t="shared" si="4"/>
        <v>10</v>
      </c>
      <c r="M46" s="156">
        <f t="shared" si="5"/>
        <v>0.14584434762000256</v>
      </c>
      <c r="N46" s="157">
        <f t="shared" si="6"/>
        <v>1.4584434762000255E-2</v>
      </c>
      <c r="O46" s="155">
        <f t="shared" si="7"/>
        <v>100</v>
      </c>
      <c r="P46" s="250">
        <v>1</v>
      </c>
      <c r="Q46" s="250">
        <v>1000</v>
      </c>
      <c r="R46" s="148">
        <f t="shared" si="15"/>
        <v>1.4584434762000256</v>
      </c>
      <c r="S46" s="148">
        <f t="shared" si="16"/>
        <v>0.14584434762000256</v>
      </c>
      <c r="T46" s="148">
        <f t="shared" si="17"/>
        <v>1.4584434762000257E-2</v>
      </c>
      <c r="U46" s="148">
        <f t="shared" si="17"/>
        <v>1.4584434762000258</v>
      </c>
      <c r="V46" s="7">
        <f t="shared" si="18"/>
        <v>1000</v>
      </c>
      <c r="W46" s="7">
        <f t="shared" si="18"/>
        <v>1000000</v>
      </c>
      <c r="X46" s="1345">
        <f t="shared" si="19"/>
        <v>14.584434762000257</v>
      </c>
      <c r="Y46" s="1345">
        <f t="shared" si="19"/>
        <v>1458.4434762000258</v>
      </c>
    </row>
    <row r="47" spans="1:25" x14ac:dyDescent="0.2">
      <c r="A47" s="213" t="str">
        <f t="shared" ref="A47:B47" si="24">A170</f>
        <v>SMU</v>
      </c>
      <c r="B47" s="213" t="str">
        <f t="shared" si="24"/>
        <v>D248206</v>
      </c>
      <c r="C47" s="219">
        <f t="shared" si="9"/>
        <v>109749</v>
      </c>
      <c r="D47" s="219">
        <f t="shared" si="10"/>
        <v>56.6</v>
      </c>
      <c r="E47" s="219">
        <f t="shared" si="11"/>
        <v>110120</v>
      </c>
      <c r="F47" s="219">
        <f t="shared" si="12"/>
        <v>210</v>
      </c>
      <c r="G47" s="219">
        <f t="shared" si="13"/>
        <v>371</v>
      </c>
      <c r="H47" s="219">
        <f t="shared" si="14"/>
        <v>434.99999999999994</v>
      </c>
      <c r="I47" s="155">
        <f t="shared" si="1"/>
        <v>0</v>
      </c>
      <c r="J47" s="155">
        <f t="shared" si="2"/>
        <v>0</v>
      </c>
      <c r="K47" s="155">
        <f t="shared" si="3"/>
        <v>420</v>
      </c>
      <c r="L47" s="155">
        <f t="shared" si="4"/>
        <v>10</v>
      </c>
      <c r="M47" s="156">
        <f t="shared" si="5"/>
        <v>0.38269141404477486</v>
      </c>
      <c r="N47" s="157">
        <f t="shared" si="6"/>
        <v>3.8269141404477486E-2</v>
      </c>
      <c r="O47" s="155">
        <f t="shared" si="7"/>
        <v>100</v>
      </c>
      <c r="P47" s="250">
        <v>1</v>
      </c>
      <c r="Q47" s="250">
        <v>1000</v>
      </c>
      <c r="R47" s="148">
        <f t="shared" si="15"/>
        <v>3.8269141404477485</v>
      </c>
      <c r="S47" s="148">
        <f t="shared" si="16"/>
        <v>0.38269141404477486</v>
      </c>
      <c r="T47" s="148">
        <f t="shared" si="17"/>
        <v>3.8269141404477486E-2</v>
      </c>
      <c r="U47" s="148">
        <f t="shared" si="17"/>
        <v>3.8269141404477485</v>
      </c>
      <c r="V47" s="7">
        <f t="shared" si="18"/>
        <v>1000</v>
      </c>
      <c r="W47" s="7">
        <f t="shared" si="18"/>
        <v>1000000</v>
      </c>
      <c r="X47" s="1345">
        <f t="shared" si="19"/>
        <v>38.269141404477487</v>
      </c>
      <c r="Y47" s="1345">
        <f t="shared" si="19"/>
        <v>3826.9141404477487</v>
      </c>
    </row>
    <row r="48" spans="1:25" x14ac:dyDescent="0.2">
      <c r="A48" s="213" t="str">
        <f t="shared" ref="A48:B48" si="25">A171</f>
        <v>VNIIM</v>
      </c>
      <c r="B48" s="213" t="str">
        <f t="shared" si="25"/>
        <v>D248176</v>
      </c>
      <c r="C48" s="219">
        <f t="shared" si="9"/>
        <v>108877</v>
      </c>
      <c r="D48" s="219">
        <f t="shared" si="10"/>
        <v>56</v>
      </c>
      <c r="E48" s="219">
        <f t="shared" si="11"/>
        <v>108880</v>
      </c>
      <c r="F48" s="219">
        <f t="shared" si="12"/>
        <v>150</v>
      </c>
      <c r="G48" s="219">
        <f t="shared" si="13"/>
        <v>2.9999999999999996</v>
      </c>
      <c r="H48" s="219">
        <f t="shared" si="14"/>
        <v>320</v>
      </c>
      <c r="I48" s="155">
        <f t="shared" si="1"/>
        <v>0</v>
      </c>
      <c r="J48" s="155">
        <f t="shared" si="2"/>
        <v>0</v>
      </c>
      <c r="K48" s="155">
        <f t="shared" si="3"/>
        <v>300</v>
      </c>
      <c r="L48" s="155">
        <f t="shared" si="4"/>
        <v>10</v>
      </c>
      <c r="M48" s="156">
        <f t="shared" si="5"/>
        <v>0.27554028858252894</v>
      </c>
      <c r="N48" s="157">
        <f t="shared" si="6"/>
        <v>2.7554028858252894E-2</v>
      </c>
      <c r="O48" s="155">
        <f t="shared" si="7"/>
        <v>100</v>
      </c>
      <c r="P48" s="250">
        <v>1</v>
      </c>
      <c r="Q48" s="250">
        <v>1000</v>
      </c>
      <c r="R48" s="148">
        <f t="shared" si="15"/>
        <v>2.7554028858252892</v>
      </c>
      <c r="S48" s="148">
        <f t="shared" si="16"/>
        <v>0.27554028858252894</v>
      </c>
      <c r="T48" s="148">
        <f t="shared" si="17"/>
        <v>2.7554028858252894E-2</v>
      </c>
      <c r="U48" s="148">
        <f t="shared" si="17"/>
        <v>2.7554028858252897</v>
      </c>
      <c r="V48" s="7">
        <f t="shared" si="18"/>
        <v>1000</v>
      </c>
      <c r="W48" s="7">
        <f t="shared" si="18"/>
        <v>1000000</v>
      </c>
      <c r="X48" s="1345">
        <f t="shared" si="19"/>
        <v>27.554028858252895</v>
      </c>
      <c r="Y48" s="1345">
        <f t="shared" si="19"/>
        <v>2755.4028858252896</v>
      </c>
    </row>
    <row r="49" spans="1:26" ht="14.25" x14ac:dyDescent="0.2">
      <c r="H49" s="9"/>
      <c r="U49" s="152"/>
      <c r="V49" s="21"/>
      <c r="W49" s="21"/>
      <c r="X49" s="21"/>
      <c r="Y49" s="21"/>
      <c r="Z49" s="21"/>
    </row>
    <row r="50" spans="1:26" ht="15.75" x14ac:dyDescent="0.2">
      <c r="A50" s="103" t="s">
        <v>875</v>
      </c>
      <c r="B50" s="97"/>
      <c r="C50" s="97"/>
      <c r="D50" s="97"/>
      <c r="E50" s="97"/>
      <c r="F50" s="97"/>
      <c r="G50" s="97"/>
      <c r="H50" s="97"/>
      <c r="I50" s="113"/>
      <c r="J50" s="113"/>
      <c r="K50" s="113"/>
      <c r="L50" s="113"/>
      <c r="M50" s="113"/>
      <c r="N50" s="113"/>
      <c r="O50" s="113"/>
      <c r="R50" s="113"/>
      <c r="S50" s="113"/>
      <c r="T50" s="146"/>
      <c r="U50" s="146"/>
    </row>
    <row r="51" spans="1:26" ht="89.25" x14ac:dyDescent="0.2">
      <c r="A51" s="211" t="s">
        <v>0</v>
      </c>
      <c r="B51" s="212" t="s">
        <v>1</v>
      </c>
      <c r="C51" s="212" t="s">
        <v>133</v>
      </c>
      <c r="D51" s="212" t="s">
        <v>199</v>
      </c>
      <c r="E51" s="212" t="s">
        <v>135</v>
      </c>
      <c r="F51" s="212" t="s">
        <v>200</v>
      </c>
      <c r="G51" s="212" t="s">
        <v>137</v>
      </c>
      <c r="H51" s="212" t="s">
        <v>201</v>
      </c>
      <c r="I51" s="104" t="s">
        <v>8</v>
      </c>
      <c r="J51" s="104" t="s">
        <v>9</v>
      </c>
      <c r="K51" s="104" t="s">
        <v>107</v>
      </c>
      <c r="L51" s="104" t="s">
        <v>14</v>
      </c>
      <c r="M51" s="104" t="s">
        <v>12</v>
      </c>
      <c r="N51" s="104" t="s">
        <v>1058</v>
      </c>
      <c r="O51" s="104" t="s">
        <v>100</v>
      </c>
      <c r="P51" s="6" t="s">
        <v>105</v>
      </c>
      <c r="Q51" s="6" t="s">
        <v>106</v>
      </c>
      <c r="R51" s="104" t="s">
        <v>70</v>
      </c>
      <c r="S51" s="104" t="s">
        <v>71</v>
      </c>
      <c r="T51" s="147" t="s">
        <v>80</v>
      </c>
      <c r="U51" s="147" t="s">
        <v>81</v>
      </c>
      <c r="V51" s="5" t="s">
        <v>101</v>
      </c>
      <c r="W51" s="5" t="s">
        <v>102</v>
      </c>
      <c r="X51" s="112" t="s">
        <v>103</v>
      </c>
      <c r="Y51" s="112" t="s">
        <v>104</v>
      </c>
    </row>
    <row r="52" spans="1:26" x14ac:dyDescent="0.2">
      <c r="A52" s="213" t="str">
        <f>A175</f>
        <v>VSL</v>
      </c>
      <c r="B52" s="213" t="str">
        <f>B175</f>
        <v>D248209</v>
      </c>
      <c r="C52" s="219">
        <f>C175*10000</f>
        <v>140045</v>
      </c>
      <c r="D52" s="219">
        <f>F175*10000</f>
        <v>68.8</v>
      </c>
      <c r="E52" s="219">
        <f t="shared" ref="E52:E59" si="26">G175*10000</f>
        <v>140000</v>
      </c>
      <c r="F52" s="219">
        <f>H175/I175*10000</f>
        <v>200</v>
      </c>
      <c r="G52" s="219">
        <f>J175*10000</f>
        <v>-80</v>
      </c>
      <c r="H52" s="219">
        <f>M175*10000</f>
        <v>423</v>
      </c>
      <c r="I52" s="155">
        <f t="shared" ref="I52:I59" si="27">IF(ABS(G52)&gt;ABS(H52), 1, 0)</f>
        <v>0</v>
      </c>
      <c r="J52" s="155">
        <f t="shared" ref="J52:J59" si="28">I52*ABS(C52-E52)</f>
        <v>0</v>
      </c>
      <c r="K52" s="155">
        <f t="shared" ref="K52:K59" si="29">SQRT(SUMSQ(F52,J52))*2</f>
        <v>400</v>
      </c>
      <c r="L52" s="155">
        <f t="shared" ref="L52:L59" si="30">IF(C52&lt;$K$2, C52, $K$1)</f>
        <v>10</v>
      </c>
      <c r="M52" s="156">
        <f t="shared" ref="M52:M59" si="31">IF(AND(C52&lt;$K$1,C52&gt; $K$2), K52/L52*100, K52/C52*100)</f>
        <v>0.28562247848905709</v>
      </c>
      <c r="N52" s="157">
        <f t="shared" ref="N52:N59" si="32">M52*L52/100</f>
        <v>2.8562247848905709E-2</v>
      </c>
      <c r="O52" s="155">
        <f t="shared" ref="O52:O59" si="33">N52/(M52*L52/100)*100</f>
        <v>100</v>
      </c>
      <c r="P52" s="250">
        <v>1</v>
      </c>
      <c r="Q52" s="250">
        <v>1000</v>
      </c>
      <c r="R52" s="148">
        <f t="shared" ref="R52:R59" si="34">IF( IF(P52&lt;L52, M52*L52/P52, M52)&gt;100, "ERROR",  IF(P52&lt;L52, M52*L52/P52, M52))</f>
        <v>2.8562247848905709</v>
      </c>
      <c r="S52" s="148">
        <f t="shared" ref="S52:S59" si="35">IF(IF(Q52&lt;L52, M52*L52/Q52, M52)&gt;100, "ERROR", IF(Q52&lt;L52, M52*L52/Q52, M52))</f>
        <v>0.28562247848905709</v>
      </c>
      <c r="T52" s="148">
        <f>R52*P52*0.01</f>
        <v>2.8562247848905709E-2</v>
      </c>
      <c r="U52" s="148">
        <f>S52*Q52*0.01</f>
        <v>2.8562247848905709</v>
      </c>
      <c r="V52" s="7">
        <f>P52*1000</f>
        <v>1000</v>
      </c>
      <c r="W52" s="7">
        <f>Q52*1000</f>
        <v>1000000</v>
      </c>
      <c r="X52" s="1345">
        <f>T52*1000</f>
        <v>28.562247848905709</v>
      </c>
      <c r="Y52" s="1345">
        <f>U52*1000</f>
        <v>2856.2247848905708</v>
      </c>
    </row>
    <row r="53" spans="1:26" x14ac:dyDescent="0.2">
      <c r="A53" s="213" t="str">
        <f t="shared" ref="A53:B53" si="36">A176</f>
        <v>BAM</v>
      </c>
      <c r="B53" s="213" t="str">
        <f t="shared" si="36"/>
        <v>D248163</v>
      </c>
      <c r="C53" s="219">
        <f t="shared" ref="C53:C59" si="37">C176*10000</f>
        <v>140045</v>
      </c>
      <c r="D53" s="219">
        <f t="shared" ref="D53:D59" si="38">F176*10000</f>
        <v>69.400000000000006</v>
      </c>
      <c r="E53" s="219">
        <f t="shared" si="26"/>
        <v>142000</v>
      </c>
      <c r="F53" s="219">
        <f t="shared" ref="F53:F59" si="39">H176/I176*10000</f>
        <v>1630</v>
      </c>
      <c r="G53" s="219">
        <f t="shared" ref="G53:G59" si="40">J176*10000</f>
        <v>1950</v>
      </c>
      <c r="H53" s="219">
        <f t="shared" ref="H53:H59" si="41">M176*10000</f>
        <v>3263</v>
      </c>
      <c r="I53" s="155">
        <f t="shared" si="27"/>
        <v>0</v>
      </c>
      <c r="J53" s="155">
        <f t="shared" si="28"/>
        <v>0</v>
      </c>
      <c r="K53" s="155">
        <f t="shared" si="29"/>
        <v>3260</v>
      </c>
      <c r="L53" s="155">
        <f t="shared" si="30"/>
        <v>10</v>
      </c>
      <c r="M53" s="156">
        <f t="shared" si="31"/>
        <v>2.327823199685815</v>
      </c>
      <c r="N53" s="157">
        <f t="shared" si="32"/>
        <v>0.23278231996858151</v>
      </c>
      <c r="O53" s="155">
        <f t="shared" si="33"/>
        <v>100</v>
      </c>
      <c r="P53" s="250">
        <v>1</v>
      </c>
      <c r="Q53" s="250">
        <v>1000</v>
      </c>
      <c r="R53" s="148">
        <f t="shared" si="34"/>
        <v>23.27823199685815</v>
      </c>
      <c r="S53" s="148">
        <f t="shared" si="35"/>
        <v>2.327823199685815</v>
      </c>
      <c r="T53" s="148">
        <f t="shared" ref="T53:T59" si="42">R53*P53*0.01</f>
        <v>0.23278231996858151</v>
      </c>
      <c r="U53" s="148">
        <f t="shared" ref="U53:U59" si="43">S53*Q53*0.01</f>
        <v>23.27823199685815</v>
      </c>
      <c r="V53" s="7">
        <f t="shared" ref="V53:V59" si="44">P53*1000</f>
        <v>1000</v>
      </c>
      <c r="W53" s="7">
        <f t="shared" ref="W53:W59" si="45">Q53*1000</f>
        <v>1000000</v>
      </c>
      <c r="X53" s="1345">
        <f t="shared" ref="X53:X59" si="46">T53*1000</f>
        <v>232.7823199685815</v>
      </c>
      <c r="Y53" s="1345">
        <f t="shared" ref="Y53:Y59" si="47">U53*1000</f>
        <v>23278.231996858151</v>
      </c>
    </row>
    <row r="54" spans="1:26" x14ac:dyDescent="0.2">
      <c r="A54" s="213" t="str">
        <f t="shared" ref="A54:B54" si="48">A177</f>
        <v>MKEH</v>
      </c>
      <c r="B54" s="213" t="str">
        <f t="shared" si="48"/>
        <v>D248168</v>
      </c>
      <c r="C54" s="219">
        <f t="shared" si="37"/>
        <v>140045</v>
      </c>
      <c r="D54" s="219">
        <f t="shared" si="38"/>
        <v>68.099999999999994</v>
      </c>
      <c r="E54" s="219">
        <f t="shared" si="26"/>
        <v>141411.4</v>
      </c>
      <c r="F54" s="219">
        <f t="shared" si="39"/>
        <v>230</v>
      </c>
      <c r="G54" s="219">
        <f t="shared" si="40"/>
        <v>1370</v>
      </c>
      <c r="H54" s="219">
        <f t="shared" si="41"/>
        <v>478</v>
      </c>
      <c r="I54" s="155">
        <f t="shared" si="27"/>
        <v>1</v>
      </c>
      <c r="J54" s="155">
        <f t="shared" si="28"/>
        <v>1366.3999999999942</v>
      </c>
      <c r="K54" s="155">
        <f t="shared" si="29"/>
        <v>2771.2444569182157</v>
      </c>
      <c r="L54" s="155">
        <f t="shared" si="30"/>
        <v>10</v>
      </c>
      <c r="M54" s="156">
        <f t="shared" si="31"/>
        <v>1.9788242757101042</v>
      </c>
      <c r="N54" s="157">
        <f t="shared" si="32"/>
        <v>0.19788242757101041</v>
      </c>
      <c r="O54" s="155">
        <f t="shared" si="33"/>
        <v>100</v>
      </c>
      <c r="P54" s="250">
        <v>1</v>
      </c>
      <c r="Q54" s="250">
        <v>1000</v>
      </c>
      <c r="R54" s="148">
        <f t="shared" si="34"/>
        <v>19.788242757101042</v>
      </c>
      <c r="S54" s="148">
        <f t="shared" si="35"/>
        <v>1.9788242757101042</v>
      </c>
      <c r="T54" s="148">
        <f t="shared" si="42"/>
        <v>0.19788242757101043</v>
      </c>
      <c r="U54" s="148">
        <f t="shared" si="43"/>
        <v>19.788242757101042</v>
      </c>
      <c r="V54" s="7">
        <f t="shared" si="44"/>
        <v>1000</v>
      </c>
      <c r="W54" s="7">
        <f t="shared" si="45"/>
        <v>1000000</v>
      </c>
      <c r="X54" s="1345">
        <f t="shared" si="46"/>
        <v>197.88242757101042</v>
      </c>
      <c r="Y54" s="1345">
        <f t="shared" si="47"/>
        <v>19788.242757101041</v>
      </c>
    </row>
    <row r="55" spans="1:26" x14ac:dyDescent="0.2">
      <c r="A55" s="213" t="str">
        <f t="shared" ref="A55:B55" si="49">A178</f>
        <v>KRISS</v>
      </c>
      <c r="B55" s="213" t="str">
        <f t="shared" si="49"/>
        <v>D248205</v>
      </c>
      <c r="C55" s="219">
        <f t="shared" si="37"/>
        <v>140045</v>
      </c>
      <c r="D55" s="219">
        <f t="shared" si="38"/>
        <v>68</v>
      </c>
      <c r="E55" s="219">
        <f t="shared" si="26"/>
        <v>137900</v>
      </c>
      <c r="F55" s="219">
        <f t="shared" si="39"/>
        <v>230</v>
      </c>
      <c r="G55" s="219">
        <f t="shared" si="40"/>
        <v>-2150</v>
      </c>
      <c r="H55" s="219">
        <f t="shared" si="41"/>
        <v>475</v>
      </c>
      <c r="I55" s="155">
        <f t="shared" si="27"/>
        <v>1</v>
      </c>
      <c r="J55" s="155">
        <f t="shared" si="28"/>
        <v>2145</v>
      </c>
      <c r="K55" s="155">
        <f t="shared" si="29"/>
        <v>4314.5915218013397</v>
      </c>
      <c r="L55" s="155">
        <f t="shared" si="30"/>
        <v>10</v>
      </c>
      <c r="M55" s="156">
        <f t="shared" si="31"/>
        <v>3.0808608103119282</v>
      </c>
      <c r="N55" s="157">
        <f t="shared" si="32"/>
        <v>0.30808608103119284</v>
      </c>
      <c r="O55" s="155">
        <f t="shared" si="33"/>
        <v>100</v>
      </c>
      <c r="P55" s="250">
        <v>1</v>
      </c>
      <c r="Q55" s="250">
        <v>1000</v>
      </c>
      <c r="R55" s="148">
        <f t="shared" si="34"/>
        <v>30.808608103119283</v>
      </c>
      <c r="S55" s="148">
        <f t="shared" si="35"/>
        <v>3.0808608103119282</v>
      </c>
      <c r="T55" s="148">
        <f t="shared" si="42"/>
        <v>0.30808608103119284</v>
      </c>
      <c r="U55" s="148">
        <f t="shared" si="43"/>
        <v>30.808608103119283</v>
      </c>
      <c r="V55" s="7">
        <f t="shared" si="44"/>
        <v>1000</v>
      </c>
      <c r="W55" s="7">
        <f t="shared" si="45"/>
        <v>1000000</v>
      </c>
      <c r="X55" s="1345">
        <f t="shared" si="46"/>
        <v>308.08608103119286</v>
      </c>
      <c r="Y55" s="1345">
        <f t="shared" si="47"/>
        <v>30808.608103119284</v>
      </c>
    </row>
    <row r="56" spans="1:26" x14ac:dyDescent="0.2">
      <c r="A56" s="213" t="str">
        <f t="shared" ref="A56:B56" si="50">A179</f>
        <v>NIM</v>
      </c>
      <c r="B56" s="213" t="str">
        <f t="shared" si="50"/>
        <v>D248188</v>
      </c>
      <c r="C56" s="219">
        <f t="shared" si="37"/>
        <v>140045</v>
      </c>
      <c r="D56" s="219">
        <f t="shared" si="38"/>
        <v>68.099999999999994</v>
      </c>
      <c r="E56" s="219">
        <f t="shared" si="26"/>
        <v>138875</v>
      </c>
      <c r="F56" s="219">
        <f t="shared" si="39"/>
        <v>277.5</v>
      </c>
      <c r="G56" s="219">
        <f t="shared" si="40"/>
        <v>-1170</v>
      </c>
      <c r="H56" s="219">
        <f t="shared" si="41"/>
        <v>571</v>
      </c>
      <c r="I56" s="155">
        <f t="shared" si="27"/>
        <v>1</v>
      </c>
      <c r="J56" s="155">
        <f t="shared" si="28"/>
        <v>1170</v>
      </c>
      <c r="K56" s="155">
        <f t="shared" si="29"/>
        <v>2404.9168384790355</v>
      </c>
      <c r="L56" s="155">
        <f t="shared" si="30"/>
        <v>10</v>
      </c>
      <c r="M56" s="156">
        <f t="shared" si="31"/>
        <v>1.7172457699161239</v>
      </c>
      <c r="N56" s="157">
        <f t="shared" si="32"/>
        <v>0.17172457699161239</v>
      </c>
      <c r="O56" s="155">
        <f t="shared" si="33"/>
        <v>100</v>
      </c>
      <c r="P56" s="250">
        <v>1</v>
      </c>
      <c r="Q56" s="250">
        <v>1000</v>
      </c>
      <c r="R56" s="148">
        <f t="shared" si="34"/>
        <v>17.172457699161239</v>
      </c>
      <c r="S56" s="148">
        <f t="shared" si="35"/>
        <v>1.7172457699161239</v>
      </c>
      <c r="T56" s="148">
        <f t="shared" si="42"/>
        <v>0.17172457699161239</v>
      </c>
      <c r="U56" s="148">
        <f t="shared" si="43"/>
        <v>17.172457699161239</v>
      </c>
      <c r="V56" s="7">
        <f t="shared" si="44"/>
        <v>1000</v>
      </c>
      <c r="W56" s="7">
        <f t="shared" si="45"/>
        <v>1000000</v>
      </c>
      <c r="X56" s="1345">
        <f t="shared" si="46"/>
        <v>171.72457699161239</v>
      </c>
      <c r="Y56" s="1345">
        <f t="shared" si="47"/>
        <v>17172.457699161238</v>
      </c>
    </row>
    <row r="57" spans="1:26" x14ac:dyDescent="0.2">
      <c r="A57" s="213" t="str">
        <f t="shared" ref="A57:B57" si="51">A180</f>
        <v>NPL</v>
      </c>
      <c r="B57" s="213" t="str">
        <f t="shared" si="51"/>
        <v>D248159</v>
      </c>
      <c r="C57" s="219">
        <f t="shared" si="37"/>
        <v>140045</v>
      </c>
      <c r="D57" s="219">
        <f t="shared" si="38"/>
        <v>68.099999999999994</v>
      </c>
      <c r="E57" s="219">
        <f t="shared" si="26"/>
        <v>140090</v>
      </c>
      <c r="F57" s="219">
        <f t="shared" si="39"/>
        <v>140</v>
      </c>
      <c r="G57" s="219">
        <f t="shared" si="40"/>
        <v>50</v>
      </c>
      <c r="H57" s="219">
        <f t="shared" si="41"/>
        <v>311</v>
      </c>
      <c r="I57" s="155">
        <f t="shared" si="27"/>
        <v>0</v>
      </c>
      <c r="J57" s="155">
        <f t="shared" si="28"/>
        <v>0</v>
      </c>
      <c r="K57" s="155">
        <f t="shared" si="29"/>
        <v>280</v>
      </c>
      <c r="L57" s="155">
        <f t="shared" si="30"/>
        <v>10</v>
      </c>
      <c r="M57" s="156">
        <f t="shared" si="31"/>
        <v>0.19993573494233996</v>
      </c>
      <c r="N57" s="157">
        <f t="shared" si="32"/>
        <v>1.9993573494233995E-2</v>
      </c>
      <c r="O57" s="155">
        <f t="shared" si="33"/>
        <v>100</v>
      </c>
      <c r="P57" s="250">
        <v>1</v>
      </c>
      <c r="Q57" s="250">
        <v>1000</v>
      </c>
      <c r="R57" s="148">
        <f t="shared" si="34"/>
        <v>1.9993573494233996</v>
      </c>
      <c r="S57" s="148">
        <f t="shared" si="35"/>
        <v>0.19993573494233996</v>
      </c>
      <c r="T57" s="148">
        <f t="shared" si="42"/>
        <v>1.9993573494233998E-2</v>
      </c>
      <c r="U57" s="148">
        <f t="shared" si="43"/>
        <v>1.9993573494233996</v>
      </c>
      <c r="V57" s="7">
        <f t="shared" si="44"/>
        <v>1000</v>
      </c>
      <c r="W57" s="7">
        <f t="shared" si="45"/>
        <v>1000000</v>
      </c>
      <c r="X57" s="1345">
        <f t="shared" si="46"/>
        <v>19.993573494233999</v>
      </c>
      <c r="Y57" s="1345">
        <f t="shared" si="47"/>
        <v>1999.3573494233997</v>
      </c>
    </row>
    <row r="58" spans="1:26" x14ac:dyDescent="0.2">
      <c r="A58" s="213" t="str">
        <f t="shared" ref="A58:B58" si="52">A181</f>
        <v>SMU</v>
      </c>
      <c r="B58" s="213" t="str">
        <f t="shared" si="52"/>
        <v>D248206</v>
      </c>
      <c r="C58" s="219">
        <f t="shared" si="37"/>
        <v>140045</v>
      </c>
      <c r="D58" s="219">
        <f t="shared" si="38"/>
        <v>68.7</v>
      </c>
      <c r="E58" s="219">
        <f t="shared" si="26"/>
        <v>139990</v>
      </c>
      <c r="F58" s="219">
        <f t="shared" si="39"/>
        <v>185</v>
      </c>
      <c r="G58" s="219">
        <f t="shared" si="40"/>
        <v>-50</v>
      </c>
      <c r="H58" s="219">
        <f t="shared" si="41"/>
        <v>395</v>
      </c>
      <c r="I58" s="155">
        <f t="shared" si="27"/>
        <v>0</v>
      </c>
      <c r="J58" s="155">
        <f t="shared" si="28"/>
        <v>0</v>
      </c>
      <c r="K58" s="155">
        <f t="shared" si="29"/>
        <v>370</v>
      </c>
      <c r="L58" s="155">
        <f t="shared" si="30"/>
        <v>10</v>
      </c>
      <c r="M58" s="156">
        <f t="shared" si="31"/>
        <v>0.26420079260237783</v>
      </c>
      <c r="N58" s="157">
        <f t="shared" si="32"/>
        <v>2.6420079260237782E-2</v>
      </c>
      <c r="O58" s="155">
        <f t="shared" si="33"/>
        <v>100</v>
      </c>
      <c r="P58" s="250">
        <v>1</v>
      </c>
      <c r="Q58" s="250">
        <v>1000</v>
      </c>
      <c r="R58" s="148">
        <f t="shared" si="34"/>
        <v>2.6420079260237781</v>
      </c>
      <c r="S58" s="148">
        <f t="shared" si="35"/>
        <v>0.26420079260237783</v>
      </c>
      <c r="T58" s="148">
        <f t="shared" si="42"/>
        <v>2.6420079260237782E-2</v>
      </c>
      <c r="U58" s="148">
        <f t="shared" si="43"/>
        <v>2.6420079260237781</v>
      </c>
      <c r="V58" s="7">
        <f t="shared" si="44"/>
        <v>1000</v>
      </c>
      <c r="W58" s="7">
        <f t="shared" si="45"/>
        <v>1000000</v>
      </c>
      <c r="X58" s="1345">
        <f t="shared" si="46"/>
        <v>26.420079260237781</v>
      </c>
      <c r="Y58" s="1345">
        <f t="shared" si="47"/>
        <v>2642.0079260237781</v>
      </c>
    </row>
    <row r="59" spans="1:26" x14ac:dyDescent="0.2">
      <c r="A59" s="213" t="str">
        <f t="shared" ref="A59:B59" si="53">A182</f>
        <v>VNIIM</v>
      </c>
      <c r="B59" s="213" t="str">
        <f t="shared" si="53"/>
        <v>D248176</v>
      </c>
      <c r="C59" s="219">
        <f t="shared" si="37"/>
        <v>140045</v>
      </c>
      <c r="D59" s="219">
        <f t="shared" si="38"/>
        <v>68.2</v>
      </c>
      <c r="E59" s="219">
        <f t="shared" si="26"/>
        <v>139790</v>
      </c>
      <c r="F59" s="219">
        <f t="shared" si="39"/>
        <v>225</v>
      </c>
      <c r="G59" s="219">
        <f t="shared" si="40"/>
        <v>-260</v>
      </c>
      <c r="H59" s="219">
        <f t="shared" si="41"/>
        <v>470</v>
      </c>
      <c r="I59" s="155">
        <f t="shared" si="27"/>
        <v>0</v>
      </c>
      <c r="J59" s="155">
        <f t="shared" si="28"/>
        <v>0</v>
      </c>
      <c r="K59" s="155">
        <f t="shared" si="29"/>
        <v>450</v>
      </c>
      <c r="L59" s="155">
        <f t="shared" si="30"/>
        <v>10</v>
      </c>
      <c r="M59" s="156">
        <f t="shared" si="31"/>
        <v>0.32132528830018925</v>
      </c>
      <c r="N59" s="157">
        <f t="shared" si="32"/>
        <v>3.2132528830018929E-2</v>
      </c>
      <c r="O59" s="155">
        <f t="shared" si="33"/>
        <v>100</v>
      </c>
      <c r="P59" s="250">
        <v>1</v>
      </c>
      <c r="Q59" s="250">
        <v>1000</v>
      </c>
      <c r="R59" s="148">
        <f t="shared" si="34"/>
        <v>3.2132528830018927</v>
      </c>
      <c r="S59" s="148">
        <f t="shared" si="35"/>
        <v>0.32132528830018925</v>
      </c>
      <c r="T59" s="148">
        <f t="shared" si="42"/>
        <v>3.2132528830018929E-2</v>
      </c>
      <c r="U59" s="148">
        <f t="shared" si="43"/>
        <v>3.2132528830018927</v>
      </c>
      <c r="V59" s="7">
        <f t="shared" si="44"/>
        <v>1000</v>
      </c>
      <c r="W59" s="7">
        <f t="shared" si="45"/>
        <v>1000000</v>
      </c>
      <c r="X59" s="1345">
        <f t="shared" si="46"/>
        <v>32.132528830018927</v>
      </c>
      <c r="Y59" s="1345">
        <f t="shared" si="47"/>
        <v>3213.2528830018928</v>
      </c>
    </row>
    <row r="60" spans="1:26" ht="14.25" x14ac:dyDescent="0.2">
      <c r="H60" s="9"/>
      <c r="U60" s="152"/>
      <c r="V60" s="21"/>
      <c r="W60" s="21"/>
      <c r="X60" s="21"/>
      <c r="Y60" s="21"/>
      <c r="Z60" s="21"/>
    </row>
    <row r="61" spans="1:26" ht="15.75" x14ac:dyDescent="0.2">
      <c r="A61" s="103" t="s">
        <v>876</v>
      </c>
      <c r="B61" s="97"/>
      <c r="C61" s="97"/>
      <c r="D61" s="97"/>
      <c r="E61" s="97"/>
      <c r="F61" s="97"/>
      <c r="G61" s="97"/>
      <c r="H61" s="97"/>
      <c r="I61" s="113"/>
      <c r="J61" s="113"/>
      <c r="K61" s="113"/>
      <c r="L61" s="113"/>
      <c r="M61" s="113"/>
      <c r="N61" s="113"/>
      <c r="O61" s="113"/>
      <c r="R61" s="113"/>
      <c r="S61" s="113"/>
      <c r="T61" s="146"/>
      <c r="U61" s="146"/>
    </row>
    <row r="62" spans="1:26" ht="89.25" x14ac:dyDescent="0.2">
      <c r="A62" s="211" t="s">
        <v>0</v>
      </c>
      <c r="B62" s="212" t="s">
        <v>1</v>
      </c>
      <c r="C62" s="212" t="s">
        <v>133</v>
      </c>
      <c r="D62" s="212" t="s">
        <v>199</v>
      </c>
      <c r="E62" s="212" t="s">
        <v>135</v>
      </c>
      <c r="F62" s="212" t="s">
        <v>200</v>
      </c>
      <c r="G62" s="212" t="s">
        <v>137</v>
      </c>
      <c r="H62" s="212" t="s">
        <v>201</v>
      </c>
      <c r="I62" s="104" t="s">
        <v>8</v>
      </c>
      <c r="J62" s="104" t="s">
        <v>9</v>
      </c>
      <c r="K62" s="104" t="s">
        <v>107</v>
      </c>
      <c r="L62" s="104" t="s">
        <v>14</v>
      </c>
      <c r="M62" s="104" t="s">
        <v>12</v>
      </c>
      <c r="N62" s="104" t="s">
        <v>1058</v>
      </c>
      <c r="O62" s="104" t="s">
        <v>100</v>
      </c>
      <c r="P62" s="6" t="s">
        <v>105</v>
      </c>
      <c r="Q62" s="6" t="s">
        <v>106</v>
      </c>
      <c r="R62" s="104" t="s">
        <v>70</v>
      </c>
      <c r="S62" s="104" t="s">
        <v>71</v>
      </c>
      <c r="T62" s="147" t="s">
        <v>80</v>
      </c>
      <c r="U62" s="147" t="s">
        <v>81</v>
      </c>
      <c r="V62" s="5" t="s">
        <v>101</v>
      </c>
      <c r="W62" s="5" t="s">
        <v>102</v>
      </c>
      <c r="X62" s="112" t="s">
        <v>103</v>
      </c>
      <c r="Y62" s="112" t="s">
        <v>104</v>
      </c>
    </row>
    <row r="63" spans="1:26" x14ac:dyDescent="0.2">
      <c r="A63" s="213" t="str">
        <f>A186</f>
        <v>VSL</v>
      </c>
      <c r="B63" s="213" t="str">
        <f>B186</f>
        <v>D248209</v>
      </c>
      <c r="C63" s="219">
        <f>C186*10000</f>
        <v>19996</v>
      </c>
      <c r="D63" s="219">
        <f>F186*10000</f>
        <v>11.299999999999999</v>
      </c>
      <c r="E63" s="219">
        <f t="shared" ref="E63:E70" si="54">G186*10000</f>
        <v>20000</v>
      </c>
      <c r="F63" s="219">
        <f>H186/I186*10000</f>
        <v>30</v>
      </c>
      <c r="G63" s="219">
        <f>J186*10000</f>
        <v>4</v>
      </c>
      <c r="H63" s="219">
        <f>M186*10000</f>
        <v>64</v>
      </c>
      <c r="I63" s="155">
        <f t="shared" ref="I63:I70" si="55">IF(ABS(G63)&gt;ABS(H63), 1, 0)</f>
        <v>0</v>
      </c>
      <c r="J63" s="155">
        <f t="shared" ref="J63:J70" si="56">I63*ABS(C63-E63)</f>
        <v>0</v>
      </c>
      <c r="K63" s="155">
        <f t="shared" ref="K63:K70" si="57">SQRT(SUMSQ(F63,J63))*2</f>
        <v>60</v>
      </c>
      <c r="L63" s="155">
        <f t="shared" ref="L63:L70" si="58">IF(C63&lt;$K$2, C63, $K$1)</f>
        <v>10</v>
      </c>
      <c r="M63" s="156">
        <f t="shared" ref="M63:M70" si="59">IF(AND(C63&lt;$K$1,C63&gt; $K$2), K63/L63*100, K63/C63*100)</f>
        <v>0.30006001200240046</v>
      </c>
      <c r="N63" s="157">
        <f t="shared" ref="N63:N70" si="60">M63*L63/100</f>
        <v>3.0006001200240044E-2</v>
      </c>
      <c r="O63" s="155">
        <f t="shared" ref="O63:O70" si="61">N63/(M63*L63/100)*100</f>
        <v>100</v>
      </c>
      <c r="P63" s="250">
        <v>1</v>
      </c>
      <c r="Q63" s="250">
        <v>1000</v>
      </c>
      <c r="R63" s="148">
        <f t="shared" ref="R63:R70" si="62">IF( IF(P63&lt;L63, M63*L63/P63, M63)&gt;100, "ERROR",  IF(P63&lt;L63, M63*L63/P63, M63))</f>
        <v>3.0006001200240044</v>
      </c>
      <c r="S63" s="148">
        <f t="shared" ref="S63:S70" si="63">IF(IF(Q63&lt;L63, M63*L63/Q63, M63)&gt;100, "ERROR", IF(Q63&lt;L63, M63*L63/Q63, M63))</f>
        <v>0.30006001200240046</v>
      </c>
      <c r="T63" s="148">
        <f>R63*P63*0.01</f>
        <v>3.0006001200240044E-2</v>
      </c>
      <c r="U63" s="148">
        <f>S63*Q63*0.01</f>
        <v>3.0006001200240049</v>
      </c>
      <c r="V63" s="7">
        <f>P63*1000</f>
        <v>1000</v>
      </c>
      <c r="W63" s="7">
        <f>Q63*1000</f>
        <v>1000000</v>
      </c>
      <c r="X63" s="1345">
        <f>T63*1000</f>
        <v>30.006001200240043</v>
      </c>
      <c r="Y63" s="1345">
        <f>U63*1000</f>
        <v>3000.6001200240048</v>
      </c>
    </row>
    <row r="64" spans="1:26" x14ac:dyDescent="0.2">
      <c r="A64" s="213" t="str">
        <f t="shared" ref="A64:B64" si="64">A187</f>
        <v>BAM</v>
      </c>
      <c r="B64" s="213" t="str">
        <f t="shared" si="64"/>
        <v>D248163</v>
      </c>
      <c r="C64" s="219">
        <f t="shared" ref="C64:C70" si="65">C187*10000</f>
        <v>19969</v>
      </c>
      <c r="D64" s="219">
        <f t="shared" ref="D64:D70" si="66">F187*10000</f>
        <v>11.299999999999999</v>
      </c>
      <c r="E64" s="219">
        <f t="shared" si="54"/>
        <v>20110</v>
      </c>
      <c r="F64" s="219">
        <f t="shared" ref="F64:F70" si="67">H187/I187*10000</f>
        <v>315</v>
      </c>
      <c r="G64" s="219">
        <f t="shared" ref="G64:G70" si="68">J187*10000</f>
        <v>141</v>
      </c>
      <c r="H64" s="219">
        <f t="shared" ref="H64:H70" si="69">M187*10000</f>
        <v>630</v>
      </c>
      <c r="I64" s="155">
        <f t="shared" si="55"/>
        <v>0</v>
      </c>
      <c r="J64" s="155">
        <f t="shared" si="56"/>
        <v>0</v>
      </c>
      <c r="K64" s="155">
        <f t="shared" si="57"/>
        <v>630</v>
      </c>
      <c r="L64" s="155">
        <f t="shared" si="58"/>
        <v>10</v>
      </c>
      <c r="M64" s="156">
        <f t="shared" si="59"/>
        <v>3.1548900796234158</v>
      </c>
      <c r="N64" s="157">
        <f t="shared" si="60"/>
        <v>0.31548900796234158</v>
      </c>
      <c r="O64" s="155">
        <f t="shared" si="61"/>
        <v>100</v>
      </c>
      <c r="P64" s="250">
        <v>1</v>
      </c>
      <c r="Q64" s="250">
        <v>1000</v>
      </c>
      <c r="R64" s="148">
        <f t="shared" si="62"/>
        <v>31.548900796234157</v>
      </c>
      <c r="S64" s="148">
        <f t="shared" si="63"/>
        <v>3.1548900796234158</v>
      </c>
      <c r="T64" s="148">
        <f t="shared" ref="T64:T70" si="70">R64*P64*0.01</f>
        <v>0.31548900796234158</v>
      </c>
      <c r="U64" s="148">
        <f t="shared" ref="U64:U70" si="71">S64*Q64*0.01</f>
        <v>31.548900796234157</v>
      </c>
      <c r="V64" s="7">
        <f t="shared" ref="V64:V70" si="72">P64*1000</f>
        <v>1000</v>
      </c>
      <c r="W64" s="7">
        <f t="shared" ref="W64:W70" si="73">Q64*1000</f>
        <v>1000000</v>
      </c>
      <c r="X64" s="1345">
        <f t="shared" ref="X64:X70" si="74">T64*1000</f>
        <v>315.48900796234159</v>
      </c>
      <c r="Y64" s="1345">
        <f t="shared" ref="Y64:Y70" si="75">U64*1000</f>
        <v>31548.900796234157</v>
      </c>
    </row>
    <row r="65" spans="1:26" x14ac:dyDescent="0.2">
      <c r="A65" s="213" t="str">
        <f t="shared" ref="A65:B65" si="76">A188</f>
        <v>MKEH</v>
      </c>
      <c r="B65" s="213" t="str">
        <f t="shared" si="76"/>
        <v>D248168</v>
      </c>
      <c r="C65" s="219">
        <f t="shared" si="65"/>
        <v>19826</v>
      </c>
      <c r="D65" s="219">
        <f t="shared" si="66"/>
        <v>11.299999999999999</v>
      </c>
      <c r="E65" s="219">
        <f t="shared" si="54"/>
        <v>19604.399999999998</v>
      </c>
      <c r="F65" s="219">
        <f t="shared" si="67"/>
        <v>25</v>
      </c>
      <c r="G65" s="219">
        <f t="shared" si="68"/>
        <v>-222</v>
      </c>
      <c r="H65" s="219">
        <f t="shared" si="69"/>
        <v>56</v>
      </c>
      <c r="I65" s="155">
        <f t="shared" si="55"/>
        <v>1</v>
      </c>
      <c r="J65" s="155">
        <f t="shared" si="56"/>
        <v>221.60000000000218</v>
      </c>
      <c r="K65" s="155">
        <f t="shared" si="57"/>
        <v>446.01147967289347</v>
      </c>
      <c r="L65" s="155">
        <f t="shared" si="58"/>
        <v>10</v>
      </c>
      <c r="M65" s="156">
        <f t="shared" si="59"/>
        <v>2.2496291721622792</v>
      </c>
      <c r="N65" s="157">
        <f t="shared" si="60"/>
        <v>0.22496291721622794</v>
      </c>
      <c r="O65" s="155">
        <f t="shared" si="61"/>
        <v>100</v>
      </c>
      <c r="P65" s="250">
        <v>1</v>
      </c>
      <c r="Q65" s="250">
        <v>1000</v>
      </c>
      <c r="R65" s="148">
        <f t="shared" si="62"/>
        <v>22.496291721622793</v>
      </c>
      <c r="S65" s="148">
        <f t="shared" si="63"/>
        <v>2.2496291721622792</v>
      </c>
      <c r="T65" s="148">
        <f t="shared" si="70"/>
        <v>0.22496291721622794</v>
      </c>
      <c r="U65" s="148">
        <f t="shared" si="71"/>
        <v>22.496291721622793</v>
      </c>
      <c r="V65" s="7">
        <f t="shared" si="72"/>
        <v>1000</v>
      </c>
      <c r="W65" s="7">
        <f t="shared" si="73"/>
        <v>1000000</v>
      </c>
      <c r="X65" s="1345">
        <f t="shared" si="74"/>
        <v>224.96291721622794</v>
      </c>
      <c r="Y65" s="1345">
        <f t="shared" si="75"/>
        <v>22496.291721622794</v>
      </c>
    </row>
    <row r="66" spans="1:26" x14ac:dyDescent="0.2">
      <c r="A66" s="213" t="str">
        <f t="shared" ref="A66:B66" si="77">A189</f>
        <v>KRISS</v>
      </c>
      <c r="B66" s="213" t="str">
        <f t="shared" si="77"/>
        <v>D248205</v>
      </c>
      <c r="C66" s="219">
        <f t="shared" si="65"/>
        <v>19903</v>
      </c>
      <c r="D66" s="219">
        <f t="shared" si="66"/>
        <v>11.299999999999999</v>
      </c>
      <c r="E66" s="219">
        <f t="shared" si="54"/>
        <v>19750</v>
      </c>
      <c r="F66" s="219">
        <f t="shared" si="67"/>
        <v>25</v>
      </c>
      <c r="G66" s="219">
        <f t="shared" si="68"/>
        <v>-153</v>
      </c>
      <c r="H66" s="219">
        <f t="shared" si="69"/>
        <v>56</v>
      </c>
      <c r="I66" s="155">
        <f t="shared" si="55"/>
        <v>1</v>
      </c>
      <c r="J66" s="155">
        <f t="shared" si="56"/>
        <v>153</v>
      </c>
      <c r="K66" s="155">
        <f t="shared" si="57"/>
        <v>310.05805907926339</v>
      </c>
      <c r="L66" s="155">
        <f t="shared" si="58"/>
        <v>10</v>
      </c>
      <c r="M66" s="156">
        <f t="shared" si="59"/>
        <v>1.5578458477579429</v>
      </c>
      <c r="N66" s="157">
        <f t="shared" si="60"/>
        <v>0.15578458477579427</v>
      </c>
      <c r="O66" s="155">
        <f t="shared" si="61"/>
        <v>100</v>
      </c>
      <c r="P66" s="250">
        <v>1</v>
      </c>
      <c r="Q66" s="250">
        <v>1000</v>
      </c>
      <c r="R66" s="148">
        <f t="shared" si="62"/>
        <v>15.578458477579428</v>
      </c>
      <c r="S66" s="148">
        <f t="shared" si="63"/>
        <v>1.5578458477579429</v>
      </c>
      <c r="T66" s="148">
        <f t="shared" si="70"/>
        <v>0.15578458477579429</v>
      </c>
      <c r="U66" s="148">
        <f t="shared" si="71"/>
        <v>15.57845847757943</v>
      </c>
      <c r="V66" s="7">
        <f t="shared" si="72"/>
        <v>1000</v>
      </c>
      <c r="W66" s="7">
        <f t="shared" si="73"/>
        <v>1000000</v>
      </c>
      <c r="X66" s="1345">
        <f t="shared" si="74"/>
        <v>155.78458477579429</v>
      </c>
      <c r="Y66" s="1345">
        <f t="shared" si="75"/>
        <v>15578.45847757943</v>
      </c>
    </row>
    <row r="67" spans="1:26" x14ac:dyDescent="0.2">
      <c r="A67" s="213" t="str">
        <f t="shared" ref="A67:B67" si="78">A190</f>
        <v>NIM</v>
      </c>
      <c r="B67" s="213" t="str">
        <f t="shared" si="78"/>
        <v>D248188</v>
      </c>
      <c r="C67" s="219">
        <f t="shared" si="65"/>
        <v>20002</v>
      </c>
      <c r="D67" s="219">
        <f t="shared" si="66"/>
        <v>11.299999999999999</v>
      </c>
      <c r="E67" s="219">
        <f t="shared" si="54"/>
        <v>20043.000000000004</v>
      </c>
      <c r="F67" s="219">
        <f t="shared" si="67"/>
        <v>50</v>
      </c>
      <c r="G67" s="219">
        <f t="shared" si="68"/>
        <v>41</v>
      </c>
      <c r="H67" s="219">
        <f t="shared" si="69"/>
        <v>103</v>
      </c>
      <c r="I67" s="155">
        <f t="shared" si="55"/>
        <v>0</v>
      </c>
      <c r="J67" s="155">
        <f t="shared" si="56"/>
        <v>0</v>
      </c>
      <c r="K67" s="155">
        <f t="shared" si="57"/>
        <v>100</v>
      </c>
      <c r="L67" s="155">
        <f t="shared" si="58"/>
        <v>10</v>
      </c>
      <c r="M67" s="156">
        <f t="shared" si="59"/>
        <v>0.4999500049995001</v>
      </c>
      <c r="N67" s="157">
        <f t="shared" si="60"/>
        <v>4.999500049995001E-2</v>
      </c>
      <c r="O67" s="155">
        <f t="shared" si="61"/>
        <v>100</v>
      </c>
      <c r="P67" s="250">
        <v>1</v>
      </c>
      <c r="Q67" s="250">
        <v>1000</v>
      </c>
      <c r="R67" s="148">
        <f t="shared" si="62"/>
        <v>4.9995000499950013</v>
      </c>
      <c r="S67" s="148">
        <f t="shared" si="63"/>
        <v>0.4999500049995001</v>
      </c>
      <c r="T67" s="148">
        <f t="shared" si="70"/>
        <v>4.9995000499950017E-2</v>
      </c>
      <c r="U67" s="148">
        <f t="shared" si="71"/>
        <v>4.9995000499950013</v>
      </c>
      <c r="V67" s="7">
        <f t="shared" si="72"/>
        <v>1000</v>
      </c>
      <c r="W67" s="7">
        <f t="shared" si="73"/>
        <v>1000000</v>
      </c>
      <c r="X67" s="1345">
        <f t="shared" si="74"/>
        <v>49.995000499950017</v>
      </c>
      <c r="Y67" s="1345">
        <f t="shared" si="75"/>
        <v>4999.5000499950011</v>
      </c>
    </row>
    <row r="68" spans="1:26" x14ac:dyDescent="0.2">
      <c r="A68" s="213" t="str">
        <f t="shared" ref="A68:B68" si="79">A191</f>
        <v>NPL</v>
      </c>
      <c r="B68" s="213" t="str">
        <f t="shared" si="79"/>
        <v>D248159</v>
      </c>
      <c r="C68" s="219">
        <f t="shared" si="65"/>
        <v>20048</v>
      </c>
      <c r="D68" s="219">
        <f t="shared" si="66"/>
        <v>11.299999999999999</v>
      </c>
      <c r="E68" s="219">
        <f t="shared" si="54"/>
        <v>20050</v>
      </c>
      <c r="F68" s="219">
        <f t="shared" si="67"/>
        <v>20</v>
      </c>
      <c r="G68" s="219">
        <f t="shared" si="68"/>
        <v>0</v>
      </c>
      <c r="H68" s="219">
        <f t="shared" si="69"/>
        <v>49</v>
      </c>
      <c r="I68" s="155">
        <f t="shared" si="55"/>
        <v>0</v>
      </c>
      <c r="J68" s="155">
        <f t="shared" si="56"/>
        <v>0</v>
      </c>
      <c r="K68" s="155">
        <f t="shared" si="57"/>
        <v>40</v>
      </c>
      <c r="L68" s="155">
        <f t="shared" si="58"/>
        <v>10</v>
      </c>
      <c r="M68" s="156">
        <f t="shared" si="59"/>
        <v>0.19952114924181963</v>
      </c>
      <c r="N68" s="157">
        <f t="shared" si="60"/>
        <v>1.9952114924181964E-2</v>
      </c>
      <c r="O68" s="155">
        <f t="shared" si="61"/>
        <v>100</v>
      </c>
      <c r="P68" s="250">
        <v>1</v>
      </c>
      <c r="Q68" s="250">
        <v>1000</v>
      </c>
      <c r="R68" s="148">
        <f t="shared" si="62"/>
        <v>1.9952114924181963</v>
      </c>
      <c r="S68" s="148">
        <f t="shared" si="63"/>
        <v>0.19952114924181963</v>
      </c>
      <c r="T68" s="148">
        <f t="shared" si="70"/>
        <v>1.9952114924181964E-2</v>
      </c>
      <c r="U68" s="148">
        <f t="shared" si="71"/>
        <v>1.9952114924181963</v>
      </c>
      <c r="V68" s="7">
        <f t="shared" si="72"/>
        <v>1000</v>
      </c>
      <c r="W68" s="7">
        <f t="shared" si="73"/>
        <v>1000000</v>
      </c>
      <c r="X68" s="1345">
        <f t="shared" si="74"/>
        <v>19.952114924181963</v>
      </c>
      <c r="Y68" s="1345">
        <f t="shared" si="75"/>
        <v>1995.2114924181963</v>
      </c>
    </row>
    <row r="69" spans="1:26" x14ac:dyDescent="0.2">
      <c r="A69" s="213" t="str">
        <f t="shared" ref="A69:B69" si="80">A192</f>
        <v>SMU</v>
      </c>
      <c r="B69" s="213" t="str">
        <f t="shared" si="80"/>
        <v>D248206</v>
      </c>
      <c r="C69" s="219">
        <f t="shared" si="65"/>
        <v>20002</v>
      </c>
      <c r="D69" s="219">
        <f t="shared" si="66"/>
        <v>11.299999999999999</v>
      </c>
      <c r="E69" s="219">
        <f t="shared" si="54"/>
        <v>19940</v>
      </c>
      <c r="F69" s="219">
        <f t="shared" si="67"/>
        <v>50</v>
      </c>
      <c r="G69" s="219">
        <f t="shared" si="68"/>
        <v>-62</v>
      </c>
      <c r="H69" s="219">
        <f t="shared" si="69"/>
        <v>103</v>
      </c>
      <c r="I69" s="155">
        <f t="shared" si="55"/>
        <v>0</v>
      </c>
      <c r="J69" s="155">
        <f t="shared" si="56"/>
        <v>0</v>
      </c>
      <c r="K69" s="155">
        <f t="shared" si="57"/>
        <v>100</v>
      </c>
      <c r="L69" s="155">
        <f t="shared" si="58"/>
        <v>10</v>
      </c>
      <c r="M69" s="156">
        <f t="shared" si="59"/>
        <v>0.4999500049995001</v>
      </c>
      <c r="N69" s="157">
        <f t="shared" si="60"/>
        <v>4.999500049995001E-2</v>
      </c>
      <c r="O69" s="155">
        <f t="shared" si="61"/>
        <v>100</v>
      </c>
      <c r="P69" s="250">
        <v>1</v>
      </c>
      <c r="Q69" s="250">
        <v>1000</v>
      </c>
      <c r="R69" s="148">
        <f t="shared" si="62"/>
        <v>4.9995000499950013</v>
      </c>
      <c r="S69" s="148">
        <f t="shared" si="63"/>
        <v>0.4999500049995001</v>
      </c>
      <c r="T69" s="148">
        <f t="shared" si="70"/>
        <v>4.9995000499950017E-2</v>
      </c>
      <c r="U69" s="148">
        <f t="shared" si="71"/>
        <v>4.9995000499950013</v>
      </c>
      <c r="V69" s="7">
        <f t="shared" si="72"/>
        <v>1000</v>
      </c>
      <c r="W69" s="7">
        <f t="shared" si="73"/>
        <v>1000000</v>
      </c>
      <c r="X69" s="1345">
        <f t="shared" si="74"/>
        <v>49.995000499950017</v>
      </c>
      <c r="Y69" s="1345">
        <f t="shared" si="75"/>
        <v>4999.5000499950011</v>
      </c>
    </row>
    <row r="70" spans="1:26" x14ac:dyDescent="0.2">
      <c r="A70" s="213" t="str">
        <f t="shared" ref="A70:B70" si="81">A193</f>
        <v>VNIIM</v>
      </c>
      <c r="B70" s="213" t="str">
        <f t="shared" si="81"/>
        <v>D248176</v>
      </c>
      <c r="C70" s="219">
        <f t="shared" si="65"/>
        <v>19908</v>
      </c>
      <c r="D70" s="219">
        <f t="shared" si="66"/>
        <v>11.299999999999999</v>
      </c>
      <c r="E70" s="219">
        <f t="shared" si="54"/>
        <v>19920</v>
      </c>
      <c r="F70" s="219">
        <f t="shared" si="67"/>
        <v>30</v>
      </c>
      <c r="G70" s="219">
        <f t="shared" si="68"/>
        <v>8</v>
      </c>
      <c r="H70" s="219">
        <f t="shared" si="69"/>
        <v>68</v>
      </c>
      <c r="I70" s="155">
        <f t="shared" si="55"/>
        <v>0</v>
      </c>
      <c r="J70" s="155">
        <f t="shared" si="56"/>
        <v>0</v>
      </c>
      <c r="K70" s="155">
        <f t="shared" si="57"/>
        <v>60</v>
      </c>
      <c r="L70" s="155">
        <f t="shared" si="58"/>
        <v>10</v>
      </c>
      <c r="M70" s="156">
        <f t="shared" si="59"/>
        <v>0.30138637733574442</v>
      </c>
      <c r="N70" s="157">
        <f t="shared" si="60"/>
        <v>3.013863773357444E-2</v>
      </c>
      <c r="O70" s="155">
        <f t="shared" si="61"/>
        <v>100</v>
      </c>
      <c r="P70" s="250">
        <v>1</v>
      </c>
      <c r="Q70" s="250">
        <v>1000</v>
      </c>
      <c r="R70" s="148">
        <f t="shared" si="62"/>
        <v>3.013863773357444</v>
      </c>
      <c r="S70" s="148">
        <f t="shared" si="63"/>
        <v>0.30138637733574442</v>
      </c>
      <c r="T70" s="148">
        <f t="shared" si="70"/>
        <v>3.013863773357444E-2</v>
      </c>
      <c r="U70" s="148">
        <f t="shared" si="71"/>
        <v>3.0138637733574445</v>
      </c>
      <c r="V70" s="7">
        <f t="shared" si="72"/>
        <v>1000</v>
      </c>
      <c r="W70" s="7">
        <f t="shared" si="73"/>
        <v>1000000</v>
      </c>
      <c r="X70" s="1345">
        <f t="shared" si="74"/>
        <v>30.138637733574441</v>
      </c>
      <c r="Y70" s="1345">
        <f t="shared" si="75"/>
        <v>3013.8637733574446</v>
      </c>
    </row>
    <row r="71" spans="1:26" ht="14.25" x14ac:dyDescent="0.2">
      <c r="H71" s="9"/>
      <c r="U71" s="152"/>
      <c r="V71" s="21"/>
      <c r="W71" s="21"/>
      <c r="X71" s="21"/>
      <c r="Y71" s="21"/>
      <c r="Z71" s="21"/>
    </row>
    <row r="72" spans="1:26" ht="15.75" x14ac:dyDescent="0.2">
      <c r="A72" s="103" t="s">
        <v>877</v>
      </c>
      <c r="B72" s="97"/>
      <c r="C72" s="97"/>
      <c r="D72" s="97"/>
      <c r="E72" s="97"/>
      <c r="F72" s="97"/>
      <c r="G72" s="97"/>
      <c r="H72" s="97"/>
      <c r="I72" s="113"/>
      <c r="J72" s="113"/>
      <c r="K72" s="113"/>
      <c r="L72" s="113"/>
      <c r="M72" s="113"/>
      <c r="N72" s="113"/>
      <c r="O72" s="113"/>
      <c r="R72" s="113"/>
      <c r="S72" s="113"/>
      <c r="T72" s="146"/>
      <c r="U72" s="146"/>
    </row>
    <row r="73" spans="1:26" ht="89.25" x14ac:dyDescent="0.2">
      <c r="A73" s="211" t="s">
        <v>0</v>
      </c>
      <c r="B73" s="212" t="s">
        <v>1</v>
      </c>
      <c r="C73" s="212" t="s">
        <v>133</v>
      </c>
      <c r="D73" s="212" t="s">
        <v>199</v>
      </c>
      <c r="E73" s="212" t="s">
        <v>135</v>
      </c>
      <c r="F73" s="212" t="s">
        <v>200</v>
      </c>
      <c r="G73" s="212" t="s">
        <v>137</v>
      </c>
      <c r="H73" s="212" t="s">
        <v>201</v>
      </c>
      <c r="I73" s="104" t="s">
        <v>8</v>
      </c>
      <c r="J73" s="104" t="s">
        <v>9</v>
      </c>
      <c r="K73" s="104" t="s">
        <v>107</v>
      </c>
      <c r="L73" s="104" t="s">
        <v>14</v>
      </c>
      <c r="M73" s="104" t="s">
        <v>12</v>
      </c>
      <c r="N73" s="104" t="s">
        <v>1058</v>
      </c>
      <c r="O73" s="104" t="s">
        <v>100</v>
      </c>
      <c r="P73" s="6" t="s">
        <v>105</v>
      </c>
      <c r="Q73" s="6" t="s">
        <v>106</v>
      </c>
      <c r="R73" s="104" t="s">
        <v>70</v>
      </c>
      <c r="S73" s="104" t="s">
        <v>71</v>
      </c>
      <c r="T73" s="147" t="s">
        <v>80</v>
      </c>
      <c r="U73" s="147" t="s">
        <v>81</v>
      </c>
      <c r="V73" s="5" t="s">
        <v>101</v>
      </c>
      <c r="W73" s="5" t="s">
        <v>102</v>
      </c>
      <c r="X73" s="112" t="s">
        <v>103</v>
      </c>
      <c r="Y73" s="112" t="s">
        <v>104</v>
      </c>
    </row>
    <row r="74" spans="1:26" x14ac:dyDescent="0.2">
      <c r="A74" s="213" t="str">
        <f>A197</f>
        <v>VSL</v>
      </c>
      <c r="B74" s="213" t="str">
        <f>B197</f>
        <v>D248209</v>
      </c>
      <c r="C74" s="219">
        <f>C197*10000</f>
        <v>39910</v>
      </c>
      <c r="D74" s="219">
        <f>F197*10000</f>
        <v>34.9</v>
      </c>
      <c r="E74" s="219">
        <f t="shared" ref="E74:E81" si="82">G197*10000</f>
        <v>39900</v>
      </c>
      <c r="F74" s="219">
        <f>H197/I197*10000</f>
        <v>50</v>
      </c>
      <c r="G74" s="219">
        <f>J197*10000</f>
        <v>-10</v>
      </c>
      <c r="H74" s="219">
        <f>M197*10000</f>
        <v>122.00000000000001</v>
      </c>
      <c r="I74" s="155">
        <f t="shared" ref="I74:I81" si="83">IF(ABS(G74)&gt;ABS(H74), 1, 0)</f>
        <v>0</v>
      </c>
      <c r="J74" s="155">
        <f t="shared" ref="J74:J81" si="84">I74*ABS(C74-E74)</f>
        <v>0</v>
      </c>
      <c r="K74" s="155">
        <f t="shared" ref="K74:K81" si="85">SQRT(SUMSQ(F74,J74))*2</f>
        <v>100</v>
      </c>
      <c r="L74" s="155">
        <f t="shared" ref="L74:L81" si="86">IF(C74&lt;$K$2, C74, $K$1)</f>
        <v>10</v>
      </c>
      <c r="M74" s="156">
        <f t="shared" ref="M74:M81" si="87">IF(AND(C74&lt;$K$1,C74&gt; $K$2), K74/L74*100, K74/C74*100)</f>
        <v>0.25056376847907796</v>
      </c>
      <c r="N74" s="157">
        <f t="shared" ref="N74:N81" si="88">M74*L74/100</f>
        <v>2.5056376847907798E-2</v>
      </c>
      <c r="O74" s="155">
        <f t="shared" ref="O74:O81" si="89">N74/(M74*L74/100)*100</f>
        <v>100</v>
      </c>
      <c r="P74" s="250">
        <v>1</v>
      </c>
      <c r="Q74" s="250">
        <v>1000</v>
      </c>
      <c r="R74" s="148">
        <f t="shared" ref="R74:R81" si="90">IF( IF(P74&lt;L74, M74*L74/P74, M74)&gt;100, "ERROR",  IF(P74&lt;L74, M74*L74/P74, M74))</f>
        <v>2.5056376847907798</v>
      </c>
      <c r="S74" s="148">
        <f t="shared" ref="S74:S81" si="91">IF(IF(Q74&lt;L74, M74*L74/Q74, M74)&gt;100, "ERROR", IF(Q74&lt;L74, M74*L74/Q74, M74))</f>
        <v>0.25056376847907796</v>
      </c>
      <c r="T74" s="148">
        <f>R74*P74*0.01</f>
        <v>2.5056376847907798E-2</v>
      </c>
      <c r="U74" s="148">
        <f>S74*Q74*0.01</f>
        <v>2.5056376847907798</v>
      </c>
      <c r="V74" s="7">
        <f>P74*1000</f>
        <v>1000</v>
      </c>
      <c r="W74" s="7">
        <f>Q74*1000</f>
        <v>1000000</v>
      </c>
      <c r="X74" s="1345">
        <f>T74*1000</f>
        <v>25.056376847907799</v>
      </c>
      <c r="Y74" s="1345">
        <f>U74*1000</f>
        <v>2505.6376847907795</v>
      </c>
    </row>
    <row r="75" spans="1:26" x14ac:dyDescent="0.2">
      <c r="A75" s="213" t="str">
        <f t="shared" ref="A75:B75" si="92">A198</f>
        <v>BAM</v>
      </c>
      <c r="B75" s="213" t="str">
        <f t="shared" si="92"/>
        <v>D248163</v>
      </c>
      <c r="C75" s="219">
        <f t="shared" ref="C75:C81" si="93">C198*10000</f>
        <v>39999</v>
      </c>
      <c r="D75" s="219">
        <f t="shared" ref="D75:D81" si="94">F198*10000</f>
        <v>34.9</v>
      </c>
      <c r="E75" s="219">
        <f t="shared" si="82"/>
        <v>40130</v>
      </c>
      <c r="F75" s="219">
        <f t="shared" ref="F75:F81" si="95">H198/I198*10000</f>
        <v>380</v>
      </c>
      <c r="G75" s="219">
        <f t="shared" ref="G75:G81" si="96">J198*10000</f>
        <v>131</v>
      </c>
      <c r="H75" s="219">
        <f t="shared" ref="H75:H81" si="97">M198*10000</f>
        <v>763.00000000000011</v>
      </c>
      <c r="I75" s="155">
        <f t="shared" si="83"/>
        <v>0</v>
      </c>
      <c r="J75" s="155">
        <f t="shared" si="84"/>
        <v>0</v>
      </c>
      <c r="K75" s="155">
        <f t="shared" si="85"/>
        <v>760</v>
      </c>
      <c r="L75" s="155">
        <f t="shared" si="86"/>
        <v>10</v>
      </c>
      <c r="M75" s="156">
        <f t="shared" si="87"/>
        <v>1.9000475011875295</v>
      </c>
      <c r="N75" s="157">
        <f t="shared" si="88"/>
        <v>0.19000475011875295</v>
      </c>
      <c r="O75" s="155">
        <f t="shared" si="89"/>
        <v>100</v>
      </c>
      <c r="P75" s="250">
        <v>1</v>
      </c>
      <c r="Q75" s="250">
        <v>1000</v>
      </c>
      <c r="R75" s="148">
        <f t="shared" si="90"/>
        <v>19.000475011875295</v>
      </c>
      <c r="S75" s="148">
        <f t="shared" si="91"/>
        <v>1.9000475011875295</v>
      </c>
      <c r="T75" s="148">
        <f t="shared" ref="T75:T81" si="98">R75*P75*0.01</f>
        <v>0.19000475011875295</v>
      </c>
      <c r="U75" s="148">
        <f t="shared" ref="U75:U81" si="99">S75*Q75*0.01</f>
        <v>19.000475011875295</v>
      </c>
      <c r="V75" s="7">
        <f t="shared" ref="V75:V81" si="100">P75*1000</f>
        <v>1000</v>
      </c>
      <c r="W75" s="7">
        <f t="shared" ref="W75:W81" si="101">Q75*1000</f>
        <v>1000000</v>
      </c>
      <c r="X75" s="1345">
        <f t="shared" ref="X75:X81" si="102">T75*1000</f>
        <v>190.00475011875295</v>
      </c>
      <c r="Y75" s="1345">
        <f t="shared" ref="Y75:Y81" si="103">U75*1000</f>
        <v>19000.475011875296</v>
      </c>
    </row>
    <row r="76" spans="1:26" x14ac:dyDescent="0.2">
      <c r="A76" s="213" t="str">
        <f t="shared" ref="A76:B76" si="104">A199</f>
        <v>MKEH</v>
      </c>
      <c r="B76" s="213" t="str">
        <f t="shared" si="104"/>
        <v>D248168</v>
      </c>
      <c r="C76" s="219">
        <f t="shared" si="93"/>
        <v>39894</v>
      </c>
      <c r="D76" s="219">
        <f t="shared" si="94"/>
        <v>34.700000000000003</v>
      </c>
      <c r="E76" s="219">
        <f t="shared" si="82"/>
        <v>40237</v>
      </c>
      <c r="F76" s="219">
        <f t="shared" si="95"/>
        <v>95</v>
      </c>
      <c r="G76" s="219">
        <f t="shared" si="96"/>
        <v>343</v>
      </c>
      <c r="H76" s="219">
        <f t="shared" si="97"/>
        <v>202</v>
      </c>
      <c r="I76" s="155">
        <f t="shared" si="83"/>
        <v>1</v>
      </c>
      <c r="J76" s="155">
        <f t="shared" si="84"/>
        <v>343</v>
      </c>
      <c r="K76" s="155">
        <f t="shared" si="85"/>
        <v>711.82582139172223</v>
      </c>
      <c r="L76" s="155">
        <f t="shared" si="86"/>
        <v>10</v>
      </c>
      <c r="M76" s="156">
        <f t="shared" si="87"/>
        <v>1.7842929297431249</v>
      </c>
      <c r="N76" s="157">
        <f t="shared" si="88"/>
        <v>0.17842929297431248</v>
      </c>
      <c r="O76" s="155">
        <f t="shared" si="89"/>
        <v>100</v>
      </c>
      <c r="P76" s="250">
        <v>1</v>
      </c>
      <c r="Q76" s="250">
        <v>1000</v>
      </c>
      <c r="R76" s="148">
        <f t="shared" si="90"/>
        <v>17.842929297431247</v>
      </c>
      <c r="S76" s="148">
        <f t="shared" si="91"/>
        <v>1.7842929297431249</v>
      </c>
      <c r="T76" s="148">
        <f t="shared" si="98"/>
        <v>0.17842929297431248</v>
      </c>
      <c r="U76" s="148">
        <f t="shared" si="99"/>
        <v>17.842929297431251</v>
      </c>
      <c r="V76" s="7">
        <f t="shared" si="100"/>
        <v>1000</v>
      </c>
      <c r="W76" s="7">
        <f t="shared" si="101"/>
        <v>1000000</v>
      </c>
      <c r="X76" s="1345">
        <f t="shared" si="102"/>
        <v>178.42929297431249</v>
      </c>
      <c r="Y76" s="1345">
        <f t="shared" si="103"/>
        <v>17842.929297431252</v>
      </c>
    </row>
    <row r="77" spans="1:26" x14ac:dyDescent="0.2">
      <c r="A77" s="213" t="str">
        <f t="shared" ref="A77:B77" si="105">A200</f>
        <v>KRISS</v>
      </c>
      <c r="B77" s="213" t="str">
        <f t="shared" si="105"/>
        <v>D248205</v>
      </c>
      <c r="C77" s="219">
        <f t="shared" si="93"/>
        <v>40037</v>
      </c>
      <c r="D77" s="219">
        <f t="shared" si="94"/>
        <v>34.6</v>
      </c>
      <c r="E77" s="219">
        <f t="shared" si="82"/>
        <v>40000</v>
      </c>
      <c r="F77" s="219">
        <f t="shared" si="95"/>
        <v>65</v>
      </c>
      <c r="G77" s="219">
        <f t="shared" si="96"/>
        <v>-37</v>
      </c>
      <c r="H77" s="219">
        <f t="shared" si="97"/>
        <v>146</v>
      </c>
      <c r="I77" s="155">
        <f t="shared" si="83"/>
        <v>0</v>
      </c>
      <c r="J77" s="155">
        <f t="shared" si="84"/>
        <v>0</v>
      </c>
      <c r="K77" s="155">
        <f t="shared" si="85"/>
        <v>130</v>
      </c>
      <c r="L77" s="155">
        <f t="shared" si="86"/>
        <v>10</v>
      </c>
      <c r="M77" s="156">
        <f t="shared" si="87"/>
        <v>0.32469965282114044</v>
      </c>
      <c r="N77" s="157">
        <f t="shared" si="88"/>
        <v>3.2469965282114044E-2</v>
      </c>
      <c r="O77" s="155">
        <f t="shared" si="89"/>
        <v>100</v>
      </c>
      <c r="P77" s="250">
        <v>1</v>
      </c>
      <c r="Q77" s="250">
        <v>1000</v>
      </c>
      <c r="R77" s="148">
        <f t="shared" si="90"/>
        <v>3.2469965282114046</v>
      </c>
      <c r="S77" s="148">
        <f t="shared" si="91"/>
        <v>0.32469965282114044</v>
      </c>
      <c r="T77" s="148">
        <f t="shared" si="98"/>
        <v>3.2469965282114044E-2</v>
      </c>
      <c r="U77" s="148">
        <f t="shared" si="99"/>
        <v>3.2469965282114046</v>
      </c>
      <c r="V77" s="7">
        <f t="shared" si="100"/>
        <v>1000</v>
      </c>
      <c r="W77" s="7">
        <f t="shared" si="101"/>
        <v>1000000</v>
      </c>
      <c r="X77" s="1345">
        <f t="shared" si="102"/>
        <v>32.469965282114046</v>
      </c>
      <c r="Y77" s="1345">
        <f t="shared" si="103"/>
        <v>3246.9965282114044</v>
      </c>
    </row>
    <row r="78" spans="1:26" x14ac:dyDescent="0.2">
      <c r="A78" s="213" t="str">
        <f t="shared" ref="A78:B78" si="106">A201</f>
        <v>NIM</v>
      </c>
      <c r="B78" s="213" t="str">
        <f t="shared" si="106"/>
        <v>D248188</v>
      </c>
      <c r="C78" s="219">
        <f t="shared" si="93"/>
        <v>40352</v>
      </c>
      <c r="D78" s="219">
        <f t="shared" si="94"/>
        <v>34.700000000000003</v>
      </c>
      <c r="E78" s="219">
        <f t="shared" si="82"/>
        <v>40279.999999999993</v>
      </c>
      <c r="F78" s="219">
        <f t="shared" si="95"/>
        <v>80.5</v>
      </c>
      <c r="G78" s="219">
        <f t="shared" si="96"/>
        <v>-72</v>
      </c>
      <c r="H78" s="219">
        <f t="shared" si="97"/>
        <v>175.00000000000003</v>
      </c>
      <c r="I78" s="155">
        <f t="shared" si="83"/>
        <v>0</v>
      </c>
      <c r="J78" s="155">
        <f t="shared" si="84"/>
        <v>0</v>
      </c>
      <c r="K78" s="155">
        <f t="shared" si="85"/>
        <v>161</v>
      </c>
      <c r="L78" s="155">
        <f t="shared" si="86"/>
        <v>10</v>
      </c>
      <c r="M78" s="156">
        <f t="shared" si="87"/>
        <v>0.39898889770023788</v>
      </c>
      <c r="N78" s="157">
        <f t="shared" si="88"/>
        <v>3.9898889770023788E-2</v>
      </c>
      <c r="O78" s="155">
        <f t="shared" si="89"/>
        <v>100</v>
      </c>
      <c r="P78" s="250">
        <v>1</v>
      </c>
      <c r="Q78" s="250">
        <v>1000</v>
      </c>
      <c r="R78" s="148">
        <f t="shared" si="90"/>
        <v>3.9898889770023787</v>
      </c>
      <c r="S78" s="148">
        <f t="shared" si="91"/>
        <v>0.39898889770023788</v>
      </c>
      <c r="T78" s="148">
        <f t="shared" si="98"/>
        <v>3.9898889770023788E-2</v>
      </c>
      <c r="U78" s="148">
        <f t="shared" si="99"/>
        <v>3.9898889770023791</v>
      </c>
      <c r="V78" s="7">
        <f t="shared" si="100"/>
        <v>1000</v>
      </c>
      <c r="W78" s="7">
        <f t="shared" si="101"/>
        <v>1000000</v>
      </c>
      <c r="X78" s="1345">
        <f t="shared" si="102"/>
        <v>39.898889770023786</v>
      </c>
      <c r="Y78" s="1345">
        <f t="shared" si="103"/>
        <v>3989.8889770023793</v>
      </c>
    </row>
    <row r="79" spans="1:26" x14ac:dyDescent="0.2">
      <c r="A79" s="213" t="str">
        <f t="shared" ref="A79:B79" si="107">A202</f>
        <v>NPL</v>
      </c>
      <c r="B79" s="213" t="str">
        <f t="shared" si="107"/>
        <v>D248159</v>
      </c>
      <c r="C79" s="219">
        <f t="shared" si="93"/>
        <v>39906</v>
      </c>
      <c r="D79" s="219">
        <f t="shared" si="94"/>
        <v>34.700000000000003</v>
      </c>
      <c r="E79" s="219">
        <f t="shared" si="82"/>
        <v>39920</v>
      </c>
      <c r="F79" s="219">
        <f t="shared" si="95"/>
        <v>40</v>
      </c>
      <c r="G79" s="219">
        <f t="shared" si="96"/>
        <v>10</v>
      </c>
      <c r="H79" s="219">
        <f t="shared" si="97"/>
        <v>107</v>
      </c>
      <c r="I79" s="155">
        <f t="shared" si="83"/>
        <v>0</v>
      </c>
      <c r="J79" s="155">
        <f t="shared" si="84"/>
        <v>0</v>
      </c>
      <c r="K79" s="155">
        <f t="shared" si="85"/>
        <v>80</v>
      </c>
      <c r="L79" s="155">
        <f t="shared" si="86"/>
        <v>10</v>
      </c>
      <c r="M79" s="156">
        <f t="shared" si="87"/>
        <v>0.20047110710168897</v>
      </c>
      <c r="N79" s="157">
        <f t="shared" si="88"/>
        <v>2.0047110710168896E-2</v>
      </c>
      <c r="O79" s="155">
        <f t="shared" si="89"/>
        <v>100</v>
      </c>
      <c r="P79" s="250">
        <v>1</v>
      </c>
      <c r="Q79" s="250">
        <v>1000</v>
      </c>
      <c r="R79" s="148">
        <f t="shared" si="90"/>
        <v>2.0047110710168896</v>
      </c>
      <c r="S79" s="148">
        <f t="shared" si="91"/>
        <v>0.20047110710168897</v>
      </c>
      <c r="T79" s="148">
        <f t="shared" si="98"/>
        <v>2.0047110710168896E-2</v>
      </c>
      <c r="U79" s="148">
        <f t="shared" si="99"/>
        <v>2.0047110710168896</v>
      </c>
      <c r="V79" s="7">
        <f t="shared" si="100"/>
        <v>1000</v>
      </c>
      <c r="W79" s="7">
        <f t="shared" si="101"/>
        <v>1000000</v>
      </c>
      <c r="X79" s="1345">
        <f t="shared" si="102"/>
        <v>20.047110710168894</v>
      </c>
      <c r="Y79" s="1345">
        <f t="shared" si="103"/>
        <v>2004.7110710168897</v>
      </c>
    </row>
    <row r="80" spans="1:26" x14ac:dyDescent="0.2">
      <c r="A80" s="213" t="str">
        <f t="shared" ref="A80:B80" si="108">A203</f>
        <v>SMU</v>
      </c>
      <c r="B80" s="213" t="str">
        <f t="shared" si="108"/>
        <v>D248206</v>
      </c>
      <c r="C80" s="219">
        <f t="shared" si="93"/>
        <v>40111</v>
      </c>
      <c r="D80" s="219">
        <f t="shared" si="94"/>
        <v>34.799999999999997</v>
      </c>
      <c r="E80" s="219">
        <f t="shared" si="82"/>
        <v>40180</v>
      </c>
      <c r="F80" s="219">
        <f t="shared" si="95"/>
        <v>50</v>
      </c>
      <c r="G80" s="219">
        <f t="shared" si="96"/>
        <v>69</v>
      </c>
      <c r="H80" s="219">
        <f t="shared" si="97"/>
        <v>122.00000000000001</v>
      </c>
      <c r="I80" s="155">
        <f t="shared" si="83"/>
        <v>0</v>
      </c>
      <c r="J80" s="155">
        <f t="shared" si="84"/>
        <v>0</v>
      </c>
      <c r="K80" s="155">
        <f t="shared" si="85"/>
        <v>100</v>
      </c>
      <c r="L80" s="155">
        <f t="shared" si="86"/>
        <v>10</v>
      </c>
      <c r="M80" s="156">
        <f t="shared" si="87"/>
        <v>0.24930816982872531</v>
      </c>
      <c r="N80" s="157">
        <f t="shared" si="88"/>
        <v>2.4930816982872531E-2</v>
      </c>
      <c r="O80" s="155">
        <f t="shared" si="89"/>
        <v>100</v>
      </c>
      <c r="P80" s="250">
        <v>1</v>
      </c>
      <c r="Q80" s="250">
        <v>1000</v>
      </c>
      <c r="R80" s="148">
        <f t="shared" si="90"/>
        <v>2.493081698287253</v>
      </c>
      <c r="S80" s="148">
        <f t="shared" si="91"/>
        <v>0.24930816982872531</v>
      </c>
      <c r="T80" s="148">
        <f t="shared" si="98"/>
        <v>2.4930816982872531E-2</v>
      </c>
      <c r="U80" s="148">
        <f t="shared" si="99"/>
        <v>2.493081698287253</v>
      </c>
      <c r="V80" s="7">
        <f t="shared" si="100"/>
        <v>1000</v>
      </c>
      <c r="W80" s="7">
        <f t="shared" si="101"/>
        <v>1000000</v>
      </c>
      <c r="X80" s="1345">
        <f t="shared" si="102"/>
        <v>24.930816982872532</v>
      </c>
      <c r="Y80" s="1345">
        <f t="shared" si="103"/>
        <v>2493.0816982872529</v>
      </c>
    </row>
    <row r="81" spans="1:26" x14ac:dyDescent="0.2">
      <c r="A81" s="213" t="str">
        <f t="shared" ref="A81:B81" si="109">A204</f>
        <v>VNIIM</v>
      </c>
      <c r="B81" s="213" t="str">
        <f t="shared" si="109"/>
        <v>D248176</v>
      </c>
      <c r="C81" s="219">
        <f t="shared" si="93"/>
        <v>39909</v>
      </c>
      <c r="D81" s="219">
        <f t="shared" si="94"/>
        <v>34.5</v>
      </c>
      <c r="E81" s="219">
        <f t="shared" si="82"/>
        <v>39860</v>
      </c>
      <c r="F81" s="219">
        <f t="shared" si="95"/>
        <v>75</v>
      </c>
      <c r="G81" s="219">
        <f t="shared" si="96"/>
        <v>-49</v>
      </c>
      <c r="H81" s="219">
        <f t="shared" si="97"/>
        <v>165</v>
      </c>
      <c r="I81" s="155">
        <f t="shared" si="83"/>
        <v>0</v>
      </c>
      <c r="J81" s="155">
        <f t="shared" si="84"/>
        <v>0</v>
      </c>
      <c r="K81" s="155">
        <f t="shared" si="85"/>
        <v>150</v>
      </c>
      <c r="L81" s="155">
        <f t="shared" si="86"/>
        <v>10</v>
      </c>
      <c r="M81" s="156">
        <f t="shared" si="87"/>
        <v>0.37585507028489817</v>
      </c>
      <c r="N81" s="157">
        <f t="shared" si="88"/>
        <v>3.7585507028489819E-2</v>
      </c>
      <c r="O81" s="155">
        <f t="shared" si="89"/>
        <v>100</v>
      </c>
      <c r="P81" s="250">
        <v>1</v>
      </c>
      <c r="Q81" s="250">
        <v>1000</v>
      </c>
      <c r="R81" s="148">
        <f t="shared" si="90"/>
        <v>3.7585507028489817</v>
      </c>
      <c r="S81" s="148">
        <f t="shared" si="91"/>
        <v>0.37585507028489817</v>
      </c>
      <c r="T81" s="148">
        <f t="shared" si="98"/>
        <v>3.7585507028489819E-2</v>
      </c>
      <c r="U81" s="148">
        <f t="shared" si="99"/>
        <v>3.7585507028489817</v>
      </c>
      <c r="V81" s="7">
        <f t="shared" si="100"/>
        <v>1000</v>
      </c>
      <c r="W81" s="7">
        <f t="shared" si="101"/>
        <v>1000000</v>
      </c>
      <c r="X81" s="1345">
        <f t="shared" si="102"/>
        <v>37.585507028489822</v>
      </c>
      <c r="Y81" s="1345">
        <f t="shared" si="103"/>
        <v>3758.5507028489819</v>
      </c>
    </row>
    <row r="82" spans="1:26" ht="14.25" x14ac:dyDescent="0.2">
      <c r="H82" s="9"/>
      <c r="U82" s="152"/>
      <c r="V82" s="21"/>
      <c r="W82" s="21"/>
      <c r="X82" s="21"/>
      <c r="Y82" s="21"/>
      <c r="Z82" s="21"/>
    </row>
    <row r="83" spans="1:26" ht="15.75" x14ac:dyDescent="0.2">
      <c r="A83" s="103" t="s">
        <v>878</v>
      </c>
      <c r="B83" s="97"/>
      <c r="C83" s="97"/>
      <c r="D83" s="97"/>
      <c r="E83" s="97"/>
      <c r="F83" s="97"/>
      <c r="G83" s="97"/>
      <c r="H83" s="97"/>
      <c r="I83" s="113"/>
      <c r="J83" s="113"/>
      <c r="K83" s="113"/>
      <c r="L83" s="113"/>
      <c r="M83" s="113"/>
      <c r="N83" s="113"/>
      <c r="O83" s="113"/>
      <c r="R83" s="113"/>
      <c r="S83" s="113"/>
      <c r="T83" s="146"/>
      <c r="U83" s="146"/>
    </row>
    <row r="84" spans="1:26" ht="89.25" x14ac:dyDescent="0.2">
      <c r="A84" s="211" t="s">
        <v>0</v>
      </c>
      <c r="B84" s="212" t="s">
        <v>1</v>
      </c>
      <c r="C84" s="212" t="s">
        <v>133</v>
      </c>
      <c r="D84" s="212" t="s">
        <v>199</v>
      </c>
      <c r="E84" s="212" t="s">
        <v>135</v>
      </c>
      <c r="F84" s="212" t="s">
        <v>200</v>
      </c>
      <c r="G84" s="212" t="s">
        <v>137</v>
      </c>
      <c r="H84" s="212" t="s">
        <v>201</v>
      </c>
      <c r="I84" s="104" t="s">
        <v>8</v>
      </c>
      <c r="J84" s="104" t="s">
        <v>9</v>
      </c>
      <c r="K84" s="104" t="s">
        <v>107</v>
      </c>
      <c r="L84" s="104" t="s">
        <v>14</v>
      </c>
      <c r="M84" s="104" t="s">
        <v>12</v>
      </c>
      <c r="N84" s="104" t="s">
        <v>1058</v>
      </c>
      <c r="O84" s="104" t="s">
        <v>100</v>
      </c>
      <c r="P84" s="6" t="s">
        <v>105</v>
      </c>
      <c r="Q84" s="6" t="s">
        <v>106</v>
      </c>
      <c r="R84" s="104" t="s">
        <v>70</v>
      </c>
      <c r="S84" s="104" t="s">
        <v>71</v>
      </c>
      <c r="T84" s="147" t="s">
        <v>80</v>
      </c>
      <c r="U84" s="147" t="s">
        <v>81</v>
      </c>
      <c r="V84" s="5" t="s">
        <v>101</v>
      </c>
      <c r="W84" s="5" t="s">
        <v>102</v>
      </c>
      <c r="X84" s="112" t="s">
        <v>103</v>
      </c>
      <c r="Y84" s="112" t="s">
        <v>104</v>
      </c>
    </row>
    <row r="85" spans="1:26" x14ac:dyDescent="0.2">
      <c r="A85" s="213" t="str">
        <f>A208</f>
        <v>VSL</v>
      </c>
      <c r="B85" s="213" t="str">
        <f>B208</f>
        <v>D248209</v>
      </c>
      <c r="C85" s="219">
        <f>C208*10000</f>
        <v>4992</v>
      </c>
      <c r="D85" s="219">
        <f>F208*10000</f>
        <v>4.4000000000000004</v>
      </c>
      <c r="E85" s="219">
        <f t="shared" ref="E85:E92" si="110">G208*10000</f>
        <v>4994</v>
      </c>
      <c r="F85" s="219">
        <f>H208/I208*10000</f>
        <v>5.9999999999999991</v>
      </c>
      <c r="G85" s="219">
        <f>J208*10000</f>
        <v>2</v>
      </c>
      <c r="H85" s="219">
        <f>M208*10000</f>
        <v>15</v>
      </c>
      <c r="I85" s="155">
        <f t="shared" ref="I85:I92" si="111">IF(ABS(G85)&gt;ABS(H85), 1, 0)</f>
        <v>0</v>
      </c>
      <c r="J85" s="155">
        <f t="shared" ref="J85:J92" si="112">I85*ABS(C85-E85)</f>
        <v>0</v>
      </c>
      <c r="K85" s="155">
        <f t="shared" ref="K85:K92" si="113">SQRT(SUMSQ(F85,J85))*2</f>
        <v>11.999999999999998</v>
      </c>
      <c r="L85" s="155">
        <f t="shared" ref="L85:L92" si="114">IF(C85&lt;$K$2, C85, $K$1)</f>
        <v>10</v>
      </c>
      <c r="M85" s="156">
        <f t="shared" ref="M85:M92" si="115">IF(AND(C85&lt;$K$1,C85&gt; $K$2), K85/L85*100, K85/C85*100)</f>
        <v>0.24038461538461536</v>
      </c>
      <c r="N85" s="157">
        <f t="shared" ref="N85:N92" si="116">M85*L85/100</f>
        <v>2.4038461538461536E-2</v>
      </c>
      <c r="O85" s="155">
        <f t="shared" ref="O85:O92" si="117">N85/(M85*L85/100)*100</f>
        <v>100</v>
      </c>
      <c r="P85" s="250">
        <v>1</v>
      </c>
      <c r="Q85" s="250">
        <v>1000</v>
      </c>
      <c r="R85" s="148">
        <f t="shared" ref="R85:R92" si="118">IF( IF(P85&lt;L85, M85*L85/P85, M85)&gt;100, "ERROR",  IF(P85&lt;L85, M85*L85/P85, M85))</f>
        <v>2.4038461538461537</v>
      </c>
      <c r="S85" s="148">
        <f t="shared" ref="S85:S92" si="119">IF(IF(Q85&lt;L85, M85*L85/Q85, M85)&gt;100, "ERROR", IF(Q85&lt;L85, M85*L85/Q85, M85))</f>
        <v>0.24038461538461536</v>
      </c>
      <c r="T85" s="148">
        <f>R85*P85*0.01</f>
        <v>2.4038461538461536E-2</v>
      </c>
      <c r="U85" s="148">
        <f>S85*Q85*0.01</f>
        <v>2.4038461538461537</v>
      </c>
      <c r="V85" s="7">
        <f>P85*1000</f>
        <v>1000</v>
      </c>
      <c r="W85" s="7">
        <f>Q85*1000</f>
        <v>1000000</v>
      </c>
      <c r="X85" s="1345">
        <f>T85*1000</f>
        <v>24.038461538461537</v>
      </c>
      <c r="Y85" s="1345">
        <f>U85*1000</f>
        <v>2403.8461538461538</v>
      </c>
    </row>
    <row r="86" spans="1:26" x14ac:dyDescent="0.2">
      <c r="A86" s="213" t="str">
        <f t="shared" ref="A86:B86" si="120">A209</f>
        <v>BAM</v>
      </c>
      <c r="B86" s="213" t="str">
        <f t="shared" si="120"/>
        <v>D248163</v>
      </c>
      <c r="C86" s="219">
        <f t="shared" ref="C86:C92" si="121">C209*10000</f>
        <v>4985</v>
      </c>
      <c r="D86" s="219">
        <f t="shared" ref="D86:D92" si="122">F209*10000</f>
        <v>4.4000000000000004</v>
      </c>
      <c r="E86" s="219">
        <f t="shared" si="110"/>
        <v>5010</v>
      </c>
      <c r="F86" s="219">
        <f t="shared" ref="F86:F92" si="123">H209/I209*10000</f>
        <v>65</v>
      </c>
      <c r="G86" s="219">
        <f t="shared" ref="G86:G92" si="124">J209*10000</f>
        <v>25</v>
      </c>
      <c r="H86" s="219">
        <f t="shared" ref="H86:H92" si="125">M209*10000</f>
        <v>130</v>
      </c>
      <c r="I86" s="155">
        <f t="shared" si="111"/>
        <v>0</v>
      </c>
      <c r="J86" s="155">
        <f t="shared" si="112"/>
        <v>0</v>
      </c>
      <c r="K86" s="155">
        <f t="shared" si="113"/>
        <v>130</v>
      </c>
      <c r="L86" s="155">
        <f t="shared" si="114"/>
        <v>10</v>
      </c>
      <c r="M86" s="156">
        <f t="shared" si="115"/>
        <v>2.6078234704112337</v>
      </c>
      <c r="N86" s="157">
        <f t="shared" si="116"/>
        <v>0.26078234704112335</v>
      </c>
      <c r="O86" s="155">
        <f t="shared" si="117"/>
        <v>100</v>
      </c>
      <c r="P86" s="250">
        <v>1</v>
      </c>
      <c r="Q86" s="250">
        <v>1000</v>
      </c>
      <c r="R86" s="148">
        <f t="shared" si="118"/>
        <v>26.078234704112337</v>
      </c>
      <c r="S86" s="148">
        <f t="shared" si="119"/>
        <v>2.6078234704112337</v>
      </c>
      <c r="T86" s="148">
        <f t="shared" ref="T86:T92" si="126">R86*P86*0.01</f>
        <v>0.26078234704112335</v>
      </c>
      <c r="U86" s="148">
        <f t="shared" ref="U86:U92" si="127">S86*Q86*0.01</f>
        <v>26.078234704112337</v>
      </c>
      <c r="V86" s="7">
        <f t="shared" ref="V86:V92" si="128">P86*1000</f>
        <v>1000</v>
      </c>
      <c r="W86" s="7">
        <f t="shared" ref="W86:W92" si="129">Q86*1000</f>
        <v>1000000</v>
      </c>
      <c r="X86" s="1345">
        <f t="shared" ref="X86:X92" si="130">T86*1000</f>
        <v>260.78234704112333</v>
      </c>
      <c r="Y86" s="1345">
        <f t="shared" ref="Y86:Y92" si="131">U86*1000</f>
        <v>26078.234704112336</v>
      </c>
    </row>
    <row r="87" spans="1:26" x14ac:dyDescent="0.2">
      <c r="A87" s="213" t="str">
        <f t="shared" ref="A87:B87" si="132">A210</f>
        <v>MKEH</v>
      </c>
      <c r="B87" s="213" t="str">
        <f t="shared" si="132"/>
        <v>D248168</v>
      </c>
      <c r="C87" s="219">
        <f t="shared" si="121"/>
        <v>4972</v>
      </c>
      <c r="D87" s="219">
        <f t="shared" si="122"/>
        <v>4.4000000000000004</v>
      </c>
      <c r="E87" s="219">
        <f t="shared" si="110"/>
        <v>4902.0999999999995</v>
      </c>
      <c r="F87" s="219">
        <f t="shared" si="123"/>
        <v>14</v>
      </c>
      <c r="G87" s="219">
        <f t="shared" si="124"/>
        <v>-70</v>
      </c>
      <c r="H87" s="219">
        <f t="shared" si="125"/>
        <v>28.999999999999996</v>
      </c>
      <c r="I87" s="155">
        <f t="shared" si="111"/>
        <v>1</v>
      </c>
      <c r="J87" s="155">
        <f t="shared" si="112"/>
        <v>69.900000000000546</v>
      </c>
      <c r="K87" s="155">
        <f t="shared" si="113"/>
        <v>142.57643564067769</v>
      </c>
      <c r="L87" s="155">
        <f t="shared" si="114"/>
        <v>10</v>
      </c>
      <c r="M87" s="156">
        <f t="shared" si="115"/>
        <v>2.867587201139937</v>
      </c>
      <c r="N87" s="157">
        <f t="shared" si="116"/>
        <v>0.28675872011399373</v>
      </c>
      <c r="O87" s="155">
        <f t="shared" si="117"/>
        <v>100</v>
      </c>
      <c r="P87" s="250">
        <v>1</v>
      </c>
      <c r="Q87" s="250">
        <v>1000</v>
      </c>
      <c r="R87" s="148">
        <f t="shared" si="118"/>
        <v>28.67587201139937</v>
      </c>
      <c r="S87" s="148">
        <f t="shared" si="119"/>
        <v>2.867587201139937</v>
      </c>
      <c r="T87" s="148">
        <f t="shared" si="126"/>
        <v>0.28675872011399373</v>
      </c>
      <c r="U87" s="148">
        <f t="shared" si="127"/>
        <v>28.67587201139937</v>
      </c>
      <c r="V87" s="7">
        <f t="shared" si="128"/>
        <v>1000</v>
      </c>
      <c r="W87" s="7">
        <f t="shared" si="129"/>
        <v>1000000</v>
      </c>
      <c r="X87" s="1345">
        <f t="shared" si="130"/>
        <v>286.75872011399372</v>
      </c>
      <c r="Y87" s="1345">
        <f t="shared" si="131"/>
        <v>28675.87201139937</v>
      </c>
    </row>
    <row r="88" spans="1:26" x14ac:dyDescent="0.2">
      <c r="A88" s="213" t="str">
        <f t="shared" ref="A88:B88" si="133">A211</f>
        <v>KRISS</v>
      </c>
      <c r="B88" s="213" t="str">
        <f t="shared" si="133"/>
        <v>D248205</v>
      </c>
      <c r="C88" s="219">
        <f t="shared" si="121"/>
        <v>4991</v>
      </c>
      <c r="D88" s="219">
        <f t="shared" si="122"/>
        <v>4.4000000000000004</v>
      </c>
      <c r="E88" s="219">
        <f t="shared" si="110"/>
        <v>4920</v>
      </c>
      <c r="F88" s="219">
        <f t="shared" si="123"/>
        <v>8.5</v>
      </c>
      <c r="G88" s="219">
        <f t="shared" si="124"/>
        <v>-71</v>
      </c>
      <c r="H88" s="219">
        <f t="shared" si="125"/>
        <v>19</v>
      </c>
      <c r="I88" s="155">
        <f t="shared" si="111"/>
        <v>1</v>
      </c>
      <c r="J88" s="155">
        <f t="shared" si="112"/>
        <v>71</v>
      </c>
      <c r="K88" s="155">
        <f t="shared" si="113"/>
        <v>143.01398533010678</v>
      </c>
      <c r="L88" s="155">
        <f t="shared" si="114"/>
        <v>10</v>
      </c>
      <c r="M88" s="156">
        <f t="shared" si="115"/>
        <v>2.8654374940915002</v>
      </c>
      <c r="N88" s="157">
        <f t="shared" si="116"/>
        <v>0.28654374940915001</v>
      </c>
      <c r="O88" s="155">
        <f t="shared" si="117"/>
        <v>100</v>
      </c>
      <c r="P88" s="250">
        <v>1</v>
      </c>
      <c r="Q88" s="250">
        <v>1000</v>
      </c>
      <c r="R88" s="148">
        <f t="shared" si="118"/>
        <v>28.654374940915002</v>
      </c>
      <c r="S88" s="148">
        <f t="shared" si="119"/>
        <v>2.8654374940915002</v>
      </c>
      <c r="T88" s="148">
        <f t="shared" si="126"/>
        <v>0.28654374940915001</v>
      </c>
      <c r="U88" s="148">
        <f t="shared" si="127"/>
        <v>28.654374940915002</v>
      </c>
      <c r="V88" s="7">
        <f t="shared" si="128"/>
        <v>1000</v>
      </c>
      <c r="W88" s="7">
        <f t="shared" si="129"/>
        <v>1000000</v>
      </c>
      <c r="X88" s="1345">
        <f t="shared" si="130"/>
        <v>286.54374940915</v>
      </c>
      <c r="Y88" s="1345">
        <f t="shared" si="131"/>
        <v>28654.374940915</v>
      </c>
    </row>
    <row r="89" spans="1:26" x14ac:dyDescent="0.2">
      <c r="A89" s="213" t="str">
        <f t="shared" ref="A89:B89" si="134">A212</f>
        <v>NIM</v>
      </c>
      <c r="B89" s="213" t="str">
        <f t="shared" si="134"/>
        <v>D248188</v>
      </c>
      <c r="C89" s="219">
        <f t="shared" si="121"/>
        <v>4989</v>
      </c>
      <c r="D89" s="219">
        <f t="shared" si="122"/>
        <v>4.4000000000000004</v>
      </c>
      <c r="E89" s="219">
        <f t="shared" si="110"/>
        <v>5026.0000000000009</v>
      </c>
      <c r="F89" s="219">
        <f t="shared" si="123"/>
        <v>12.5</v>
      </c>
      <c r="G89" s="219">
        <f t="shared" si="124"/>
        <v>37</v>
      </c>
      <c r="H89" s="219">
        <f t="shared" si="125"/>
        <v>26</v>
      </c>
      <c r="I89" s="155">
        <f t="shared" si="111"/>
        <v>1</v>
      </c>
      <c r="J89" s="155">
        <f t="shared" si="112"/>
        <v>37.000000000000909</v>
      </c>
      <c r="K89" s="155">
        <f t="shared" si="113"/>
        <v>78.108898340715754</v>
      </c>
      <c r="L89" s="155">
        <f t="shared" si="114"/>
        <v>10</v>
      </c>
      <c r="M89" s="156">
        <f t="shared" si="115"/>
        <v>1.5656223359534125</v>
      </c>
      <c r="N89" s="157">
        <f t="shared" si="116"/>
        <v>0.15656223359534124</v>
      </c>
      <c r="O89" s="155">
        <f t="shared" si="117"/>
        <v>100</v>
      </c>
      <c r="P89" s="250">
        <v>1</v>
      </c>
      <c r="Q89" s="250">
        <v>1000</v>
      </c>
      <c r="R89" s="148">
        <f t="shared" si="118"/>
        <v>15.656223359534124</v>
      </c>
      <c r="S89" s="148">
        <f t="shared" si="119"/>
        <v>1.5656223359534125</v>
      </c>
      <c r="T89" s="148">
        <f t="shared" si="126"/>
        <v>0.15656223359534124</v>
      </c>
      <c r="U89" s="148">
        <f t="shared" si="127"/>
        <v>15.656223359534124</v>
      </c>
      <c r="V89" s="7">
        <f t="shared" si="128"/>
        <v>1000</v>
      </c>
      <c r="W89" s="7">
        <f t="shared" si="129"/>
        <v>1000000</v>
      </c>
      <c r="X89" s="1345">
        <f t="shared" si="130"/>
        <v>156.56223359534124</v>
      </c>
      <c r="Y89" s="1345">
        <f t="shared" si="131"/>
        <v>15656.223359534124</v>
      </c>
    </row>
    <row r="90" spans="1:26" x14ac:dyDescent="0.2">
      <c r="A90" s="213" t="str">
        <f t="shared" ref="A90:B90" si="135">A213</f>
        <v>NPL</v>
      </c>
      <c r="B90" s="213" t="str">
        <f t="shared" si="135"/>
        <v>D248159</v>
      </c>
      <c r="C90" s="219">
        <f t="shared" si="121"/>
        <v>5001</v>
      </c>
      <c r="D90" s="219">
        <f t="shared" si="122"/>
        <v>4.4000000000000004</v>
      </c>
      <c r="E90" s="219">
        <f t="shared" si="110"/>
        <v>5008</v>
      </c>
      <c r="F90" s="219">
        <f t="shared" si="123"/>
        <v>5</v>
      </c>
      <c r="G90" s="219">
        <f t="shared" si="124"/>
        <v>7</v>
      </c>
      <c r="H90" s="219">
        <f t="shared" si="125"/>
        <v>13</v>
      </c>
      <c r="I90" s="155">
        <f t="shared" si="111"/>
        <v>0</v>
      </c>
      <c r="J90" s="155">
        <f t="shared" si="112"/>
        <v>0</v>
      </c>
      <c r="K90" s="155">
        <f t="shared" si="113"/>
        <v>10</v>
      </c>
      <c r="L90" s="155">
        <f t="shared" si="114"/>
        <v>10</v>
      </c>
      <c r="M90" s="156">
        <f t="shared" si="115"/>
        <v>0.19996000799840033</v>
      </c>
      <c r="N90" s="157">
        <f t="shared" si="116"/>
        <v>1.9996000799840031E-2</v>
      </c>
      <c r="O90" s="155">
        <f t="shared" si="117"/>
        <v>100</v>
      </c>
      <c r="P90" s="250">
        <v>1</v>
      </c>
      <c r="Q90" s="250">
        <v>1000</v>
      </c>
      <c r="R90" s="148">
        <f t="shared" si="118"/>
        <v>1.9996000799840032</v>
      </c>
      <c r="S90" s="148">
        <f t="shared" si="119"/>
        <v>0.19996000799840033</v>
      </c>
      <c r="T90" s="148">
        <f t="shared" si="126"/>
        <v>1.9996000799840034E-2</v>
      </c>
      <c r="U90" s="148">
        <f t="shared" si="127"/>
        <v>1.9996000799840032</v>
      </c>
      <c r="V90" s="7">
        <f t="shared" si="128"/>
        <v>1000</v>
      </c>
      <c r="W90" s="7">
        <f t="shared" si="129"/>
        <v>1000000</v>
      </c>
      <c r="X90" s="1345">
        <f t="shared" si="130"/>
        <v>19.996000799840033</v>
      </c>
      <c r="Y90" s="1345">
        <f t="shared" si="131"/>
        <v>1999.6000799840033</v>
      </c>
    </row>
    <row r="91" spans="1:26" x14ac:dyDescent="0.2">
      <c r="A91" s="213" t="str">
        <f t="shared" ref="A91:B91" si="136">A214</f>
        <v>SMU</v>
      </c>
      <c r="B91" s="213" t="str">
        <f t="shared" si="136"/>
        <v>D248206</v>
      </c>
      <c r="C91" s="219">
        <f t="shared" si="121"/>
        <v>4993</v>
      </c>
      <c r="D91" s="219">
        <f t="shared" si="122"/>
        <v>4.4000000000000004</v>
      </c>
      <c r="E91" s="219">
        <f t="shared" si="110"/>
        <v>4870</v>
      </c>
      <c r="F91" s="219">
        <f t="shared" si="123"/>
        <v>11.999999999999998</v>
      </c>
      <c r="G91" s="219">
        <f t="shared" si="124"/>
        <v>-123</v>
      </c>
      <c r="H91" s="219">
        <f t="shared" si="125"/>
        <v>26</v>
      </c>
      <c r="I91" s="155">
        <f t="shared" si="111"/>
        <v>1</v>
      </c>
      <c r="J91" s="155">
        <f t="shared" si="112"/>
        <v>123</v>
      </c>
      <c r="K91" s="155">
        <f t="shared" si="113"/>
        <v>247.16795908855175</v>
      </c>
      <c r="L91" s="155">
        <f t="shared" si="114"/>
        <v>10</v>
      </c>
      <c r="M91" s="156">
        <f t="shared" si="115"/>
        <v>4.9502895871931054</v>
      </c>
      <c r="N91" s="157">
        <f t="shared" si="116"/>
        <v>0.49502895871931052</v>
      </c>
      <c r="O91" s="155">
        <f t="shared" si="117"/>
        <v>100</v>
      </c>
      <c r="P91" s="250">
        <v>1</v>
      </c>
      <c r="Q91" s="250">
        <v>1000</v>
      </c>
      <c r="R91" s="148">
        <f t="shared" si="118"/>
        <v>49.502895871931052</v>
      </c>
      <c r="S91" s="148">
        <f t="shared" si="119"/>
        <v>4.9502895871931054</v>
      </c>
      <c r="T91" s="148">
        <f t="shared" si="126"/>
        <v>0.49502895871931052</v>
      </c>
      <c r="U91" s="148">
        <f t="shared" si="127"/>
        <v>49.502895871931052</v>
      </c>
      <c r="V91" s="7">
        <f t="shared" si="128"/>
        <v>1000</v>
      </c>
      <c r="W91" s="7">
        <f t="shared" si="129"/>
        <v>1000000</v>
      </c>
      <c r="X91" s="1345">
        <f t="shared" si="130"/>
        <v>495.02895871931054</v>
      </c>
      <c r="Y91" s="1345">
        <f t="shared" si="131"/>
        <v>49502.895871931054</v>
      </c>
    </row>
    <row r="92" spans="1:26" x14ac:dyDescent="0.2">
      <c r="A92" s="213" t="str">
        <f t="shared" ref="A92:B92" si="137">A215</f>
        <v>VNIIM</v>
      </c>
      <c r="B92" s="213" t="str">
        <f t="shared" si="137"/>
        <v>D248176</v>
      </c>
      <c r="C92" s="219">
        <f t="shared" si="121"/>
        <v>4992</v>
      </c>
      <c r="D92" s="219">
        <f t="shared" si="122"/>
        <v>22.1</v>
      </c>
      <c r="E92" s="219">
        <f t="shared" si="110"/>
        <v>4997</v>
      </c>
      <c r="F92" s="219">
        <f t="shared" si="123"/>
        <v>15</v>
      </c>
      <c r="G92" s="219">
        <f t="shared" si="124"/>
        <v>5</v>
      </c>
      <c r="H92" s="219">
        <f t="shared" si="125"/>
        <v>32</v>
      </c>
      <c r="I92" s="155">
        <f t="shared" si="111"/>
        <v>0</v>
      </c>
      <c r="J92" s="155">
        <f t="shared" si="112"/>
        <v>0</v>
      </c>
      <c r="K92" s="155">
        <f t="shared" si="113"/>
        <v>30</v>
      </c>
      <c r="L92" s="155">
        <f t="shared" si="114"/>
        <v>10</v>
      </c>
      <c r="M92" s="156">
        <f t="shared" si="115"/>
        <v>0.60096153846153855</v>
      </c>
      <c r="N92" s="157">
        <f t="shared" si="116"/>
        <v>6.0096153846153848E-2</v>
      </c>
      <c r="O92" s="155">
        <f t="shared" si="117"/>
        <v>100</v>
      </c>
      <c r="P92" s="250">
        <v>1</v>
      </c>
      <c r="Q92" s="250">
        <v>1000</v>
      </c>
      <c r="R92" s="148">
        <f t="shared" si="118"/>
        <v>6.009615384615385</v>
      </c>
      <c r="S92" s="148">
        <f t="shared" si="119"/>
        <v>0.60096153846153855</v>
      </c>
      <c r="T92" s="148">
        <f t="shared" si="126"/>
        <v>6.0096153846153855E-2</v>
      </c>
      <c r="U92" s="148">
        <f t="shared" si="127"/>
        <v>6.0096153846153859</v>
      </c>
      <c r="V92" s="7">
        <f t="shared" si="128"/>
        <v>1000</v>
      </c>
      <c r="W92" s="7">
        <f t="shared" si="129"/>
        <v>1000000</v>
      </c>
      <c r="X92" s="1345">
        <f t="shared" si="130"/>
        <v>60.096153846153854</v>
      </c>
      <c r="Y92" s="1345">
        <f t="shared" si="131"/>
        <v>6009.6153846153857</v>
      </c>
    </row>
    <row r="93" spans="1:26" ht="14.25" x14ac:dyDescent="0.2">
      <c r="H93" s="9"/>
      <c r="U93" s="152"/>
      <c r="V93" s="21"/>
      <c r="W93" s="21"/>
      <c r="X93" s="21"/>
      <c r="Y93" s="21"/>
      <c r="Z93" s="21"/>
    </row>
    <row r="94" spans="1:26" ht="15.75" x14ac:dyDescent="0.2">
      <c r="A94" s="103" t="s">
        <v>879</v>
      </c>
      <c r="B94" s="97"/>
      <c r="C94" s="97"/>
      <c r="D94" s="97"/>
      <c r="E94" s="97"/>
      <c r="F94" s="97"/>
      <c r="G94" s="97"/>
      <c r="H94" s="97"/>
      <c r="I94" s="113"/>
      <c r="J94" s="113"/>
      <c r="K94" s="113"/>
      <c r="L94" s="113"/>
      <c r="M94" s="113"/>
      <c r="N94" s="113"/>
      <c r="O94" s="113"/>
      <c r="R94" s="113"/>
      <c r="S94" s="113"/>
      <c r="T94" s="146"/>
      <c r="U94" s="146"/>
    </row>
    <row r="95" spans="1:26" ht="89.25" x14ac:dyDescent="0.2">
      <c r="A95" s="211" t="s">
        <v>0</v>
      </c>
      <c r="B95" s="212" t="s">
        <v>1</v>
      </c>
      <c r="C95" s="212" t="s">
        <v>133</v>
      </c>
      <c r="D95" s="212" t="s">
        <v>199</v>
      </c>
      <c r="E95" s="212" t="s">
        <v>135</v>
      </c>
      <c r="F95" s="212" t="s">
        <v>200</v>
      </c>
      <c r="G95" s="212" t="s">
        <v>137</v>
      </c>
      <c r="H95" s="212" t="s">
        <v>201</v>
      </c>
      <c r="I95" s="104" t="s">
        <v>8</v>
      </c>
      <c r="J95" s="104" t="s">
        <v>9</v>
      </c>
      <c r="K95" s="104" t="s">
        <v>107</v>
      </c>
      <c r="L95" s="104" t="s">
        <v>14</v>
      </c>
      <c r="M95" s="104" t="s">
        <v>12</v>
      </c>
      <c r="N95" s="104" t="s">
        <v>1058</v>
      </c>
      <c r="O95" s="104" t="s">
        <v>100</v>
      </c>
      <c r="P95" s="6" t="s">
        <v>105</v>
      </c>
      <c r="Q95" s="6" t="s">
        <v>106</v>
      </c>
      <c r="R95" s="104" t="s">
        <v>70</v>
      </c>
      <c r="S95" s="104" t="s">
        <v>71</v>
      </c>
      <c r="T95" s="147" t="s">
        <v>80</v>
      </c>
      <c r="U95" s="147" t="s">
        <v>81</v>
      </c>
      <c r="V95" s="5" t="s">
        <v>101</v>
      </c>
      <c r="W95" s="5" t="s">
        <v>102</v>
      </c>
      <c r="X95" s="112" t="s">
        <v>103</v>
      </c>
      <c r="Y95" s="112" t="s">
        <v>104</v>
      </c>
    </row>
    <row r="96" spans="1:26" x14ac:dyDescent="0.2">
      <c r="A96" s="213" t="str">
        <f>A219</f>
        <v>VSL</v>
      </c>
      <c r="B96" s="213" t="str">
        <f>B219</f>
        <v>D248209</v>
      </c>
      <c r="C96" s="219">
        <f>C219*10000</f>
        <v>9923</v>
      </c>
      <c r="D96" s="219">
        <f>F219*10000</f>
        <v>11.299999999999999</v>
      </c>
      <c r="E96" s="219">
        <f t="shared" ref="E96:E103" si="138">G219*10000</f>
        <v>9923</v>
      </c>
      <c r="F96" s="219">
        <f>H219/I219*10000</f>
        <v>14.499999999999998</v>
      </c>
      <c r="G96" s="219">
        <f>J219*10000</f>
        <v>0</v>
      </c>
      <c r="H96" s="219">
        <f>M219*10000</f>
        <v>37</v>
      </c>
      <c r="I96" s="155">
        <f t="shared" ref="I96:I103" si="139">IF(ABS(G96)&gt;ABS(H96), 1, 0)</f>
        <v>0</v>
      </c>
      <c r="J96" s="155">
        <f t="shared" ref="J96:J103" si="140">I96*ABS(C96-E96)</f>
        <v>0</v>
      </c>
      <c r="K96" s="155">
        <f t="shared" ref="K96:K103" si="141">SQRT(SUMSQ(F96,J96))*2</f>
        <v>28.999999999999996</v>
      </c>
      <c r="L96" s="155">
        <f t="shared" ref="L96:L103" si="142">IF(C96&lt;$K$2, C96, $K$1)</f>
        <v>10</v>
      </c>
      <c r="M96" s="156">
        <f t="shared" ref="M96:M103" si="143">IF(AND(C96&lt;$K$1,C96&gt; $K$2), K96/L96*100, K96/C96*100)</f>
        <v>0.29225032752191871</v>
      </c>
      <c r="N96" s="157">
        <f t="shared" ref="N96:N103" si="144">M96*L96/100</f>
        <v>2.9225032752191869E-2</v>
      </c>
      <c r="O96" s="155">
        <f t="shared" ref="O96:O103" si="145">N96/(M96*L96/100)*100</f>
        <v>100</v>
      </c>
      <c r="P96" s="250">
        <v>1</v>
      </c>
      <c r="Q96" s="250">
        <v>1000</v>
      </c>
      <c r="R96" s="148">
        <f t="shared" ref="R96:R103" si="146">IF( IF(P96&lt;L96, M96*L96/P96, M96)&gt;100, "ERROR",  IF(P96&lt;L96, M96*L96/P96, M96))</f>
        <v>2.9225032752191868</v>
      </c>
      <c r="S96" s="148">
        <f t="shared" ref="S96:S103" si="147">IF(IF(Q96&lt;L96, M96*L96/Q96, M96)&gt;100, "ERROR", IF(Q96&lt;L96, M96*L96/Q96, M96))</f>
        <v>0.29225032752191871</v>
      </c>
      <c r="T96" s="148">
        <f>R96*P96*0.01</f>
        <v>2.9225032752191869E-2</v>
      </c>
      <c r="U96" s="148">
        <f>S96*Q96*0.01</f>
        <v>2.9225032752191873</v>
      </c>
      <c r="V96" s="7">
        <f>P96*1000</f>
        <v>1000</v>
      </c>
      <c r="W96" s="7">
        <f>Q96*1000</f>
        <v>1000000</v>
      </c>
      <c r="X96" s="1345">
        <f>T96*1000</f>
        <v>29.225032752191868</v>
      </c>
      <c r="Y96" s="1345">
        <f>U96*1000</f>
        <v>2922.5032752191873</v>
      </c>
    </row>
    <row r="97" spans="1:26" x14ac:dyDescent="0.2">
      <c r="A97" s="213" t="str">
        <f t="shared" ref="A97:B97" si="148">A220</f>
        <v>BAM</v>
      </c>
      <c r="B97" s="213" t="str">
        <f t="shared" si="148"/>
        <v>D248163</v>
      </c>
      <c r="C97" s="219">
        <f t="shared" ref="C97:C103" si="149">C220*10000</f>
        <v>10004</v>
      </c>
      <c r="D97" s="219">
        <f t="shared" ref="D97:D103" si="150">F220*10000</f>
        <v>11.299999999999999</v>
      </c>
      <c r="E97" s="219">
        <f t="shared" si="138"/>
        <v>10400</v>
      </c>
      <c r="F97" s="219">
        <f t="shared" ref="F97:F103" si="151">H220/I220*10000</f>
        <v>205</v>
      </c>
      <c r="G97" s="219">
        <f t="shared" ref="G97:G103" si="152">J220*10000</f>
        <v>396.00000000000006</v>
      </c>
      <c r="H97" s="219">
        <f t="shared" ref="H97:H103" si="153">M220*10000</f>
        <v>411</v>
      </c>
      <c r="I97" s="155">
        <f t="shared" si="139"/>
        <v>0</v>
      </c>
      <c r="J97" s="155">
        <f t="shared" si="140"/>
        <v>0</v>
      </c>
      <c r="K97" s="155">
        <f t="shared" si="141"/>
        <v>410</v>
      </c>
      <c r="L97" s="155">
        <f t="shared" si="142"/>
        <v>10</v>
      </c>
      <c r="M97" s="156">
        <f t="shared" si="143"/>
        <v>4.0983606557377046</v>
      </c>
      <c r="N97" s="157">
        <f t="shared" si="144"/>
        <v>0.40983606557377045</v>
      </c>
      <c r="O97" s="155">
        <f t="shared" si="145"/>
        <v>100</v>
      </c>
      <c r="P97" s="250">
        <v>1</v>
      </c>
      <c r="Q97" s="250">
        <v>1000</v>
      </c>
      <c r="R97" s="148">
        <f t="shared" si="146"/>
        <v>40.983606557377044</v>
      </c>
      <c r="S97" s="148">
        <f t="shared" si="147"/>
        <v>4.0983606557377046</v>
      </c>
      <c r="T97" s="148">
        <f t="shared" ref="T97:T103" si="154">R97*P97*0.01</f>
        <v>0.40983606557377045</v>
      </c>
      <c r="U97" s="148">
        <f t="shared" ref="U97:U103" si="155">S97*Q97*0.01</f>
        <v>40.983606557377044</v>
      </c>
      <c r="V97" s="7">
        <f t="shared" ref="V97:V103" si="156">P97*1000</f>
        <v>1000</v>
      </c>
      <c r="W97" s="7">
        <f t="shared" ref="W97:W103" si="157">Q97*1000</f>
        <v>1000000</v>
      </c>
      <c r="X97" s="1345">
        <f t="shared" ref="X97:X103" si="158">T97*1000</f>
        <v>409.83606557377044</v>
      </c>
      <c r="Y97" s="1345">
        <f t="shared" ref="Y97:Y103" si="159">U97*1000</f>
        <v>40983.606557377047</v>
      </c>
    </row>
    <row r="98" spans="1:26" x14ac:dyDescent="0.2">
      <c r="A98" s="213" t="str">
        <f t="shared" ref="A98:B98" si="160">A221</f>
        <v>MKEH</v>
      </c>
      <c r="B98" s="213" t="str">
        <f t="shared" si="160"/>
        <v>D248168</v>
      </c>
      <c r="C98" s="219">
        <f t="shared" si="149"/>
        <v>9927</v>
      </c>
      <c r="D98" s="219">
        <f t="shared" si="150"/>
        <v>11.299999999999999</v>
      </c>
      <c r="E98" s="219">
        <f t="shared" si="138"/>
        <v>10176.5</v>
      </c>
      <c r="F98" s="219">
        <f t="shared" si="151"/>
        <v>55.5</v>
      </c>
      <c r="G98" s="219">
        <f t="shared" si="152"/>
        <v>248.99999999999997</v>
      </c>
      <c r="H98" s="219">
        <f t="shared" si="153"/>
        <v>112.99999999999999</v>
      </c>
      <c r="I98" s="155">
        <f t="shared" si="139"/>
        <v>1</v>
      </c>
      <c r="J98" s="155">
        <f t="shared" si="140"/>
        <v>249.5</v>
      </c>
      <c r="K98" s="155">
        <f t="shared" si="141"/>
        <v>511.19663535668934</v>
      </c>
      <c r="L98" s="155">
        <f t="shared" si="142"/>
        <v>10</v>
      </c>
      <c r="M98" s="156">
        <f t="shared" si="143"/>
        <v>5.1495581279005682</v>
      </c>
      <c r="N98" s="157">
        <f t="shared" si="144"/>
        <v>0.51495581279005687</v>
      </c>
      <c r="O98" s="155">
        <f t="shared" si="145"/>
        <v>100</v>
      </c>
      <c r="P98" s="250">
        <v>1</v>
      </c>
      <c r="Q98" s="250">
        <v>1000</v>
      </c>
      <c r="R98" s="148">
        <f t="shared" si="146"/>
        <v>51.495581279005684</v>
      </c>
      <c r="S98" s="148">
        <f t="shared" si="147"/>
        <v>5.1495581279005682</v>
      </c>
      <c r="T98" s="148">
        <f t="shared" si="154"/>
        <v>0.51495581279005687</v>
      </c>
      <c r="U98" s="148">
        <f t="shared" si="155"/>
        <v>51.495581279005684</v>
      </c>
      <c r="V98" s="7">
        <f t="shared" si="156"/>
        <v>1000</v>
      </c>
      <c r="W98" s="7">
        <f t="shared" si="157"/>
        <v>1000000</v>
      </c>
      <c r="X98" s="1345">
        <f t="shared" si="158"/>
        <v>514.95581279005683</v>
      </c>
      <c r="Y98" s="1345">
        <f t="shared" si="159"/>
        <v>51495.581279005681</v>
      </c>
    </row>
    <row r="99" spans="1:26" x14ac:dyDescent="0.2">
      <c r="A99" s="213" t="str">
        <f t="shared" ref="A99:B99" si="161">A222</f>
        <v>KRISS</v>
      </c>
      <c r="B99" s="213" t="str">
        <f t="shared" si="161"/>
        <v>D248205</v>
      </c>
      <c r="C99" s="219">
        <f t="shared" si="149"/>
        <v>10089.999999999998</v>
      </c>
      <c r="D99" s="219">
        <f t="shared" si="150"/>
        <v>11.299999999999999</v>
      </c>
      <c r="E99" s="219">
        <f t="shared" si="138"/>
        <v>10240</v>
      </c>
      <c r="F99" s="219">
        <f t="shared" si="151"/>
        <v>13</v>
      </c>
      <c r="G99" s="219">
        <f t="shared" si="152"/>
        <v>150</v>
      </c>
      <c r="H99" s="219">
        <f t="shared" si="153"/>
        <v>34</v>
      </c>
      <c r="I99" s="155">
        <f t="shared" si="139"/>
        <v>1</v>
      </c>
      <c r="J99" s="155">
        <f t="shared" si="140"/>
        <v>150.00000000000182</v>
      </c>
      <c r="K99" s="155">
        <f t="shared" si="141"/>
        <v>301.1245589453012</v>
      </c>
      <c r="L99" s="155">
        <f t="shared" si="142"/>
        <v>10</v>
      </c>
      <c r="M99" s="156">
        <f t="shared" si="143"/>
        <v>2.984386114423204</v>
      </c>
      <c r="N99" s="157">
        <f t="shared" si="144"/>
        <v>0.29843861144232042</v>
      </c>
      <c r="O99" s="155">
        <f t="shared" si="145"/>
        <v>100</v>
      </c>
      <c r="P99" s="250">
        <v>1</v>
      </c>
      <c r="Q99" s="250">
        <v>1000</v>
      </c>
      <c r="R99" s="148">
        <f t="shared" si="146"/>
        <v>29.84386114423204</v>
      </c>
      <c r="S99" s="148">
        <f t="shared" si="147"/>
        <v>2.984386114423204</v>
      </c>
      <c r="T99" s="148">
        <f t="shared" si="154"/>
        <v>0.29843861144232042</v>
      </c>
      <c r="U99" s="148">
        <f t="shared" si="155"/>
        <v>29.843861144232044</v>
      </c>
      <c r="V99" s="7">
        <f t="shared" si="156"/>
        <v>1000</v>
      </c>
      <c r="W99" s="7">
        <f t="shared" si="157"/>
        <v>1000000</v>
      </c>
      <c r="X99" s="1345">
        <f t="shared" si="158"/>
        <v>298.43861144232045</v>
      </c>
      <c r="Y99" s="1345">
        <f t="shared" si="159"/>
        <v>29843.861144232043</v>
      </c>
    </row>
    <row r="100" spans="1:26" x14ac:dyDescent="0.2">
      <c r="A100" s="213" t="str">
        <f t="shared" ref="A100:B100" si="162">A223</f>
        <v>NIM</v>
      </c>
      <c r="B100" s="213" t="str">
        <f t="shared" si="162"/>
        <v>D248188</v>
      </c>
      <c r="C100" s="219">
        <f t="shared" si="149"/>
        <v>9981</v>
      </c>
      <c r="D100" s="219">
        <f t="shared" si="150"/>
        <v>11.299999999999999</v>
      </c>
      <c r="E100" s="219">
        <f t="shared" si="138"/>
        <v>9929</v>
      </c>
      <c r="F100" s="219">
        <f t="shared" si="151"/>
        <v>25</v>
      </c>
      <c r="G100" s="219">
        <f t="shared" si="152"/>
        <v>-52</v>
      </c>
      <c r="H100" s="219">
        <f t="shared" si="153"/>
        <v>55</v>
      </c>
      <c r="I100" s="155">
        <f t="shared" si="139"/>
        <v>0</v>
      </c>
      <c r="J100" s="155">
        <f t="shared" si="140"/>
        <v>0</v>
      </c>
      <c r="K100" s="155">
        <f t="shared" si="141"/>
        <v>50</v>
      </c>
      <c r="L100" s="155">
        <f t="shared" si="142"/>
        <v>10</v>
      </c>
      <c r="M100" s="156">
        <f t="shared" si="143"/>
        <v>0.50095180843602849</v>
      </c>
      <c r="N100" s="157">
        <f t="shared" si="144"/>
        <v>5.009518084360285E-2</v>
      </c>
      <c r="O100" s="155">
        <f t="shared" si="145"/>
        <v>100</v>
      </c>
      <c r="P100" s="250">
        <v>1</v>
      </c>
      <c r="Q100" s="250">
        <v>1000</v>
      </c>
      <c r="R100" s="148">
        <f t="shared" si="146"/>
        <v>5.0095180843602849</v>
      </c>
      <c r="S100" s="148">
        <f t="shared" si="147"/>
        <v>0.50095180843602849</v>
      </c>
      <c r="T100" s="148">
        <f t="shared" si="154"/>
        <v>5.009518084360285E-2</v>
      </c>
      <c r="U100" s="148">
        <f t="shared" si="155"/>
        <v>5.0095180843602849</v>
      </c>
      <c r="V100" s="7">
        <f t="shared" si="156"/>
        <v>1000</v>
      </c>
      <c r="W100" s="7">
        <f t="shared" si="157"/>
        <v>1000000</v>
      </c>
      <c r="X100" s="1345">
        <f t="shared" si="158"/>
        <v>50.095180843602847</v>
      </c>
      <c r="Y100" s="1345">
        <f t="shared" si="159"/>
        <v>5009.5180843602848</v>
      </c>
    </row>
    <row r="101" spans="1:26" x14ac:dyDescent="0.2">
      <c r="A101" s="213" t="str">
        <f t="shared" ref="A101:B101" si="163">A224</f>
        <v>NPL</v>
      </c>
      <c r="B101" s="213" t="str">
        <f t="shared" si="163"/>
        <v>D248159</v>
      </c>
      <c r="C101" s="219">
        <f t="shared" si="149"/>
        <v>10020</v>
      </c>
      <c r="D101" s="219">
        <f t="shared" si="150"/>
        <v>11.299999999999999</v>
      </c>
      <c r="E101" s="219">
        <f t="shared" si="138"/>
        <v>10127</v>
      </c>
      <c r="F101" s="219">
        <f t="shared" si="151"/>
        <v>23</v>
      </c>
      <c r="G101" s="219">
        <f t="shared" si="152"/>
        <v>107</v>
      </c>
      <c r="H101" s="219">
        <f t="shared" si="153"/>
        <v>51.000000000000007</v>
      </c>
      <c r="I101" s="155">
        <f t="shared" si="139"/>
        <v>1</v>
      </c>
      <c r="J101" s="155">
        <f t="shared" si="140"/>
        <v>107</v>
      </c>
      <c r="K101" s="155">
        <f t="shared" si="141"/>
        <v>218.88809926535521</v>
      </c>
      <c r="L101" s="155">
        <f t="shared" si="142"/>
        <v>10</v>
      </c>
      <c r="M101" s="156">
        <f t="shared" si="143"/>
        <v>2.1845119687161199</v>
      </c>
      <c r="N101" s="157">
        <f t="shared" si="144"/>
        <v>0.21845119687161196</v>
      </c>
      <c r="O101" s="155">
        <f t="shared" si="145"/>
        <v>100</v>
      </c>
      <c r="P101" s="250">
        <v>1</v>
      </c>
      <c r="Q101" s="250">
        <v>1000</v>
      </c>
      <c r="R101" s="148">
        <f t="shared" si="146"/>
        <v>21.845119687161198</v>
      </c>
      <c r="S101" s="148">
        <f t="shared" si="147"/>
        <v>2.1845119687161199</v>
      </c>
      <c r="T101" s="148">
        <f t="shared" si="154"/>
        <v>0.21845119687161199</v>
      </c>
      <c r="U101" s="148">
        <f t="shared" si="155"/>
        <v>21.845119687161201</v>
      </c>
      <c r="V101" s="7">
        <f t="shared" si="156"/>
        <v>1000</v>
      </c>
      <c r="W101" s="7">
        <f t="shared" si="157"/>
        <v>1000000</v>
      </c>
      <c r="X101" s="1345">
        <f t="shared" si="158"/>
        <v>218.45119687161198</v>
      </c>
      <c r="Y101" s="1345">
        <f t="shared" si="159"/>
        <v>21845.119687161201</v>
      </c>
    </row>
    <row r="102" spans="1:26" x14ac:dyDescent="0.2">
      <c r="A102" s="213" t="str">
        <f t="shared" ref="A102:B102" si="164">A225</f>
        <v>SMU</v>
      </c>
      <c r="B102" s="213" t="str">
        <f t="shared" si="164"/>
        <v>D248206</v>
      </c>
      <c r="C102" s="219">
        <f t="shared" si="149"/>
        <v>10041</v>
      </c>
      <c r="D102" s="219">
        <f t="shared" si="150"/>
        <v>11.299999999999999</v>
      </c>
      <c r="E102" s="219">
        <f t="shared" si="138"/>
        <v>10180</v>
      </c>
      <c r="F102" s="219">
        <f t="shared" si="151"/>
        <v>65</v>
      </c>
      <c r="G102" s="219">
        <f t="shared" si="152"/>
        <v>139</v>
      </c>
      <c r="H102" s="219">
        <f t="shared" si="153"/>
        <v>132</v>
      </c>
      <c r="I102" s="155">
        <f t="shared" si="139"/>
        <v>1</v>
      </c>
      <c r="J102" s="155">
        <f t="shared" si="140"/>
        <v>139</v>
      </c>
      <c r="K102" s="155">
        <f t="shared" si="141"/>
        <v>306.89411854905268</v>
      </c>
      <c r="L102" s="155">
        <f t="shared" si="142"/>
        <v>10</v>
      </c>
      <c r="M102" s="156">
        <f t="shared" si="143"/>
        <v>3.0564099048805167</v>
      </c>
      <c r="N102" s="157">
        <f t="shared" si="144"/>
        <v>0.30564099048805171</v>
      </c>
      <c r="O102" s="155">
        <f t="shared" si="145"/>
        <v>100</v>
      </c>
      <c r="P102" s="250">
        <v>1</v>
      </c>
      <c r="Q102" s="250">
        <v>1000</v>
      </c>
      <c r="R102" s="148">
        <f t="shared" si="146"/>
        <v>30.564099048805168</v>
      </c>
      <c r="S102" s="148">
        <f t="shared" si="147"/>
        <v>3.0564099048805167</v>
      </c>
      <c r="T102" s="148">
        <f t="shared" si="154"/>
        <v>0.30564099048805171</v>
      </c>
      <c r="U102" s="148">
        <f t="shared" si="155"/>
        <v>30.564099048805165</v>
      </c>
      <c r="V102" s="7">
        <f t="shared" si="156"/>
        <v>1000</v>
      </c>
      <c r="W102" s="7">
        <f t="shared" si="157"/>
        <v>1000000</v>
      </c>
      <c r="X102" s="1345">
        <f t="shared" si="158"/>
        <v>305.64099048805173</v>
      </c>
      <c r="Y102" s="1345">
        <f t="shared" si="159"/>
        <v>30564.099048805165</v>
      </c>
    </row>
    <row r="103" spans="1:26" x14ac:dyDescent="0.2">
      <c r="A103" s="213" t="str">
        <f t="shared" ref="A103:B103" si="165">A226</f>
        <v>VNIIM</v>
      </c>
      <c r="B103" s="213" t="str">
        <f t="shared" si="165"/>
        <v>D248176</v>
      </c>
      <c r="C103" s="219">
        <f t="shared" si="149"/>
        <v>9985</v>
      </c>
      <c r="D103" s="219">
        <f t="shared" si="150"/>
        <v>11.299999999999999</v>
      </c>
      <c r="E103" s="219">
        <f t="shared" si="138"/>
        <v>9951</v>
      </c>
      <c r="F103" s="219">
        <f t="shared" si="151"/>
        <v>25</v>
      </c>
      <c r="G103" s="219">
        <f t="shared" si="152"/>
        <v>-34</v>
      </c>
      <c r="H103" s="219">
        <f t="shared" si="153"/>
        <v>59</v>
      </c>
      <c r="I103" s="155">
        <f t="shared" si="139"/>
        <v>0</v>
      </c>
      <c r="J103" s="155">
        <f t="shared" si="140"/>
        <v>0</v>
      </c>
      <c r="K103" s="155">
        <f t="shared" si="141"/>
        <v>50</v>
      </c>
      <c r="L103" s="155">
        <f t="shared" si="142"/>
        <v>10</v>
      </c>
      <c r="M103" s="156">
        <f t="shared" si="143"/>
        <v>0.50075112669003508</v>
      </c>
      <c r="N103" s="157">
        <f t="shared" si="144"/>
        <v>5.007511266900351E-2</v>
      </c>
      <c r="O103" s="155">
        <f t="shared" si="145"/>
        <v>100</v>
      </c>
      <c r="P103" s="250">
        <v>1</v>
      </c>
      <c r="Q103" s="250">
        <v>1000</v>
      </c>
      <c r="R103" s="148">
        <f t="shared" si="146"/>
        <v>5.0075112669003508</v>
      </c>
      <c r="S103" s="148">
        <f t="shared" si="147"/>
        <v>0.50075112669003508</v>
      </c>
      <c r="T103" s="148">
        <f t="shared" si="154"/>
        <v>5.007511266900351E-2</v>
      </c>
      <c r="U103" s="148">
        <f t="shared" si="155"/>
        <v>5.0075112669003508</v>
      </c>
      <c r="V103" s="7">
        <f t="shared" si="156"/>
        <v>1000</v>
      </c>
      <c r="W103" s="7">
        <f t="shared" si="157"/>
        <v>1000000</v>
      </c>
      <c r="X103" s="1345">
        <f t="shared" si="158"/>
        <v>50.075112669003509</v>
      </c>
      <c r="Y103" s="1345">
        <f t="shared" si="159"/>
        <v>5007.5112669003511</v>
      </c>
    </row>
    <row r="104" spans="1:26" ht="14.25" x14ac:dyDescent="0.2">
      <c r="H104" s="9"/>
      <c r="U104" s="152"/>
      <c r="V104" s="21"/>
      <c r="W104" s="21"/>
      <c r="X104" s="21"/>
      <c r="Y104" s="21"/>
      <c r="Z104" s="21"/>
    </row>
    <row r="105" spans="1:26" ht="15.75" x14ac:dyDescent="0.2">
      <c r="A105" s="103" t="s">
        <v>880</v>
      </c>
      <c r="B105" s="97"/>
      <c r="C105" s="97"/>
      <c r="D105" s="97"/>
      <c r="E105" s="97"/>
      <c r="F105" s="97"/>
      <c r="G105" s="97"/>
      <c r="H105" s="97"/>
      <c r="I105" s="113"/>
      <c r="J105" s="113"/>
      <c r="K105" s="113"/>
      <c r="L105" s="113"/>
      <c r="M105" s="113"/>
      <c r="N105" s="113"/>
      <c r="O105" s="113"/>
      <c r="R105" s="113"/>
      <c r="S105" s="113"/>
      <c r="T105" s="146"/>
      <c r="U105" s="146"/>
    </row>
    <row r="106" spans="1:26" ht="89.25" x14ac:dyDescent="0.2">
      <c r="A106" s="211" t="s">
        <v>0</v>
      </c>
      <c r="B106" s="212" t="s">
        <v>1</v>
      </c>
      <c r="C106" s="212" t="s">
        <v>133</v>
      </c>
      <c r="D106" s="212" t="s">
        <v>199</v>
      </c>
      <c r="E106" s="212" t="s">
        <v>135</v>
      </c>
      <c r="F106" s="212" t="s">
        <v>200</v>
      </c>
      <c r="G106" s="212" t="s">
        <v>137</v>
      </c>
      <c r="H106" s="212" t="s">
        <v>201</v>
      </c>
      <c r="I106" s="104" t="s">
        <v>8</v>
      </c>
      <c r="J106" s="104" t="s">
        <v>9</v>
      </c>
      <c r="K106" s="104" t="s">
        <v>107</v>
      </c>
      <c r="L106" s="104" t="s">
        <v>14</v>
      </c>
      <c r="M106" s="104" t="s">
        <v>12</v>
      </c>
      <c r="N106" s="104" t="s">
        <v>1058</v>
      </c>
      <c r="O106" s="104" t="s">
        <v>100</v>
      </c>
      <c r="P106" s="6" t="s">
        <v>105</v>
      </c>
      <c r="Q106" s="6" t="s">
        <v>106</v>
      </c>
      <c r="R106" s="104" t="s">
        <v>70</v>
      </c>
      <c r="S106" s="104" t="s">
        <v>71</v>
      </c>
      <c r="T106" s="147" t="s">
        <v>80</v>
      </c>
      <c r="U106" s="147" t="s">
        <v>81</v>
      </c>
      <c r="V106" s="5" t="s">
        <v>101</v>
      </c>
      <c r="W106" s="5" t="s">
        <v>102</v>
      </c>
      <c r="X106" s="112" t="s">
        <v>103</v>
      </c>
      <c r="Y106" s="112" t="s">
        <v>104</v>
      </c>
    </row>
    <row r="107" spans="1:26" x14ac:dyDescent="0.2">
      <c r="A107" s="213" t="str">
        <f>A230</f>
        <v>VSL</v>
      </c>
      <c r="B107" s="213" t="str">
        <f>B230</f>
        <v>D248209</v>
      </c>
      <c r="C107" s="219">
        <f>C230*10000</f>
        <v>5020</v>
      </c>
      <c r="D107" s="219">
        <f>F230*10000</f>
        <v>7.2</v>
      </c>
      <c r="E107" s="219">
        <f t="shared" ref="E107:E114" si="166">G230*10000</f>
        <v>5019</v>
      </c>
      <c r="F107" s="219">
        <f>H230/I230*10000</f>
        <v>8</v>
      </c>
      <c r="G107" s="219">
        <f>J230*10000</f>
        <v>-1</v>
      </c>
      <c r="H107" s="219">
        <f>M230*10000</f>
        <v>21</v>
      </c>
      <c r="I107" s="155">
        <f t="shared" ref="I107:I114" si="167">IF(ABS(G107)&gt;ABS(H107), 1, 0)</f>
        <v>0</v>
      </c>
      <c r="J107" s="155">
        <f t="shared" ref="J107:J114" si="168">I107*ABS(C107-E107)</f>
        <v>0</v>
      </c>
      <c r="K107" s="155">
        <f t="shared" ref="K107:K114" si="169">SQRT(SUMSQ(F107,J107))*2</f>
        <v>16</v>
      </c>
      <c r="L107" s="155">
        <f t="shared" ref="L107:L114" si="170">IF(C107&lt;$K$2, C107, $K$1)</f>
        <v>10</v>
      </c>
      <c r="M107" s="156">
        <f t="shared" ref="M107:M114" si="171">IF(AND(C107&lt;$K$1,C107&gt; $K$2), K107/L107*100, K107/C107*100)</f>
        <v>0.31872509960159362</v>
      </c>
      <c r="N107" s="157">
        <f t="shared" ref="N107:N114" si="172">M107*L107/100</f>
        <v>3.1872509960159362E-2</v>
      </c>
      <c r="O107" s="155">
        <f t="shared" ref="O107:O114" si="173">N107/(M107*L107/100)*100</f>
        <v>100</v>
      </c>
      <c r="P107" s="250">
        <v>1</v>
      </c>
      <c r="Q107" s="250">
        <v>1000</v>
      </c>
      <c r="R107" s="148">
        <f t="shared" ref="R107:R114" si="174">IF( IF(P107&lt;L107, M107*L107/P107, M107)&gt;100, "ERROR",  IF(P107&lt;L107, M107*L107/P107, M107))</f>
        <v>3.1872509960159361</v>
      </c>
      <c r="S107" s="148">
        <f t="shared" ref="S107:S114" si="175">IF(IF(Q107&lt;L107, M107*L107/Q107, M107)&gt;100, "ERROR", IF(Q107&lt;L107, M107*L107/Q107, M107))</f>
        <v>0.31872509960159362</v>
      </c>
      <c r="T107" s="148">
        <f>R107*P107*0.01</f>
        <v>3.1872509960159362E-2</v>
      </c>
      <c r="U107" s="148">
        <f>S107*Q107*0.01</f>
        <v>3.1872509960159365</v>
      </c>
      <c r="V107" s="7">
        <f>P107*1000</f>
        <v>1000</v>
      </c>
      <c r="W107" s="7">
        <f>Q107*1000</f>
        <v>1000000</v>
      </c>
      <c r="X107" s="1345">
        <f>T107*1000</f>
        <v>31.872509960159363</v>
      </c>
      <c r="Y107" s="1345">
        <f>U107*1000</f>
        <v>3187.2509960159364</v>
      </c>
    </row>
    <row r="108" spans="1:26" x14ac:dyDescent="0.2">
      <c r="A108" s="213" t="str">
        <f t="shared" ref="A108:B108" si="176">A231</f>
        <v>BAM</v>
      </c>
      <c r="B108" s="213" t="str">
        <f t="shared" si="176"/>
        <v>D248163</v>
      </c>
      <c r="C108" s="219">
        <f t="shared" ref="C108:C114" si="177">C231*10000</f>
        <v>4963</v>
      </c>
      <c r="D108" s="219">
        <f t="shared" ref="D108:D114" si="178">F231*10000</f>
        <v>7.2</v>
      </c>
      <c r="E108" s="219">
        <f t="shared" si="166"/>
        <v>0</v>
      </c>
      <c r="F108" s="219" t="e">
        <f t="shared" ref="F108:F114" si="179">H231/I231*10000</f>
        <v>#DIV/0!</v>
      </c>
      <c r="G108" s="219">
        <f t="shared" ref="G108:G114" si="180">J231*10000</f>
        <v>0</v>
      </c>
      <c r="H108" s="219">
        <f t="shared" ref="H108:H114" si="181">M231*10000</f>
        <v>0</v>
      </c>
      <c r="I108" s="155">
        <f t="shared" si="167"/>
        <v>0</v>
      </c>
      <c r="J108" s="155">
        <f t="shared" si="168"/>
        <v>0</v>
      </c>
      <c r="K108" s="155" t="e">
        <f t="shared" si="169"/>
        <v>#DIV/0!</v>
      </c>
      <c r="L108" s="155">
        <f t="shared" si="170"/>
        <v>10</v>
      </c>
      <c r="M108" s="156" t="e">
        <f t="shared" si="171"/>
        <v>#DIV/0!</v>
      </c>
      <c r="N108" s="157" t="e">
        <f t="shared" si="172"/>
        <v>#DIV/0!</v>
      </c>
      <c r="O108" s="155" t="e">
        <f t="shared" si="173"/>
        <v>#DIV/0!</v>
      </c>
      <c r="P108" s="250">
        <v>1</v>
      </c>
      <c r="Q108" s="250">
        <v>1000</v>
      </c>
      <c r="R108" s="148" t="e">
        <f t="shared" si="174"/>
        <v>#DIV/0!</v>
      </c>
      <c r="S108" s="148" t="e">
        <f t="shared" si="175"/>
        <v>#DIV/0!</v>
      </c>
      <c r="T108" s="148" t="e">
        <f t="shared" ref="T108:T114" si="182">R108*P108*0.01</f>
        <v>#DIV/0!</v>
      </c>
      <c r="U108" s="148" t="e">
        <f t="shared" ref="U108:U114" si="183">S108*Q108*0.01</f>
        <v>#DIV/0!</v>
      </c>
      <c r="V108" s="7">
        <f t="shared" ref="V108:V114" si="184">P108*1000</f>
        <v>1000</v>
      </c>
      <c r="W108" s="7">
        <f t="shared" ref="W108:W114" si="185">Q108*1000</f>
        <v>1000000</v>
      </c>
      <c r="X108" s="1345" t="e">
        <f t="shared" ref="X108:X114" si="186">T108*1000</f>
        <v>#DIV/0!</v>
      </c>
      <c r="Y108" s="1345" t="e">
        <f t="shared" ref="Y108:Y114" si="187">U108*1000</f>
        <v>#DIV/0!</v>
      </c>
    </row>
    <row r="109" spans="1:26" x14ac:dyDescent="0.2">
      <c r="A109" s="213" t="str">
        <f t="shared" ref="A109:B109" si="188">A232</f>
        <v>MKEH</v>
      </c>
      <c r="B109" s="213" t="str">
        <f t="shared" si="188"/>
        <v>D248168</v>
      </c>
      <c r="C109" s="219">
        <f t="shared" si="177"/>
        <v>4965</v>
      </c>
      <c r="D109" s="219">
        <f t="shared" si="178"/>
        <v>7</v>
      </c>
      <c r="E109" s="219">
        <f t="shared" si="166"/>
        <v>5062.4000000000005</v>
      </c>
      <c r="F109" s="219">
        <f t="shared" si="179"/>
        <v>23</v>
      </c>
      <c r="G109" s="219">
        <f t="shared" si="180"/>
        <v>98</v>
      </c>
      <c r="H109" s="219">
        <f t="shared" si="181"/>
        <v>47.999999999999993</v>
      </c>
      <c r="I109" s="155">
        <f t="shared" si="167"/>
        <v>1</v>
      </c>
      <c r="J109" s="155">
        <f t="shared" si="168"/>
        <v>97.400000000000546</v>
      </c>
      <c r="K109" s="155">
        <f t="shared" si="169"/>
        <v>200.1575379544833</v>
      </c>
      <c r="L109" s="155">
        <f t="shared" si="170"/>
        <v>10</v>
      </c>
      <c r="M109" s="156">
        <f t="shared" si="171"/>
        <v>4.0313703515505201</v>
      </c>
      <c r="N109" s="157">
        <f t="shared" si="172"/>
        <v>0.40313703515505206</v>
      </c>
      <c r="O109" s="155">
        <f t="shared" si="173"/>
        <v>100</v>
      </c>
      <c r="P109" s="250">
        <v>1</v>
      </c>
      <c r="Q109" s="250">
        <v>1000</v>
      </c>
      <c r="R109" s="148">
        <f t="shared" si="174"/>
        <v>40.313703515505203</v>
      </c>
      <c r="S109" s="148">
        <f t="shared" si="175"/>
        <v>4.0313703515505201</v>
      </c>
      <c r="T109" s="148">
        <f t="shared" si="182"/>
        <v>0.40313703515505206</v>
      </c>
      <c r="U109" s="148">
        <f t="shared" si="183"/>
        <v>40.313703515505203</v>
      </c>
      <c r="V109" s="7">
        <f t="shared" si="184"/>
        <v>1000</v>
      </c>
      <c r="W109" s="7">
        <f t="shared" si="185"/>
        <v>1000000</v>
      </c>
      <c r="X109" s="1345">
        <f t="shared" si="186"/>
        <v>403.13703515505205</v>
      </c>
      <c r="Y109" s="1345">
        <f t="shared" si="187"/>
        <v>40313.7035155052</v>
      </c>
    </row>
    <row r="110" spans="1:26" x14ac:dyDescent="0.2">
      <c r="A110" s="213" t="str">
        <f t="shared" ref="A110:B110" si="189">A233</f>
        <v>KRISS</v>
      </c>
      <c r="B110" s="213" t="str">
        <f t="shared" si="189"/>
        <v>D248205</v>
      </c>
      <c r="C110" s="219">
        <f t="shared" si="177"/>
        <v>4934</v>
      </c>
      <c r="D110" s="219">
        <f t="shared" si="178"/>
        <v>7</v>
      </c>
      <c r="E110" s="219">
        <f t="shared" si="166"/>
        <v>5360</v>
      </c>
      <c r="F110" s="219">
        <f t="shared" si="179"/>
        <v>8</v>
      </c>
      <c r="G110" s="219">
        <f t="shared" si="180"/>
        <v>426</v>
      </c>
      <c r="H110" s="219">
        <f t="shared" si="181"/>
        <v>21</v>
      </c>
      <c r="I110" s="155">
        <f t="shared" si="167"/>
        <v>1</v>
      </c>
      <c r="J110" s="155">
        <f t="shared" si="168"/>
        <v>426</v>
      </c>
      <c r="K110" s="155">
        <f t="shared" si="169"/>
        <v>852.15022149853371</v>
      </c>
      <c r="L110" s="155">
        <f t="shared" si="170"/>
        <v>10</v>
      </c>
      <c r="M110" s="156">
        <f t="shared" si="171"/>
        <v>17.270981384242678</v>
      </c>
      <c r="N110" s="157">
        <f t="shared" si="172"/>
        <v>1.7270981384242676</v>
      </c>
      <c r="O110" s="155">
        <f t="shared" si="173"/>
        <v>100</v>
      </c>
      <c r="P110" s="250">
        <v>10</v>
      </c>
      <c r="Q110" s="250">
        <v>1000</v>
      </c>
      <c r="R110" s="148">
        <f t="shared" si="174"/>
        <v>17.270981384242678</v>
      </c>
      <c r="S110" s="148">
        <f t="shared" si="175"/>
        <v>17.270981384242678</v>
      </c>
      <c r="T110" s="148">
        <f t="shared" si="182"/>
        <v>1.7270981384242676</v>
      </c>
      <c r="U110" s="148">
        <f t="shared" si="183"/>
        <v>172.70981384242677</v>
      </c>
      <c r="V110" s="7">
        <f t="shared" si="184"/>
        <v>10000</v>
      </c>
      <c r="W110" s="7">
        <f t="shared" si="185"/>
        <v>1000000</v>
      </c>
      <c r="X110" s="1345">
        <f t="shared" si="186"/>
        <v>1727.0981384242675</v>
      </c>
      <c r="Y110" s="1345">
        <f t="shared" si="187"/>
        <v>172709.81384242678</v>
      </c>
    </row>
    <row r="111" spans="1:26" x14ac:dyDescent="0.2">
      <c r="A111" s="213" t="str">
        <f t="shared" ref="A111:B111" si="190">A234</f>
        <v>NIM</v>
      </c>
      <c r="B111" s="213" t="str">
        <f t="shared" si="190"/>
        <v>D248188</v>
      </c>
      <c r="C111" s="219">
        <f t="shared" si="177"/>
        <v>4880</v>
      </c>
      <c r="D111" s="219">
        <f t="shared" si="178"/>
        <v>7</v>
      </c>
      <c r="E111" s="219">
        <f t="shared" si="166"/>
        <v>4850</v>
      </c>
      <c r="F111" s="219">
        <f t="shared" si="179"/>
        <v>14.499999999999998</v>
      </c>
      <c r="G111" s="219">
        <f t="shared" si="180"/>
        <v>-30</v>
      </c>
      <c r="H111" s="219">
        <f t="shared" si="181"/>
        <v>32</v>
      </c>
      <c r="I111" s="155">
        <f t="shared" si="167"/>
        <v>0</v>
      </c>
      <c r="J111" s="155">
        <f t="shared" si="168"/>
        <v>0</v>
      </c>
      <c r="K111" s="155">
        <f t="shared" si="169"/>
        <v>28.999999999999996</v>
      </c>
      <c r="L111" s="155">
        <f t="shared" si="170"/>
        <v>10</v>
      </c>
      <c r="M111" s="156">
        <f t="shared" si="171"/>
        <v>0.59426229508196715</v>
      </c>
      <c r="N111" s="157">
        <f t="shared" si="172"/>
        <v>5.9426229508196718E-2</v>
      </c>
      <c r="O111" s="155">
        <f t="shared" si="173"/>
        <v>100</v>
      </c>
      <c r="P111" s="250">
        <v>1</v>
      </c>
      <c r="Q111" s="250">
        <v>1000</v>
      </c>
      <c r="R111" s="148">
        <f t="shared" si="174"/>
        <v>5.942622950819672</v>
      </c>
      <c r="S111" s="148">
        <f t="shared" si="175"/>
        <v>0.59426229508196715</v>
      </c>
      <c r="T111" s="148">
        <f t="shared" si="182"/>
        <v>5.9426229508196718E-2</v>
      </c>
      <c r="U111" s="148">
        <f t="shared" si="183"/>
        <v>5.942622950819672</v>
      </c>
      <c r="V111" s="7">
        <f t="shared" si="184"/>
        <v>1000</v>
      </c>
      <c r="W111" s="7">
        <f t="shared" si="185"/>
        <v>1000000</v>
      </c>
      <c r="X111" s="1345">
        <f t="shared" si="186"/>
        <v>59.42622950819672</v>
      </c>
      <c r="Y111" s="1345">
        <f t="shared" si="187"/>
        <v>5942.622950819672</v>
      </c>
    </row>
    <row r="112" spans="1:26" x14ac:dyDescent="0.2">
      <c r="A112" s="213" t="str">
        <f t="shared" ref="A112:B112" si="191">A235</f>
        <v>NPL</v>
      </c>
      <c r="B112" s="213" t="str">
        <f t="shared" si="191"/>
        <v>D248159</v>
      </c>
      <c r="C112" s="219">
        <f t="shared" si="177"/>
        <v>4935</v>
      </c>
      <c r="D112" s="219">
        <f t="shared" si="178"/>
        <v>7</v>
      </c>
      <c r="E112" s="219">
        <f t="shared" si="166"/>
        <v>4945</v>
      </c>
      <c r="F112" s="219">
        <f t="shared" si="179"/>
        <v>11</v>
      </c>
      <c r="G112" s="219">
        <f t="shared" si="180"/>
        <v>10</v>
      </c>
      <c r="H112" s="219">
        <f t="shared" si="181"/>
        <v>26</v>
      </c>
      <c r="I112" s="155">
        <f t="shared" si="167"/>
        <v>0</v>
      </c>
      <c r="J112" s="155">
        <f t="shared" si="168"/>
        <v>0</v>
      </c>
      <c r="K112" s="155">
        <f t="shared" si="169"/>
        <v>22</v>
      </c>
      <c r="L112" s="155">
        <f t="shared" si="170"/>
        <v>10</v>
      </c>
      <c r="M112" s="156">
        <f t="shared" si="171"/>
        <v>0.44579533941236066</v>
      </c>
      <c r="N112" s="157">
        <f t="shared" si="172"/>
        <v>4.4579533941236066E-2</v>
      </c>
      <c r="O112" s="155">
        <f t="shared" si="173"/>
        <v>100</v>
      </c>
      <c r="P112" s="250">
        <v>1</v>
      </c>
      <c r="Q112" s="250">
        <v>1000</v>
      </c>
      <c r="R112" s="148">
        <f t="shared" si="174"/>
        <v>4.4579533941236065</v>
      </c>
      <c r="S112" s="148">
        <f t="shared" si="175"/>
        <v>0.44579533941236066</v>
      </c>
      <c r="T112" s="148">
        <f t="shared" si="182"/>
        <v>4.4579533941236066E-2</v>
      </c>
      <c r="U112" s="148">
        <f t="shared" si="183"/>
        <v>4.4579533941236065</v>
      </c>
      <c r="V112" s="7">
        <f t="shared" si="184"/>
        <v>1000</v>
      </c>
      <c r="W112" s="7">
        <f t="shared" si="185"/>
        <v>1000000</v>
      </c>
      <c r="X112" s="1345">
        <f t="shared" si="186"/>
        <v>44.579533941236065</v>
      </c>
      <c r="Y112" s="1345">
        <f t="shared" si="187"/>
        <v>4457.9533941236068</v>
      </c>
    </row>
    <row r="113" spans="1:26" x14ac:dyDescent="0.2">
      <c r="A113" s="213" t="str">
        <f t="shared" ref="A113:B113" si="192">A236</f>
        <v>SMU</v>
      </c>
      <c r="B113" s="213" t="str">
        <f t="shared" si="192"/>
        <v>D248206</v>
      </c>
      <c r="C113" s="219">
        <f t="shared" si="177"/>
        <v>4930</v>
      </c>
      <c r="D113" s="219">
        <f t="shared" si="178"/>
        <v>7.1000000000000005</v>
      </c>
      <c r="E113" s="219">
        <f t="shared" si="166"/>
        <v>4927</v>
      </c>
      <c r="F113" s="219">
        <f t="shared" si="179"/>
        <v>22.5</v>
      </c>
      <c r="G113" s="219">
        <f t="shared" si="180"/>
        <v>-2.9999999999999996</v>
      </c>
      <c r="H113" s="219">
        <f t="shared" si="181"/>
        <v>47</v>
      </c>
      <c r="I113" s="155">
        <f t="shared" si="167"/>
        <v>0</v>
      </c>
      <c r="J113" s="155">
        <f t="shared" si="168"/>
        <v>0</v>
      </c>
      <c r="K113" s="155">
        <f t="shared" si="169"/>
        <v>45</v>
      </c>
      <c r="L113" s="155">
        <f t="shared" si="170"/>
        <v>10</v>
      </c>
      <c r="M113" s="156">
        <f t="shared" si="171"/>
        <v>0.91277890466531442</v>
      </c>
      <c r="N113" s="157">
        <f t="shared" si="172"/>
        <v>9.1277890466531439E-2</v>
      </c>
      <c r="O113" s="155">
        <f t="shared" si="173"/>
        <v>100</v>
      </c>
      <c r="P113" s="250">
        <v>1</v>
      </c>
      <c r="Q113" s="250">
        <v>1000</v>
      </c>
      <c r="R113" s="148">
        <f t="shared" si="174"/>
        <v>9.1277890466531435</v>
      </c>
      <c r="S113" s="148">
        <f t="shared" si="175"/>
        <v>0.91277890466531442</v>
      </c>
      <c r="T113" s="148">
        <f t="shared" si="182"/>
        <v>9.1277890466531439E-2</v>
      </c>
      <c r="U113" s="148">
        <f t="shared" si="183"/>
        <v>9.1277890466531435</v>
      </c>
      <c r="V113" s="7">
        <f t="shared" si="184"/>
        <v>1000</v>
      </c>
      <c r="W113" s="7">
        <f t="shared" si="185"/>
        <v>1000000</v>
      </c>
      <c r="X113" s="1345">
        <f t="shared" si="186"/>
        <v>91.277890466531446</v>
      </c>
      <c r="Y113" s="1345">
        <f t="shared" si="187"/>
        <v>9127.7890466531444</v>
      </c>
    </row>
    <row r="114" spans="1:26" x14ac:dyDescent="0.2">
      <c r="A114" s="213" t="str">
        <f t="shared" ref="A114:B114" si="193">A237</f>
        <v>VNIIM</v>
      </c>
      <c r="B114" s="213" t="str">
        <f t="shared" si="193"/>
        <v>D248176</v>
      </c>
      <c r="C114" s="219">
        <f t="shared" si="177"/>
        <v>4998</v>
      </c>
      <c r="D114" s="219">
        <f t="shared" si="178"/>
        <v>7</v>
      </c>
      <c r="E114" s="219">
        <f t="shared" si="166"/>
        <v>4986</v>
      </c>
      <c r="F114" s="219">
        <f t="shared" si="179"/>
        <v>15</v>
      </c>
      <c r="G114" s="219">
        <f t="shared" si="180"/>
        <v>-11.999999999999998</v>
      </c>
      <c r="H114" s="219">
        <f t="shared" si="181"/>
        <v>30</v>
      </c>
      <c r="I114" s="155">
        <f t="shared" si="167"/>
        <v>0</v>
      </c>
      <c r="J114" s="155">
        <f t="shared" si="168"/>
        <v>0</v>
      </c>
      <c r="K114" s="155">
        <f t="shared" si="169"/>
        <v>30</v>
      </c>
      <c r="L114" s="155">
        <f t="shared" si="170"/>
        <v>10</v>
      </c>
      <c r="M114" s="156">
        <f t="shared" si="171"/>
        <v>0.60024009603841544</v>
      </c>
      <c r="N114" s="157">
        <f t="shared" si="172"/>
        <v>6.0024009603841542E-2</v>
      </c>
      <c r="O114" s="155">
        <f t="shared" si="173"/>
        <v>100</v>
      </c>
      <c r="P114" s="250">
        <v>1</v>
      </c>
      <c r="Q114" s="250">
        <v>1000</v>
      </c>
      <c r="R114" s="148">
        <f t="shared" si="174"/>
        <v>6.0024009603841542</v>
      </c>
      <c r="S114" s="148">
        <f t="shared" si="175"/>
        <v>0.60024009603841544</v>
      </c>
      <c r="T114" s="148">
        <f t="shared" si="182"/>
        <v>6.0024009603841542E-2</v>
      </c>
      <c r="U114" s="148">
        <f t="shared" si="183"/>
        <v>6.002400960384155</v>
      </c>
      <c r="V114" s="7">
        <f t="shared" si="184"/>
        <v>1000</v>
      </c>
      <c r="W114" s="7">
        <f t="shared" si="185"/>
        <v>1000000</v>
      </c>
      <c r="X114" s="1345">
        <f t="shared" si="186"/>
        <v>60.024009603841542</v>
      </c>
      <c r="Y114" s="1345">
        <f t="shared" si="187"/>
        <v>6002.400960384155</v>
      </c>
    </row>
    <row r="115" spans="1:26" ht="14.25" x14ac:dyDescent="0.2">
      <c r="H115" s="9"/>
      <c r="U115" s="152"/>
      <c r="V115" s="21"/>
      <c r="W115" s="21"/>
      <c r="X115" s="21"/>
      <c r="Y115" s="21"/>
      <c r="Z115" s="21"/>
    </row>
    <row r="116" spans="1:26" ht="15.75" x14ac:dyDescent="0.2">
      <c r="A116" s="103" t="s">
        <v>881</v>
      </c>
      <c r="B116" s="97"/>
      <c r="C116" s="97"/>
      <c r="D116" s="97"/>
      <c r="E116" s="97"/>
      <c r="F116" s="97"/>
      <c r="G116" s="97"/>
      <c r="H116" s="97"/>
      <c r="I116" s="113"/>
      <c r="J116" s="113"/>
      <c r="K116" s="113"/>
      <c r="L116" s="113"/>
      <c r="M116" s="113"/>
      <c r="N116" s="113"/>
      <c r="O116" s="113"/>
      <c r="R116" s="113"/>
      <c r="S116" s="113"/>
      <c r="T116" s="146"/>
      <c r="U116" s="146"/>
    </row>
    <row r="117" spans="1:26" ht="89.25" x14ac:dyDescent="0.2">
      <c r="A117" s="211" t="s">
        <v>0</v>
      </c>
      <c r="B117" s="212" t="s">
        <v>1</v>
      </c>
      <c r="C117" s="212" t="s">
        <v>133</v>
      </c>
      <c r="D117" s="212" t="s">
        <v>199</v>
      </c>
      <c r="E117" s="212" t="s">
        <v>135</v>
      </c>
      <c r="F117" s="212" t="s">
        <v>200</v>
      </c>
      <c r="G117" s="212" t="s">
        <v>137</v>
      </c>
      <c r="H117" s="212" t="s">
        <v>201</v>
      </c>
      <c r="I117" s="104" t="s">
        <v>8</v>
      </c>
      <c r="J117" s="104" t="s">
        <v>9</v>
      </c>
      <c r="K117" s="104" t="s">
        <v>107</v>
      </c>
      <c r="L117" s="104" t="s">
        <v>14</v>
      </c>
      <c r="M117" s="104" t="s">
        <v>12</v>
      </c>
      <c r="N117" s="104" t="s">
        <v>1058</v>
      </c>
      <c r="O117" s="104" t="s">
        <v>100</v>
      </c>
      <c r="P117" s="6" t="s">
        <v>105</v>
      </c>
      <c r="Q117" s="6" t="s">
        <v>106</v>
      </c>
      <c r="R117" s="104" t="s">
        <v>70</v>
      </c>
      <c r="S117" s="104" t="s">
        <v>71</v>
      </c>
      <c r="T117" s="147" t="s">
        <v>80</v>
      </c>
      <c r="U117" s="147" t="s">
        <v>81</v>
      </c>
      <c r="V117" s="5" t="s">
        <v>101</v>
      </c>
      <c r="W117" s="5" t="s">
        <v>102</v>
      </c>
      <c r="X117" s="112" t="s">
        <v>103</v>
      </c>
      <c r="Y117" s="112" t="s">
        <v>104</v>
      </c>
    </row>
    <row r="118" spans="1:26" x14ac:dyDescent="0.2">
      <c r="A118" s="213" t="str">
        <f>A241</f>
        <v>VSL</v>
      </c>
      <c r="B118" s="213" t="str">
        <f>B241</f>
        <v>D248209</v>
      </c>
      <c r="C118" s="219">
        <f>C241*10000</f>
        <v>4987</v>
      </c>
      <c r="D118" s="219">
        <f>F241*10000</f>
        <v>5.4</v>
      </c>
      <c r="E118" s="219">
        <f t="shared" ref="E118:E125" si="194">G241*10000</f>
        <v>4991</v>
      </c>
      <c r="F118" s="219">
        <f>H241/I241*10000</f>
        <v>5.9999999999999991</v>
      </c>
      <c r="G118" s="219">
        <f>J241*10000</f>
        <v>4</v>
      </c>
      <c r="H118" s="219">
        <f>M241*10000</f>
        <v>16</v>
      </c>
      <c r="I118" s="155">
        <f t="shared" ref="I118:I125" si="195">IF(ABS(G118)&gt;ABS(H118), 1, 0)</f>
        <v>0</v>
      </c>
      <c r="J118" s="155">
        <f t="shared" ref="J118:J125" si="196">I118*ABS(C118-E118)</f>
        <v>0</v>
      </c>
      <c r="K118" s="155">
        <f t="shared" ref="K118:K125" si="197">SQRT(SUMSQ(F118,J118))*2</f>
        <v>11.999999999999998</v>
      </c>
      <c r="L118" s="155">
        <f t="shared" ref="L118:L125" si="198">IF(C118&lt;$K$2, C118, $K$1)</f>
        <v>10</v>
      </c>
      <c r="M118" s="156">
        <f t="shared" ref="M118:M125" si="199">IF(AND(C118&lt;$K$1,C118&gt; $K$2), K118/L118*100, K118/C118*100)</f>
        <v>0.24062562662923601</v>
      </c>
      <c r="N118" s="157">
        <f t="shared" ref="N118:N125" si="200">M118*L118/100</f>
        <v>2.4062562662923601E-2</v>
      </c>
      <c r="O118" s="155">
        <f t="shared" ref="O118:O125" si="201">N118/(M118*L118/100)*100</f>
        <v>100</v>
      </c>
      <c r="P118" s="250">
        <v>1</v>
      </c>
      <c r="Q118" s="250">
        <v>1000</v>
      </c>
      <c r="R118" s="148">
        <f t="shared" ref="R118:R125" si="202">IF( IF(P118&lt;L118, M118*L118/P118, M118)&gt;100, "ERROR",  IF(P118&lt;L118, M118*L118/P118, M118))</f>
        <v>2.4062562662923601</v>
      </c>
      <c r="S118" s="148">
        <f t="shared" ref="S118:S125" si="203">IF(IF(Q118&lt;L118, M118*L118/Q118, M118)&gt;100, "ERROR", IF(Q118&lt;L118, M118*L118/Q118, M118))</f>
        <v>0.24062562662923601</v>
      </c>
      <c r="T118" s="148">
        <f>R118*P118*0.01</f>
        <v>2.4062562662923601E-2</v>
      </c>
      <c r="U118" s="148">
        <f>S118*Q118*0.01</f>
        <v>2.4062562662923601</v>
      </c>
      <c r="V118" s="7">
        <f>P118*1000</f>
        <v>1000</v>
      </c>
      <c r="W118" s="7">
        <f>Q118*1000</f>
        <v>1000000</v>
      </c>
      <c r="X118" s="1345">
        <f>T118*1000</f>
        <v>24.0625626629236</v>
      </c>
      <c r="Y118" s="1345">
        <f>U118*1000</f>
        <v>2406.2562662923601</v>
      </c>
    </row>
    <row r="119" spans="1:26" x14ac:dyDescent="0.2">
      <c r="A119" s="213" t="str">
        <f t="shared" ref="A119:B119" si="204">A242</f>
        <v>BAM</v>
      </c>
      <c r="B119" s="213" t="str">
        <f t="shared" si="204"/>
        <v>D248163</v>
      </c>
      <c r="C119" s="219">
        <f t="shared" ref="C119:C125" si="205">C242*10000</f>
        <v>4980</v>
      </c>
      <c r="D119" s="219">
        <f t="shared" ref="D119:D125" si="206">F242*10000</f>
        <v>5.4</v>
      </c>
      <c r="E119" s="219">
        <f t="shared" si="194"/>
        <v>10069.999999999998</v>
      </c>
      <c r="F119" s="219">
        <f t="shared" ref="F119:F125" si="207">H242/I242*10000</f>
        <v>130</v>
      </c>
      <c r="G119" s="219">
        <f t="shared" ref="G119:G125" si="208">J242*10000</f>
        <v>5090</v>
      </c>
      <c r="H119" s="219">
        <f t="shared" ref="H119:H125" si="209">M242*10000</f>
        <v>260</v>
      </c>
      <c r="I119" s="155">
        <f t="shared" si="195"/>
        <v>1</v>
      </c>
      <c r="J119" s="155">
        <f t="shared" si="196"/>
        <v>5089.9999999999982</v>
      </c>
      <c r="K119" s="155">
        <f t="shared" si="197"/>
        <v>10183.31969448077</v>
      </c>
      <c r="L119" s="155">
        <f t="shared" si="198"/>
        <v>10</v>
      </c>
      <c r="M119" s="156">
        <f t="shared" si="199"/>
        <v>204.48433121447329</v>
      </c>
      <c r="N119" s="157">
        <f t="shared" si="200"/>
        <v>20.44843312144733</v>
      </c>
      <c r="O119" s="155">
        <f t="shared" si="201"/>
        <v>100</v>
      </c>
      <c r="P119" s="250">
        <v>10</v>
      </c>
      <c r="Q119" s="250">
        <v>1000</v>
      </c>
      <c r="R119" s="148" t="str">
        <f t="shared" si="202"/>
        <v>ERROR</v>
      </c>
      <c r="S119" s="148" t="str">
        <f t="shared" si="203"/>
        <v>ERROR</v>
      </c>
      <c r="T119" s="148" t="e">
        <f t="shared" ref="T119:T125" si="210">R119*P119*0.01</f>
        <v>#VALUE!</v>
      </c>
      <c r="U119" s="148" t="e">
        <f t="shared" ref="U119:U125" si="211">S119*Q119*0.01</f>
        <v>#VALUE!</v>
      </c>
      <c r="V119" s="7">
        <f t="shared" ref="V119:V125" si="212">P119*1000</f>
        <v>10000</v>
      </c>
      <c r="W119" s="7">
        <f t="shared" ref="W119:W125" si="213">Q119*1000</f>
        <v>1000000</v>
      </c>
      <c r="X119" s="1345" t="e">
        <f t="shared" ref="X119:X125" si="214">T119*1000</f>
        <v>#VALUE!</v>
      </c>
      <c r="Y119" s="1345" t="e">
        <f t="shared" ref="Y119:Y125" si="215">U119*1000</f>
        <v>#VALUE!</v>
      </c>
    </row>
    <row r="120" spans="1:26" x14ac:dyDescent="0.2">
      <c r="A120" s="213" t="str">
        <f t="shared" ref="A120:B120" si="216">A243</f>
        <v>MKEH</v>
      </c>
      <c r="B120" s="213" t="str">
        <f t="shared" si="216"/>
        <v>D248168</v>
      </c>
      <c r="C120" s="219">
        <f t="shared" si="205"/>
        <v>4920</v>
      </c>
      <c r="D120" s="219">
        <f t="shared" si="206"/>
        <v>5.3</v>
      </c>
      <c r="E120" s="219">
        <f t="shared" si="194"/>
        <v>4953.0999999999995</v>
      </c>
      <c r="F120" s="219">
        <f t="shared" si="207"/>
        <v>34</v>
      </c>
      <c r="G120" s="219">
        <f t="shared" si="208"/>
        <v>33</v>
      </c>
      <c r="H120" s="219">
        <f t="shared" si="209"/>
        <v>69</v>
      </c>
      <c r="I120" s="155">
        <f t="shared" si="195"/>
        <v>0</v>
      </c>
      <c r="J120" s="155">
        <f t="shared" si="196"/>
        <v>0</v>
      </c>
      <c r="K120" s="155">
        <f t="shared" si="197"/>
        <v>68</v>
      </c>
      <c r="L120" s="155">
        <f t="shared" si="198"/>
        <v>10</v>
      </c>
      <c r="M120" s="156">
        <f t="shared" si="199"/>
        <v>1.3821138211382114</v>
      </c>
      <c r="N120" s="157">
        <f t="shared" si="200"/>
        <v>0.13821138211382114</v>
      </c>
      <c r="O120" s="155">
        <f t="shared" si="201"/>
        <v>100</v>
      </c>
      <c r="P120" s="250">
        <v>1</v>
      </c>
      <c r="Q120" s="250">
        <v>1000</v>
      </c>
      <c r="R120" s="148">
        <f t="shared" si="202"/>
        <v>13.821138211382113</v>
      </c>
      <c r="S120" s="148">
        <f t="shared" si="203"/>
        <v>1.3821138211382114</v>
      </c>
      <c r="T120" s="148">
        <f t="shared" si="210"/>
        <v>0.13821138211382114</v>
      </c>
      <c r="U120" s="148">
        <f t="shared" si="211"/>
        <v>13.821138211382113</v>
      </c>
      <c r="V120" s="7">
        <f t="shared" si="212"/>
        <v>1000</v>
      </c>
      <c r="W120" s="7">
        <f t="shared" si="213"/>
        <v>1000000</v>
      </c>
      <c r="X120" s="1345">
        <f t="shared" si="214"/>
        <v>138.21138211382114</v>
      </c>
      <c r="Y120" s="1345">
        <f t="shared" si="215"/>
        <v>13821.138211382113</v>
      </c>
    </row>
    <row r="121" spans="1:26" x14ac:dyDescent="0.2">
      <c r="A121" s="213" t="str">
        <f t="shared" ref="A121:B121" si="217">A244</f>
        <v>KRISS</v>
      </c>
      <c r="B121" s="213" t="str">
        <f t="shared" si="217"/>
        <v>D248205</v>
      </c>
      <c r="C121" s="219">
        <f t="shared" si="205"/>
        <v>4939</v>
      </c>
      <c r="D121" s="219">
        <f t="shared" si="206"/>
        <v>5.3</v>
      </c>
      <c r="E121" s="219">
        <f t="shared" si="194"/>
        <v>4960</v>
      </c>
      <c r="F121" s="219">
        <f t="shared" si="207"/>
        <v>6.5</v>
      </c>
      <c r="G121" s="219">
        <f t="shared" si="208"/>
        <v>21</v>
      </c>
      <c r="H121" s="219">
        <f t="shared" si="209"/>
        <v>17</v>
      </c>
      <c r="I121" s="155">
        <f t="shared" si="195"/>
        <v>1</v>
      </c>
      <c r="J121" s="155">
        <f t="shared" si="196"/>
        <v>21</v>
      </c>
      <c r="K121" s="155">
        <f t="shared" si="197"/>
        <v>43.965895873961216</v>
      </c>
      <c r="L121" s="155">
        <f t="shared" si="198"/>
        <v>10</v>
      </c>
      <c r="M121" s="156">
        <f t="shared" si="199"/>
        <v>0.89017809017941318</v>
      </c>
      <c r="N121" s="157">
        <f t="shared" si="200"/>
        <v>8.9017809017941318E-2</v>
      </c>
      <c r="O121" s="155">
        <f t="shared" si="201"/>
        <v>100</v>
      </c>
      <c r="P121" s="250">
        <v>1</v>
      </c>
      <c r="Q121" s="250">
        <v>1000</v>
      </c>
      <c r="R121" s="148">
        <f t="shared" si="202"/>
        <v>8.9017809017941314</v>
      </c>
      <c r="S121" s="148">
        <f t="shared" si="203"/>
        <v>0.89017809017941318</v>
      </c>
      <c r="T121" s="148">
        <f t="shared" si="210"/>
        <v>8.9017809017941318E-2</v>
      </c>
      <c r="U121" s="148">
        <f t="shared" si="211"/>
        <v>8.9017809017941314</v>
      </c>
      <c r="V121" s="7">
        <f t="shared" si="212"/>
        <v>1000</v>
      </c>
      <c r="W121" s="7">
        <f t="shared" si="213"/>
        <v>1000000</v>
      </c>
      <c r="X121" s="1345">
        <f t="shared" si="214"/>
        <v>89.017809017941318</v>
      </c>
      <c r="Y121" s="1345">
        <f t="shared" si="215"/>
        <v>8901.7809017941308</v>
      </c>
    </row>
    <row r="122" spans="1:26" x14ac:dyDescent="0.2">
      <c r="A122" s="213" t="str">
        <f t="shared" ref="A122:B122" si="218">A245</f>
        <v>NIM</v>
      </c>
      <c r="B122" s="213" t="str">
        <f t="shared" si="218"/>
        <v>D248188</v>
      </c>
      <c r="C122" s="219">
        <f t="shared" si="205"/>
        <v>4937</v>
      </c>
      <c r="D122" s="219">
        <f t="shared" si="206"/>
        <v>5.4</v>
      </c>
      <c r="E122" s="219">
        <f t="shared" si="194"/>
        <v>4989</v>
      </c>
      <c r="F122" s="219">
        <f t="shared" si="207"/>
        <v>15</v>
      </c>
      <c r="G122" s="219">
        <f t="shared" si="208"/>
        <v>52</v>
      </c>
      <c r="H122" s="219">
        <f t="shared" si="209"/>
        <v>32</v>
      </c>
      <c r="I122" s="155">
        <f t="shared" si="195"/>
        <v>1</v>
      </c>
      <c r="J122" s="155">
        <f t="shared" si="196"/>
        <v>52</v>
      </c>
      <c r="K122" s="155">
        <f t="shared" si="197"/>
        <v>108.24047302187847</v>
      </c>
      <c r="L122" s="155">
        <f t="shared" si="198"/>
        <v>10</v>
      </c>
      <c r="M122" s="156">
        <f t="shared" si="199"/>
        <v>2.1924341304816379</v>
      </c>
      <c r="N122" s="157">
        <f t="shared" si="200"/>
        <v>0.2192434130481638</v>
      </c>
      <c r="O122" s="155">
        <f t="shared" si="201"/>
        <v>100</v>
      </c>
      <c r="P122" s="250">
        <v>1</v>
      </c>
      <c r="Q122" s="250">
        <v>1000</v>
      </c>
      <c r="R122" s="148">
        <f t="shared" si="202"/>
        <v>21.92434130481638</v>
      </c>
      <c r="S122" s="148">
        <f t="shared" si="203"/>
        <v>2.1924341304816379</v>
      </c>
      <c r="T122" s="148">
        <f t="shared" si="210"/>
        <v>0.2192434130481638</v>
      </c>
      <c r="U122" s="148">
        <f t="shared" si="211"/>
        <v>21.92434130481638</v>
      </c>
      <c r="V122" s="7">
        <f t="shared" si="212"/>
        <v>1000</v>
      </c>
      <c r="W122" s="7">
        <f t="shared" si="213"/>
        <v>1000000</v>
      </c>
      <c r="X122" s="1345">
        <f t="shared" si="214"/>
        <v>219.2434130481638</v>
      </c>
      <c r="Y122" s="1345">
        <f t="shared" si="215"/>
        <v>21924.341304816378</v>
      </c>
    </row>
    <row r="123" spans="1:26" x14ac:dyDescent="0.2">
      <c r="A123" s="213" t="str">
        <f t="shared" ref="A123:B123" si="219">A246</f>
        <v>NPL</v>
      </c>
      <c r="B123" s="213" t="str">
        <f t="shared" si="219"/>
        <v>D248159</v>
      </c>
      <c r="C123" s="219">
        <f t="shared" si="205"/>
        <v>4948</v>
      </c>
      <c r="D123" s="219">
        <f t="shared" si="206"/>
        <v>5.4</v>
      </c>
      <c r="E123" s="219">
        <f t="shared" si="194"/>
        <v>4952</v>
      </c>
      <c r="F123" s="219">
        <f t="shared" si="207"/>
        <v>11</v>
      </c>
      <c r="G123" s="219">
        <f t="shared" si="208"/>
        <v>4</v>
      </c>
      <c r="H123" s="219">
        <f t="shared" si="209"/>
        <v>23.999999999999996</v>
      </c>
      <c r="I123" s="155">
        <f t="shared" si="195"/>
        <v>0</v>
      </c>
      <c r="J123" s="155">
        <f t="shared" si="196"/>
        <v>0</v>
      </c>
      <c r="K123" s="155">
        <f t="shared" si="197"/>
        <v>22</v>
      </c>
      <c r="L123" s="155">
        <f t="shared" si="198"/>
        <v>10</v>
      </c>
      <c r="M123" s="156">
        <f t="shared" si="199"/>
        <v>0.44462409054163304</v>
      </c>
      <c r="N123" s="157">
        <f t="shared" si="200"/>
        <v>4.4462409054163307E-2</v>
      </c>
      <c r="O123" s="155">
        <f t="shared" si="201"/>
        <v>100</v>
      </c>
      <c r="P123" s="250">
        <v>1</v>
      </c>
      <c r="Q123" s="250">
        <v>1000</v>
      </c>
      <c r="R123" s="148">
        <f t="shared" si="202"/>
        <v>4.4462409054163308</v>
      </c>
      <c r="S123" s="148">
        <f t="shared" si="203"/>
        <v>0.44462409054163304</v>
      </c>
      <c r="T123" s="148">
        <f t="shared" si="210"/>
        <v>4.4462409054163307E-2</v>
      </c>
      <c r="U123" s="148">
        <f t="shared" si="211"/>
        <v>4.4462409054163308</v>
      </c>
      <c r="V123" s="7">
        <f t="shared" si="212"/>
        <v>1000</v>
      </c>
      <c r="W123" s="7">
        <f t="shared" si="213"/>
        <v>1000000</v>
      </c>
      <c r="X123" s="1345">
        <f t="shared" si="214"/>
        <v>44.462409054163309</v>
      </c>
      <c r="Y123" s="1345">
        <f t="shared" si="215"/>
        <v>4446.2409054163309</v>
      </c>
    </row>
    <row r="124" spans="1:26" x14ac:dyDescent="0.2">
      <c r="A124" s="213" t="str">
        <f t="shared" ref="A124:B124" si="220">A247</f>
        <v>SMU</v>
      </c>
      <c r="B124" s="213" t="str">
        <f t="shared" si="220"/>
        <v>D248206</v>
      </c>
      <c r="C124" s="219">
        <f t="shared" si="205"/>
        <v>4989</v>
      </c>
      <c r="D124" s="219">
        <f t="shared" si="206"/>
        <v>5.4</v>
      </c>
      <c r="E124" s="219">
        <f t="shared" si="194"/>
        <v>4970</v>
      </c>
      <c r="F124" s="219">
        <f t="shared" si="207"/>
        <v>16.5</v>
      </c>
      <c r="G124" s="219">
        <f t="shared" si="208"/>
        <v>-19</v>
      </c>
      <c r="H124" s="219">
        <f t="shared" si="209"/>
        <v>35</v>
      </c>
      <c r="I124" s="155">
        <f t="shared" si="195"/>
        <v>0</v>
      </c>
      <c r="J124" s="155">
        <f t="shared" si="196"/>
        <v>0</v>
      </c>
      <c r="K124" s="155">
        <f t="shared" si="197"/>
        <v>33</v>
      </c>
      <c r="L124" s="155">
        <f t="shared" si="198"/>
        <v>10</v>
      </c>
      <c r="M124" s="156">
        <f t="shared" si="199"/>
        <v>0.66145520144317504</v>
      </c>
      <c r="N124" s="157">
        <f t="shared" si="200"/>
        <v>6.6145520144317502E-2</v>
      </c>
      <c r="O124" s="155">
        <f t="shared" si="201"/>
        <v>100</v>
      </c>
      <c r="P124" s="250">
        <v>1</v>
      </c>
      <c r="Q124" s="250">
        <v>1000</v>
      </c>
      <c r="R124" s="148">
        <f t="shared" si="202"/>
        <v>6.6145520144317507</v>
      </c>
      <c r="S124" s="148">
        <f t="shared" si="203"/>
        <v>0.66145520144317504</v>
      </c>
      <c r="T124" s="148">
        <f t="shared" si="210"/>
        <v>6.6145520144317502E-2</v>
      </c>
      <c r="U124" s="148">
        <f t="shared" si="211"/>
        <v>6.6145520144317507</v>
      </c>
      <c r="V124" s="7">
        <f t="shared" si="212"/>
        <v>1000</v>
      </c>
      <c r="W124" s="7">
        <f t="shared" si="213"/>
        <v>1000000</v>
      </c>
      <c r="X124" s="1345">
        <f t="shared" si="214"/>
        <v>66.145520144317501</v>
      </c>
      <c r="Y124" s="1345">
        <f t="shared" si="215"/>
        <v>6614.5520144317506</v>
      </c>
    </row>
    <row r="125" spans="1:26" x14ac:dyDescent="0.2">
      <c r="A125" s="213" t="str">
        <f t="shared" ref="A125:B125" si="221">A248</f>
        <v>VNIIM</v>
      </c>
      <c r="B125" s="213" t="str">
        <f t="shared" si="221"/>
        <v>D248176</v>
      </c>
      <c r="C125" s="219">
        <f t="shared" si="205"/>
        <v>4940</v>
      </c>
      <c r="D125" s="219">
        <f t="shared" si="206"/>
        <v>5.3</v>
      </c>
      <c r="E125" s="219">
        <f t="shared" si="194"/>
        <v>4941</v>
      </c>
      <c r="F125" s="219">
        <f t="shared" si="207"/>
        <v>15</v>
      </c>
      <c r="G125" s="219">
        <f t="shared" si="208"/>
        <v>1</v>
      </c>
      <c r="H125" s="219">
        <f t="shared" si="209"/>
        <v>32</v>
      </c>
      <c r="I125" s="155">
        <f t="shared" si="195"/>
        <v>0</v>
      </c>
      <c r="J125" s="155">
        <f t="shared" si="196"/>
        <v>0</v>
      </c>
      <c r="K125" s="155">
        <f t="shared" si="197"/>
        <v>30</v>
      </c>
      <c r="L125" s="155">
        <f t="shared" si="198"/>
        <v>10</v>
      </c>
      <c r="M125" s="156">
        <f t="shared" si="199"/>
        <v>0.60728744939271251</v>
      </c>
      <c r="N125" s="157">
        <f t="shared" si="200"/>
        <v>6.0728744939271252E-2</v>
      </c>
      <c r="O125" s="155">
        <f t="shared" si="201"/>
        <v>100</v>
      </c>
      <c r="P125" s="250">
        <v>1</v>
      </c>
      <c r="Q125" s="250">
        <v>1000</v>
      </c>
      <c r="R125" s="148">
        <f t="shared" si="202"/>
        <v>6.0728744939271255</v>
      </c>
      <c r="S125" s="148">
        <f t="shared" si="203"/>
        <v>0.60728744939271251</v>
      </c>
      <c r="T125" s="148">
        <f t="shared" si="210"/>
        <v>6.0728744939271259E-2</v>
      </c>
      <c r="U125" s="148">
        <f t="shared" si="211"/>
        <v>6.0728744939271246</v>
      </c>
      <c r="V125" s="7">
        <f t="shared" si="212"/>
        <v>1000</v>
      </c>
      <c r="W125" s="7">
        <f t="shared" si="213"/>
        <v>1000000</v>
      </c>
      <c r="X125" s="1345">
        <f t="shared" si="214"/>
        <v>60.728744939271259</v>
      </c>
      <c r="Y125" s="1345">
        <f t="shared" si="215"/>
        <v>6072.8744939271246</v>
      </c>
    </row>
    <row r="126" spans="1:26" ht="14.25" x14ac:dyDescent="0.2">
      <c r="A126" s="23"/>
      <c r="B126" s="23"/>
      <c r="C126" s="23"/>
      <c r="D126" s="23"/>
      <c r="T126" s="151"/>
      <c r="U126" s="152"/>
      <c r="V126" s="21"/>
      <c r="W126" s="21"/>
      <c r="X126" s="21"/>
      <c r="Y126" s="21"/>
      <c r="Z126" s="21"/>
    </row>
    <row r="127" spans="1:26" ht="15.75" x14ac:dyDescent="0.2">
      <c r="A127" s="103" t="s">
        <v>882</v>
      </c>
      <c r="B127" s="97"/>
      <c r="C127" s="97"/>
      <c r="D127" s="97"/>
      <c r="E127" s="97"/>
      <c r="F127" s="97"/>
      <c r="G127" s="97"/>
      <c r="H127" s="97"/>
      <c r="I127" s="113"/>
      <c r="J127" s="113"/>
      <c r="K127" s="113"/>
      <c r="L127" s="113"/>
      <c r="M127" s="113"/>
      <c r="N127" s="113"/>
      <c r="O127" s="113"/>
      <c r="R127" s="113"/>
      <c r="S127" s="113"/>
      <c r="T127" s="146"/>
      <c r="U127" s="146"/>
    </row>
    <row r="128" spans="1:26" ht="89.25" x14ac:dyDescent="0.2">
      <c r="A128" s="211" t="s">
        <v>0</v>
      </c>
      <c r="B128" s="212" t="s">
        <v>1</v>
      </c>
      <c r="C128" s="212" t="s">
        <v>133</v>
      </c>
      <c r="D128" s="212" t="s">
        <v>199</v>
      </c>
      <c r="E128" s="212" t="s">
        <v>135</v>
      </c>
      <c r="F128" s="212" t="s">
        <v>200</v>
      </c>
      <c r="G128" s="212" t="s">
        <v>137</v>
      </c>
      <c r="H128" s="212" t="s">
        <v>201</v>
      </c>
      <c r="I128" s="104" t="s">
        <v>8</v>
      </c>
      <c r="J128" s="104" t="s">
        <v>9</v>
      </c>
      <c r="K128" s="104" t="s">
        <v>107</v>
      </c>
      <c r="L128" s="104" t="s">
        <v>14</v>
      </c>
      <c r="M128" s="104" t="s">
        <v>12</v>
      </c>
      <c r="N128" s="104" t="s">
        <v>1058</v>
      </c>
      <c r="O128" s="104" t="s">
        <v>100</v>
      </c>
      <c r="P128" s="6" t="s">
        <v>105</v>
      </c>
      <c r="Q128" s="6" t="s">
        <v>106</v>
      </c>
      <c r="R128" s="104" t="s">
        <v>70</v>
      </c>
      <c r="S128" s="104" t="s">
        <v>71</v>
      </c>
      <c r="T128" s="147" t="s">
        <v>80</v>
      </c>
      <c r="U128" s="147" t="s">
        <v>81</v>
      </c>
      <c r="V128" s="5" t="s">
        <v>101</v>
      </c>
      <c r="W128" s="5" t="s">
        <v>102</v>
      </c>
      <c r="X128" s="112" t="s">
        <v>103</v>
      </c>
      <c r="Y128" s="112" t="s">
        <v>104</v>
      </c>
    </row>
    <row r="129" spans="1:26" x14ac:dyDescent="0.2">
      <c r="A129" s="213" t="str">
        <f>A252</f>
        <v>VSL</v>
      </c>
      <c r="B129" s="213" t="str">
        <f>B252</f>
        <v>D248209</v>
      </c>
      <c r="C129" s="219">
        <f>C252*10000</f>
        <v>77034</v>
      </c>
      <c r="D129" s="219">
        <f>F252*10000</f>
        <v>91</v>
      </c>
      <c r="E129" s="219">
        <f t="shared" ref="E129:E136" si="222">G252*10000</f>
        <v>77100</v>
      </c>
      <c r="F129" s="219">
        <f>H252/I252*10000</f>
        <v>40</v>
      </c>
      <c r="G129" s="219">
        <f>J252*10000</f>
        <v>70</v>
      </c>
      <c r="H129" s="219">
        <f>M252*10000</f>
        <v>199</v>
      </c>
      <c r="I129" s="155">
        <f t="shared" ref="I129:I136" si="223">IF(ABS(G129)&gt;ABS(H129), 1, 0)</f>
        <v>0</v>
      </c>
      <c r="J129" s="155">
        <f t="shared" ref="J129:J136" si="224">I129*ABS(C129-E129)</f>
        <v>0</v>
      </c>
      <c r="K129" s="155">
        <f t="shared" ref="K129:K136" si="225">SQRT(SUMSQ(F129,J129))*2</f>
        <v>80</v>
      </c>
      <c r="L129" s="155">
        <f t="shared" ref="L129:L136" si="226">IF(C129&lt;$K$2, C129, $K$1)</f>
        <v>10</v>
      </c>
      <c r="M129" s="156">
        <f t="shared" ref="M129:M136" si="227">IF(AND(C129&lt;$K$1,C129&gt; $K$2), K129/L129*100, K129/C129*100)</f>
        <v>0.10385024794246696</v>
      </c>
      <c r="N129" s="157">
        <f t="shared" ref="N129:N136" si="228">M129*L129/100</f>
        <v>1.0385024794246696E-2</v>
      </c>
      <c r="O129" s="155">
        <f t="shared" ref="O129:O136" si="229">N129/(M129*L129/100)*100</f>
        <v>100</v>
      </c>
      <c r="P129" s="250">
        <v>1</v>
      </c>
      <c r="Q129" s="250">
        <v>1000</v>
      </c>
      <c r="R129" s="148">
        <f t="shared" ref="R129:R136" si="230">IF( IF(P129&lt;L129, M129*L129/P129, M129)&gt;100, "ERROR",  IF(P129&lt;L129, M129*L129/P129, M129))</f>
        <v>1.0385024794246696</v>
      </c>
      <c r="S129" s="148">
        <f t="shared" ref="S129:S136" si="231">IF(IF(Q129&lt;L129, M129*L129/Q129, M129)&gt;100, "ERROR", IF(Q129&lt;L129, M129*L129/Q129, M129))</f>
        <v>0.10385024794246696</v>
      </c>
      <c r="T129" s="148">
        <f>R129*P129*0.01</f>
        <v>1.0385024794246696E-2</v>
      </c>
      <c r="U129" s="148">
        <f>S129*Q129*0.01</f>
        <v>1.0385024794246696</v>
      </c>
      <c r="V129" s="7">
        <f>P129*1000</f>
        <v>1000</v>
      </c>
      <c r="W129" s="7">
        <f>Q129*1000</f>
        <v>1000000</v>
      </c>
      <c r="X129" s="1345">
        <f>T129*1000</f>
        <v>10.385024794246696</v>
      </c>
      <c r="Y129" s="1345">
        <f>U129*1000</f>
        <v>1038.5024794246694</v>
      </c>
    </row>
    <row r="130" spans="1:26" x14ac:dyDescent="0.2">
      <c r="A130" s="213" t="str">
        <f t="shared" ref="A130:B130" si="232">A253</f>
        <v>BAM</v>
      </c>
      <c r="B130" s="213" t="str">
        <f t="shared" si="232"/>
        <v>D248163</v>
      </c>
      <c r="C130" s="219">
        <f t="shared" ref="C130:C136" si="233">C253*10000</f>
        <v>76928</v>
      </c>
      <c r="D130" s="219">
        <f t="shared" ref="D130:D136" si="234">F253*10000</f>
        <v>91</v>
      </c>
      <c r="E130" s="219">
        <f t="shared" si="222"/>
        <v>77380</v>
      </c>
      <c r="F130" s="219">
        <f t="shared" ref="F130:F136" si="235">H253/I253*10000</f>
        <v>434.99999999999994</v>
      </c>
      <c r="G130" s="219">
        <f t="shared" ref="G130:G136" si="236">J253*10000</f>
        <v>450</v>
      </c>
      <c r="H130" s="219">
        <f t="shared" ref="H130:H136" si="237">M253*10000</f>
        <v>889.00000000000011</v>
      </c>
      <c r="I130" s="155">
        <f t="shared" si="223"/>
        <v>0</v>
      </c>
      <c r="J130" s="155">
        <f t="shared" si="224"/>
        <v>0</v>
      </c>
      <c r="K130" s="155">
        <f t="shared" si="225"/>
        <v>869.99999999999989</v>
      </c>
      <c r="L130" s="155">
        <f t="shared" si="226"/>
        <v>10</v>
      </c>
      <c r="M130" s="156">
        <f t="shared" si="227"/>
        <v>1.1309276206322794</v>
      </c>
      <c r="N130" s="157">
        <f t="shared" si="228"/>
        <v>0.11309276206322794</v>
      </c>
      <c r="O130" s="155">
        <f t="shared" si="229"/>
        <v>100</v>
      </c>
      <c r="P130" s="250">
        <v>1</v>
      </c>
      <c r="Q130" s="250">
        <v>1000</v>
      </c>
      <c r="R130" s="148">
        <f t="shared" si="230"/>
        <v>11.309276206322794</v>
      </c>
      <c r="S130" s="148">
        <f t="shared" si="231"/>
        <v>1.1309276206322794</v>
      </c>
      <c r="T130" s="148">
        <f t="shared" ref="T130:T136" si="238">R130*P130*0.01</f>
        <v>0.11309276206322794</v>
      </c>
      <c r="U130" s="148">
        <f t="shared" ref="U130:U136" si="239">S130*Q130*0.01</f>
        <v>11.309276206322792</v>
      </c>
      <c r="V130" s="7">
        <f t="shared" ref="V130:V136" si="240">P130*1000</f>
        <v>1000</v>
      </c>
      <c r="W130" s="7">
        <f t="shared" ref="W130:W136" si="241">Q130*1000</f>
        <v>1000000</v>
      </c>
      <c r="X130" s="1345">
        <f t="shared" ref="X130:X136" si="242">T130*1000</f>
        <v>113.09276206322794</v>
      </c>
      <c r="Y130" s="1345">
        <f t="shared" ref="Y130:Y136" si="243">U130*1000</f>
        <v>11309.276206322793</v>
      </c>
    </row>
    <row r="131" spans="1:26" x14ac:dyDescent="0.2">
      <c r="A131" s="213" t="str">
        <f t="shared" ref="A131:B131" si="244">A254</f>
        <v>MKEH</v>
      </c>
      <c r="B131" s="213" t="str">
        <f t="shared" si="244"/>
        <v>D248168</v>
      </c>
      <c r="C131" s="219">
        <f t="shared" si="233"/>
        <v>75952</v>
      </c>
      <c r="D131" s="219">
        <f t="shared" si="234"/>
        <v>90.9</v>
      </c>
      <c r="E131" s="219">
        <f t="shared" si="222"/>
        <v>12381.2</v>
      </c>
      <c r="F131" s="219">
        <f t="shared" si="235"/>
        <v>160</v>
      </c>
      <c r="G131" s="219">
        <f t="shared" si="236"/>
        <v>-63570</v>
      </c>
      <c r="H131" s="219">
        <f t="shared" si="237"/>
        <v>369</v>
      </c>
      <c r="I131" s="155">
        <f t="shared" si="223"/>
        <v>1</v>
      </c>
      <c r="J131" s="155">
        <f t="shared" si="224"/>
        <v>63570.8</v>
      </c>
      <c r="K131" s="155">
        <f t="shared" si="225"/>
        <v>127142.00269997324</v>
      </c>
      <c r="L131" s="155">
        <f t="shared" si="226"/>
        <v>10</v>
      </c>
      <c r="M131" s="156">
        <f t="shared" si="227"/>
        <v>167.39783376339429</v>
      </c>
      <c r="N131" s="157">
        <f t="shared" si="228"/>
        <v>16.739783376339428</v>
      </c>
      <c r="O131" s="155">
        <f t="shared" si="229"/>
        <v>100</v>
      </c>
      <c r="P131" s="250">
        <v>1</v>
      </c>
      <c r="Q131" s="250">
        <v>1000</v>
      </c>
      <c r="R131" s="148" t="str">
        <f t="shared" si="230"/>
        <v>ERROR</v>
      </c>
      <c r="S131" s="148" t="str">
        <f t="shared" si="231"/>
        <v>ERROR</v>
      </c>
      <c r="T131" s="148" t="e">
        <f t="shared" si="238"/>
        <v>#VALUE!</v>
      </c>
      <c r="U131" s="148" t="e">
        <f t="shared" si="239"/>
        <v>#VALUE!</v>
      </c>
      <c r="V131" s="7">
        <f t="shared" si="240"/>
        <v>1000</v>
      </c>
      <c r="W131" s="7">
        <f t="shared" si="241"/>
        <v>1000000</v>
      </c>
      <c r="X131" s="1345" t="e">
        <f t="shared" si="242"/>
        <v>#VALUE!</v>
      </c>
      <c r="Y131" s="1345" t="e">
        <f t="shared" si="243"/>
        <v>#VALUE!</v>
      </c>
    </row>
    <row r="132" spans="1:26" x14ac:dyDescent="0.2">
      <c r="A132" s="213" t="str">
        <f t="shared" ref="A132:B132" si="245">A255</f>
        <v>KRISS</v>
      </c>
      <c r="B132" s="213" t="str">
        <f t="shared" si="245"/>
        <v>D248205</v>
      </c>
      <c r="C132" s="219">
        <f t="shared" si="233"/>
        <v>76248</v>
      </c>
      <c r="D132" s="219">
        <f t="shared" si="234"/>
        <v>90.9</v>
      </c>
      <c r="E132" s="219">
        <f t="shared" si="222"/>
        <v>76800</v>
      </c>
      <c r="F132" s="219">
        <f t="shared" si="235"/>
        <v>40</v>
      </c>
      <c r="G132" s="219">
        <f t="shared" si="236"/>
        <v>550</v>
      </c>
      <c r="H132" s="219">
        <f t="shared" si="237"/>
        <v>197</v>
      </c>
      <c r="I132" s="155">
        <f t="shared" si="223"/>
        <v>1</v>
      </c>
      <c r="J132" s="155">
        <f t="shared" si="224"/>
        <v>552</v>
      </c>
      <c r="K132" s="155">
        <f t="shared" si="225"/>
        <v>1106.8947556113906</v>
      </c>
      <c r="L132" s="155">
        <f t="shared" si="226"/>
        <v>10</v>
      </c>
      <c r="M132" s="156">
        <f t="shared" si="227"/>
        <v>1.4517033307252525</v>
      </c>
      <c r="N132" s="157">
        <f t="shared" si="228"/>
        <v>0.14517033307252525</v>
      </c>
      <c r="O132" s="155">
        <f t="shared" si="229"/>
        <v>100</v>
      </c>
      <c r="P132" s="250">
        <v>1</v>
      </c>
      <c r="Q132" s="250">
        <v>1000</v>
      </c>
      <c r="R132" s="148">
        <f t="shared" si="230"/>
        <v>14.517033307252525</v>
      </c>
      <c r="S132" s="148">
        <f t="shared" si="231"/>
        <v>1.4517033307252525</v>
      </c>
      <c r="T132" s="148">
        <f t="shared" si="238"/>
        <v>0.14517033307252525</v>
      </c>
      <c r="U132" s="148">
        <f t="shared" si="239"/>
        <v>14.517033307252525</v>
      </c>
      <c r="V132" s="7">
        <f t="shared" si="240"/>
        <v>1000</v>
      </c>
      <c r="W132" s="7">
        <f t="shared" si="241"/>
        <v>1000000</v>
      </c>
      <c r="X132" s="1345">
        <f t="shared" si="242"/>
        <v>145.17033307252524</v>
      </c>
      <c r="Y132" s="1345">
        <f t="shared" si="243"/>
        <v>14517.033307252525</v>
      </c>
    </row>
    <row r="133" spans="1:26" x14ac:dyDescent="0.2">
      <c r="A133" s="213" t="str">
        <f t="shared" ref="A133:B133" si="246">A256</f>
        <v>NIM</v>
      </c>
      <c r="B133" s="213" t="str">
        <f t="shared" si="246"/>
        <v>D248188</v>
      </c>
      <c r="C133" s="219">
        <f t="shared" si="233"/>
        <v>75928</v>
      </c>
      <c r="D133" s="219">
        <f t="shared" si="234"/>
        <v>90.8</v>
      </c>
      <c r="E133" s="219">
        <f t="shared" si="222"/>
        <v>76070</v>
      </c>
      <c r="F133" s="219">
        <f t="shared" si="235"/>
        <v>152</v>
      </c>
      <c r="G133" s="219">
        <f t="shared" si="236"/>
        <v>140</v>
      </c>
      <c r="H133" s="219">
        <f t="shared" si="237"/>
        <v>354</v>
      </c>
      <c r="I133" s="155">
        <f t="shared" si="223"/>
        <v>0</v>
      </c>
      <c r="J133" s="155">
        <f t="shared" si="224"/>
        <v>0</v>
      </c>
      <c r="K133" s="155">
        <f t="shared" si="225"/>
        <v>304</v>
      </c>
      <c r="L133" s="155">
        <f t="shared" si="226"/>
        <v>10</v>
      </c>
      <c r="M133" s="156">
        <f t="shared" si="227"/>
        <v>0.40037930671162159</v>
      </c>
      <c r="N133" s="157">
        <f t="shared" si="228"/>
        <v>4.0037930671162153E-2</v>
      </c>
      <c r="O133" s="155">
        <f t="shared" si="229"/>
        <v>100</v>
      </c>
      <c r="P133" s="250">
        <v>1</v>
      </c>
      <c r="Q133" s="250">
        <v>1000</v>
      </c>
      <c r="R133" s="148">
        <f t="shared" si="230"/>
        <v>4.0037930671162156</v>
      </c>
      <c r="S133" s="148">
        <f t="shared" si="231"/>
        <v>0.40037930671162159</v>
      </c>
      <c r="T133" s="148">
        <f t="shared" si="238"/>
        <v>4.003793067116216E-2</v>
      </c>
      <c r="U133" s="148">
        <f t="shared" si="239"/>
        <v>4.0037930671162165</v>
      </c>
      <c r="V133" s="7">
        <f t="shared" si="240"/>
        <v>1000</v>
      </c>
      <c r="W133" s="7">
        <f t="shared" si="241"/>
        <v>1000000</v>
      </c>
      <c r="X133" s="1345">
        <f t="shared" si="242"/>
        <v>40.037930671162158</v>
      </c>
      <c r="Y133" s="1345">
        <f t="shared" si="243"/>
        <v>4003.7930671162167</v>
      </c>
    </row>
    <row r="134" spans="1:26" x14ac:dyDescent="0.2">
      <c r="A134" s="213" t="str">
        <f t="shared" ref="A134:B134" si="247">A257</f>
        <v>NPL</v>
      </c>
      <c r="B134" s="213" t="str">
        <f t="shared" si="247"/>
        <v>D248159</v>
      </c>
      <c r="C134" s="219">
        <f t="shared" si="233"/>
        <v>76101</v>
      </c>
      <c r="D134" s="219">
        <f t="shared" si="234"/>
        <v>90.8</v>
      </c>
      <c r="E134" s="219">
        <f t="shared" si="222"/>
        <v>76010</v>
      </c>
      <c r="F134" s="219">
        <f t="shared" si="235"/>
        <v>95</v>
      </c>
      <c r="G134" s="219">
        <f t="shared" si="236"/>
        <v>-90</v>
      </c>
      <c r="H134" s="219">
        <f t="shared" si="237"/>
        <v>263</v>
      </c>
      <c r="I134" s="155">
        <f t="shared" si="223"/>
        <v>0</v>
      </c>
      <c r="J134" s="155">
        <f t="shared" si="224"/>
        <v>0</v>
      </c>
      <c r="K134" s="155">
        <f t="shared" si="225"/>
        <v>190</v>
      </c>
      <c r="L134" s="155">
        <f t="shared" si="226"/>
        <v>10</v>
      </c>
      <c r="M134" s="156">
        <f t="shared" si="227"/>
        <v>0.24966820409718662</v>
      </c>
      <c r="N134" s="157">
        <f t="shared" si="228"/>
        <v>2.4966820409718662E-2</v>
      </c>
      <c r="O134" s="155">
        <f t="shared" si="229"/>
        <v>100</v>
      </c>
      <c r="P134" s="250">
        <v>1</v>
      </c>
      <c r="Q134" s="250">
        <v>1000</v>
      </c>
      <c r="R134" s="148">
        <f t="shared" si="230"/>
        <v>2.4966820409718662</v>
      </c>
      <c r="S134" s="148">
        <f t="shared" si="231"/>
        <v>0.24966820409718662</v>
      </c>
      <c r="T134" s="148">
        <f t="shared" si="238"/>
        <v>2.4966820409718662E-2</v>
      </c>
      <c r="U134" s="148">
        <f t="shared" si="239"/>
        <v>2.4966820409718662</v>
      </c>
      <c r="V134" s="7">
        <f t="shared" si="240"/>
        <v>1000</v>
      </c>
      <c r="W134" s="7">
        <f t="shared" si="241"/>
        <v>1000000</v>
      </c>
      <c r="X134" s="1345">
        <f t="shared" si="242"/>
        <v>24.966820409718661</v>
      </c>
      <c r="Y134" s="1345">
        <f t="shared" si="243"/>
        <v>2496.6820409718662</v>
      </c>
    </row>
    <row r="135" spans="1:26" x14ac:dyDescent="0.2">
      <c r="A135" s="213" t="str">
        <f t="shared" ref="A135:B135" si="248">A258</f>
        <v>SMU</v>
      </c>
      <c r="B135" s="213" t="str">
        <f t="shared" si="248"/>
        <v>D248206</v>
      </c>
      <c r="C135" s="219">
        <f t="shared" si="233"/>
        <v>77058</v>
      </c>
      <c r="D135" s="219">
        <f t="shared" si="234"/>
        <v>91</v>
      </c>
      <c r="E135" s="219">
        <f t="shared" si="222"/>
        <v>77320</v>
      </c>
      <c r="F135" s="219">
        <f t="shared" si="235"/>
        <v>345.00000000000006</v>
      </c>
      <c r="G135" s="219">
        <f t="shared" si="236"/>
        <v>260</v>
      </c>
      <c r="H135" s="219">
        <f t="shared" si="237"/>
        <v>714</v>
      </c>
      <c r="I135" s="155">
        <f t="shared" si="223"/>
        <v>0</v>
      </c>
      <c r="J135" s="155">
        <f t="shared" si="224"/>
        <v>0</v>
      </c>
      <c r="K135" s="155">
        <f t="shared" si="225"/>
        <v>690.00000000000011</v>
      </c>
      <c r="L135" s="155">
        <f t="shared" si="226"/>
        <v>10</v>
      </c>
      <c r="M135" s="156">
        <f t="shared" si="227"/>
        <v>0.89542941680292776</v>
      </c>
      <c r="N135" s="157">
        <f t="shared" si="228"/>
        <v>8.9542941680292781E-2</v>
      </c>
      <c r="O135" s="155">
        <f t="shared" si="229"/>
        <v>100</v>
      </c>
      <c r="P135" s="250">
        <v>1</v>
      </c>
      <c r="Q135" s="250">
        <v>1000</v>
      </c>
      <c r="R135" s="148">
        <f t="shared" si="230"/>
        <v>8.9542941680292785</v>
      </c>
      <c r="S135" s="148">
        <f t="shared" si="231"/>
        <v>0.89542941680292776</v>
      </c>
      <c r="T135" s="148">
        <f t="shared" si="238"/>
        <v>8.9542941680292781E-2</v>
      </c>
      <c r="U135" s="148">
        <f t="shared" si="239"/>
        <v>8.9542941680292785</v>
      </c>
      <c r="V135" s="7">
        <f t="shared" si="240"/>
        <v>1000</v>
      </c>
      <c r="W135" s="7">
        <f t="shared" si="241"/>
        <v>1000000</v>
      </c>
      <c r="X135" s="1345">
        <f t="shared" si="242"/>
        <v>89.542941680292785</v>
      </c>
      <c r="Y135" s="1345">
        <f t="shared" si="243"/>
        <v>8954.2941680292788</v>
      </c>
    </row>
    <row r="136" spans="1:26" x14ac:dyDescent="0.2">
      <c r="A136" s="213" t="str">
        <f t="shared" ref="A136:B136" si="249">A259</f>
        <v>VNIIM</v>
      </c>
      <c r="B136" s="213" t="str">
        <f t="shared" si="249"/>
        <v>D248176</v>
      </c>
      <c r="C136" s="219">
        <f t="shared" si="233"/>
        <v>76267</v>
      </c>
      <c r="D136" s="219">
        <f t="shared" si="234"/>
        <v>90.8</v>
      </c>
      <c r="E136" s="219">
        <f t="shared" si="222"/>
        <v>76350</v>
      </c>
      <c r="F136" s="219">
        <f t="shared" si="235"/>
        <v>235</v>
      </c>
      <c r="G136" s="219">
        <f t="shared" si="236"/>
        <v>80</v>
      </c>
      <c r="H136" s="219">
        <f t="shared" si="237"/>
        <v>504</v>
      </c>
      <c r="I136" s="155">
        <f t="shared" si="223"/>
        <v>0</v>
      </c>
      <c r="J136" s="155">
        <f t="shared" si="224"/>
        <v>0</v>
      </c>
      <c r="K136" s="155">
        <f t="shared" si="225"/>
        <v>470</v>
      </c>
      <c r="L136" s="155">
        <f t="shared" si="226"/>
        <v>10</v>
      </c>
      <c r="M136" s="156">
        <f t="shared" si="227"/>
        <v>0.61625604783195875</v>
      </c>
      <c r="N136" s="157">
        <f t="shared" si="228"/>
        <v>6.1625604783195877E-2</v>
      </c>
      <c r="O136" s="155">
        <f t="shared" si="229"/>
        <v>100</v>
      </c>
      <c r="P136" s="250">
        <v>1</v>
      </c>
      <c r="Q136" s="250">
        <v>1000</v>
      </c>
      <c r="R136" s="148">
        <f t="shared" si="230"/>
        <v>6.1625604783195875</v>
      </c>
      <c r="S136" s="148">
        <f t="shared" si="231"/>
        <v>0.61625604783195875</v>
      </c>
      <c r="T136" s="148">
        <f t="shared" si="238"/>
        <v>6.1625604783195877E-2</v>
      </c>
      <c r="U136" s="148">
        <f t="shared" si="239"/>
        <v>6.1625604783195875</v>
      </c>
      <c r="V136" s="7">
        <f t="shared" si="240"/>
        <v>1000</v>
      </c>
      <c r="W136" s="7">
        <f t="shared" si="241"/>
        <v>1000000</v>
      </c>
      <c r="X136" s="1345">
        <f t="shared" si="242"/>
        <v>61.625604783195875</v>
      </c>
      <c r="Y136" s="1345">
        <f t="shared" si="243"/>
        <v>6162.5604783195877</v>
      </c>
    </row>
    <row r="137" spans="1:26" ht="14.25" x14ac:dyDescent="0.2">
      <c r="H137" s="9"/>
      <c r="U137" s="152"/>
      <c r="V137" s="21"/>
      <c r="W137" s="21"/>
      <c r="X137" s="21"/>
      <c r="Y137" s="21"/>
      <c r="Z137" s="21"/>
    </row>
    <row r="138" spans="1:26" ht="15.75" x14ac:dyDescent="0.2">
      <c r="A138" s="103" t="s">
        <v>883</v>
      </c>
      <c r="B138" s="97"/>
      <c r="C138" s="97"/>
      <c r="D138" s="97"/>
      <c r="E138" s="97"/>
      <c r="F138" s="97"/>
      <c r="G138" s="97"/>
      <c r="H138" s="97"/>
      <c r="I138" s="113"/>
      <c r="J138" s="113"/>
      <c r="K138" s="113"/>
      <c r="L138" s="113"/>
      <c r="M138" s="113"/>
      <c r="N138" s="113"/>
      <c r="O138" s="113"/>
      <c r="R138" s="113"/>
      <c r="S138" s="113"/>
      <c r="T138" s="146"/>
      <c r="U138" s="146"/>
    </row>
    <row r="139" spans="1:26" ht="89.25" x14ac:dyDescent="0.2">
      <c r="A139" s="211" t="s">
        <v>0</v>
      </c>
      <c r="B139" s="212" t="s">
        <v>1</v>
      </c>
      <c r="C139" s="212" t="s">
        <v>133</v>
      </c>
      <c r="D139" s="212" t="s">
        <v>199</v>
      </c>
      <c r="E139" s="212" t="s">
        <v>135</v>
      </c>
      <c r="F139" s="212" t="s">
        <v>200</v>
      </c>
      <c r="G139" s="212" t="s">
        <v>137</v>
      </c>
      <c r="H139" s="212" t="s">
        <v>201</v>
      </c>
      <c r="I139" s="104" t="s">
        <v>8</v>
      </c>
      <c r="J139" s="104" t="s">
        <v>9</v>
      </c>
      <c r="K139" s="104" t="s">
        <v>107</v>
      </c>
      <c r="L139" s="104" t="s">
        <v>14</v>
      </c>
      <c r="M139" s="104" t="s">
        <v>12</v>
      </c>
      <c r="N139" s="104" t="s">
        <v>1058</v>
      </c>
      <c r="O139" s="104" t="s">
        <v>100</v>
      </c>
      <c r="P139" s="6" t="s">
        <v>105</v>
      </c>
      <c r="Q139" s="6" t="s">
        <v>106</v>
      </c>
      <c r="R139" s="104" t="s">
        <v>70</v>
      </c>
      <c r="S139" s="104" t="s">
        <v>71</v>
      </c>
      <c r="T139" s="147" t="s">
        <v>80</v>
      </c>
      <c r="U139" s="147" t="s">
        <v>81</v>
      </c>
      <c r="V139" s="5" t="s">
        <v>101</v>
      </c>
      <c r="W139" s="5" t="s">
        <v>102</v>
      </c>
      <c r="X139" s="112" t="s">
        <v>103</v>
      </c>
      <c r="Y139" s="112" t="s">
        <v>104</v>
      </c>
    </row>
    <row r="140" spans="1:26" x14ac:dyDescent="0.2">
      <c r="A140" s="213" t="str">
        <f>A263</f>
        <v>VSL</v>
      </c>
      <c r="B140" s="213" t="str">
        <f>B263</f>
        <v>D248209</v>
      </c>
      <c r="C140" s="219">
        <f>C263*10000</f>
        <v>39781</v>
      </c>
      <c r="D140" s="219">
        <f>F263*10000</f>
        <v>28.8</v>
      </c>
      <c r="E140" s="219">
        <f t="shared" ref="E140:E147" si="250">G263*10000</f>
        <v>39840</v>
      </c>
      <c r="F140" s="219">
        <f>H263/I263*10000</f>
        <v>60</v>
      </c>
      <c r="G140" s="219">
        <f>J263*10000</f>
        <v>59</v>
      </c>
      <c r="H140" s="219">
        <f>M263*10000</f>
        <v>133</v>
      </c>
      <c r="I140" s="155">
        <f t="shared" ref="I140:I147" si="251">IF(ABS(G140)&gt;ABS(H140), 1, 0)</f>
        <v>0</v>
      </c>
      <c r="J140" s="155">
        <f t="shared" ref="J140:J147" si="252">I140*ABS(C140-E140)</f>
        <v>0</v>
      </c>
      <c r="K140" s="155">
        <f t="shared" ref="K140:K147" si="253">SQRT(SUMSQ(F140,J140))*2</f>
        <v>120</v>
      </c>
      <c r="L140" s="155">
        <f t="shared" ref="L140:L147" si="254">IF(C140&lt;$K$2, C140, $K$1)</f>
        <v>10</v>
      </c>
      <c r="M140" s="156">
        <f t="shared" ref="M140:M147" si="255">IF(AND(C140&lt;$K$1,C140&gt; $K$2), K140/L140*100, K140/C140*100)</f>
        <v>0.30165154219350943</v>
      </c>
      <c r="N140" s="157">
        <f t="shared" ref="N140:N147" si="256">M140*L140/100</f>
        <v>3.016515421935094E-2</v>
      </c>
      <c r="O140" s="155">
        <f t="shared" ref="O140:O147" si="257">N140/(M140*L140/100)*100</f>
        <v>100</v>
      </c>
      <c r="P140" s="250">
        <v>1</v>
      </c>
      <c r="Q140" s="250">
        <v>1000</v>
      </c>
      <c r="R140" s="148">
        <f t="shared" ref="R140:R147" si="258">IF( IF(P140&lt;L140, M140*L140/P140, M140)&gt;100, "ERROR",  IF(P140&lt;L140, M140*L140/P140, M140))</f>
        <v>3.016515421935094</v>
      </c>
      <c r="S140" s="148">
        <f t="shared" ref="S140:S147" si="259">IF(IF(Q140&lt;L140, M140*L140/Q140, M140)&gt;100, "ERROR", IF(Q140&lt;L140, M140*L140/Q140, M140))</f>
        <v>0.30165154219350943</v>
      </c>
      <c r="T140" s="148">
        <f>R140*P140*0.01</f>
        <v>3.016515421935094E-2</v>
      </c>
      <c r="U140" s="148">
        <f>S140*Q140*0.01</f>
        <v>3.0165154219350945</v>
      </c>
      <c r="V140" s="7">
        <f>P140*1000</f>
        <v>1000</v>
      </c>
      <c r="W140" s="7">
        <f>Q140*1000</f>
        <v>1000000</v>
      </c>
      <c r="X140" s="1345">
        <f>T140*1000</f>
        <v>30.165154219350939</v>
      </c>
      <c r="Y140" s="1345">
        <f>U140*1000</f>
        <v>3016.5154219350943</v>
      </c>
    </row>
    <row r="141" spans="1:26" x14ac:dyDescent="0.2">
      <c r="A141" s="213" t="str">
        <f t="shared" ref="A141:B141" si="260">A264</f>
        <v>BAM</v>
      </c>
      <c r="B141" s="213" t="str">
        <f t="shared" si="260"/>
        <v>D248163</v>
      </c>
      <c r="C141" s="219">
        <f t="shared" ref="C141:C147" si="261">C264*10000</f>
        <v>39726</v>
      </c>
      <c r="D141" s="219">
        <f t="shared" ref="D141:D147" si="262">F264*10000</f>
        <v>28.8</v>
      </c>
      <c r="E141" s="219">
        <f t="shared" si="250"/>
        <v>40020</v>
      </c>
      <c r="F141" s="219">
        <f t="shared" ref="F141:F147" si="263">H264/I264*10000</f>
        <v>350.00000000000006</v>
      </c>
      <c r="G141" s="219">
        <f t="shared" ref="G141:G147" si="264">J264*10000</f>
        <v>294</v>
      </c>
      <c r="H141" s="219">
        <f t="shared" ref="H141:H147" si="265">M264*10000</f>
        <v>702</v>
      </c>
      <c r="I141" s="155">
        <f t="shared" si="251"/>
        <v>0</v>
      </c>
      <c r="J141" s="155">
        <f t="shared" si="252"/>
        <v>0</v>
      </c>
      <c r="K141" s="155">
        <f t="shared" si="253"/>
        <v>700.00000000000011</v>
      </c>
      <c r="L141" s="155">
        <f t="shared" si="254"/>
        <v>10</v>
      </c>
      <c r="M141" s="156">
        <f t="shared" si="255"/>
        <v>1.7620701807380561</v>
      </c>
      <c r="N141" s="157">
        <f t="shared" si="256"/>
        <v>0.17620701807380562</v>
      </c>
      <c r="O141" s="155">
        <f t="shared" si="257"/>
        <v>100</v>
      </c>
      <c r="P141" s="250">
        <v>1</v>
      </c>
      <c r="Q141" s="250">
        <v>1000</v>
      </c>
      <c r="R141" s="148">
        <f t="shared" si="258"/>
        <v>17.620701807380563</v>
      </c>
      <c r="S141" s="148">
        <f t="shared" si="259"/>
        <v>1.7620701807380561</v>
      </c>
      <c r="T141" s="148">
        <f t="shared" ref="T141:T147" si="266">R141*P141*0.01</f>
        <v>0.17620701807380562</v>
      </c>
      <c r="U141" s="148">
        <f t="shared" ref="U141:U147" si="267">S141*Q141*0.01</f>
        <v>17.620701807380559</v>
      </c>
      <c r="V141" s="7">
        <f t="shared" ref="V141:V147" si="268">P141*1000</f>
        <v>1000</v>
      </c>
      <c r="W141" s="7">
        <f t="shared" ref="W141:W147" si="269">Q141*1000</f>
        <v>1000000</v>
      </c>
      <c r="X141" s="1345">
        <f t="shared" ref="X141:X147" si="270">T141*1000</f>
        <v>176.20701807380561</v>
      </c>
      <c r="Y141" s="1345">
        <f t="shared" ref="Y141:Y147" si="271">U141*1000</f>
        <v>17620.701807380559</v>
      </c>
    </row>
    <row r="142" spans="1:26" x14ac:dyDescent="0.2">
      <c r="A142" s="213" t="str">
        <f t="shared" ref="A142:B142" si="272">A265</f>
        <v>MKEH</v>
      </c>
      <c r="B142" s="213" t="str">
        <f t="shared" si="272"/>
        <v>D248168</v>
      </c>
      <c r="C142" s="219">
        <f t="shared" si="261"/>
        <v>39805</v>
      </c>
      <c r="D142" s="219">
        <f t="shared" si="262"/>
        <v>28.700000000000003</v>
      </c>
      <c r="E142" s="219">
        <f t="shared" si="250"/>
        <v>51734</v>
      </c>
      <c r="F142" s="219">
        <f t="shared" si="263"/>
        <v>115</v>
      </c>
      <c r="G142" s="219">
        <f t="shared" si="264"/>
        <v>11930</v>
      </c>
      <c r="H142" s="219">
        <f t="shared" si="265"/>
        <v>236</v>
      </c>
      <c r="I142" s="155">
        <f t="shared" si="251"/>
        <v>1</v>
      </c>
      <c r="J142" s="155">
        <f t="shared" si="252"/>
        <v>11929</v>
      </c>
      <c r="K142" s="155">
        <f t="shared" si="253"/>
        <v>23859.108617046026</v>
      </c>
      <c r="L142" s="155">
        <f t="shared" si="254"/>
        <v>10</v>
      </c>
      <c r="M142" s="156">
        <f t="shared" si="255"/>
        <v>59.939978939947302</v>
      </c>
      <c r="N142" s="157">
        <f t="shared" si="256"/>
        <v>5.99399789399473</v>
      </c>
      <c r="O142" s="155">
        <f t="shared" si="257"/>
        <v>100</v>
      </c>
      <c r="P142" s="250">
        <v>1</v>
      </c>
      <c r="Q142" s="250">
        <v>1000</v>
      </c>
      <c r="R142" s="148" t="str">
        <f t="shared" si="258"/>
        <v>ERROR</v>
      </c>
      <c r="S142" s="148">
        <f t="shared" si="259"/>
        <v>59.939978939947302</v>
      </c>
      <c r="T142" s="148" t="e">
        <f t="shared" si="266"/>
        <v>#VALUE!</v>
      </c>
      <c r="U142" s="148">
        <f t="shared" si="267"/>
        <v>599.39978939947298</v>
      </c>
      <c r="V142" s="7">
        <f t="shared" si="268"/>
        <v>1000</v>
      </c>
      <c r="W142" s="7">
        <f t="shared" si="269"/>
        <v>1000000</v>
      </c>
      <c r="X142" s="1345" t="e">
        <f t="shared" si="270"/>
        <v>#VALUE!</v>
      </c>
      <c r="Y142" s="1345">
        <f t="shared" si="271"/>
        <v>599399.789399473</v>
      </c>
    </row>
    <row r="143" spans="1:26" x14ac:dyDescent="0.2">
      <c r="A143" s="213" t="str">
        <f t="shared" ref="A143:B143" si="273">A266</f>
        <v>KRISS</v>
      </c>
      <c r="B143" s="213" t="str">
        <f t="shared" si="273"/>
        <v>D248205</v>
      </c>
      <c r="C143" s="219">
        <f t="shared" si="261"/>
        <v>39960</v>
      </c>
      <c r="D143" s="219">
        <f t="shared" si="262"/>
        <v>28.700000000000003</v>
      </c>
      <c r="E143" s="219">
        <f t="shared" si="250"/>
        <v>39600</v>
      </c>
      <c r="F143" s="219">
        <f t="shared" si="263"/>
        <v>20</v>
      </c>
      <c r="G143" s="219">
        <f t="shared" si="264"/>
        <v>-360</v>
      </c>
      <c r="H143" s="219">
        <f t="shared" si="265"/>
        <v>70</v>
      </c>
      <c r="I143" s="155">
        <f t="shared" si="251"/>
        <v>1</v>
      </c>
      <c r="J143" s="155">
        <f t="shared" si="252"/>
        <v>360</v>
      </c>
      <c r="K143" s="155">
        <f t="shared" si="253"/>
        <v>721.11025509279784</v>
      </c>
      <c r="L143" s="155">
        <f t="shared" si="254"/>
        <v>10</v>
      </c>
      <c r="M143" s="156">
        <f t="shared" si="255"/>
        <v>1.8045802179499446</v>
      </c>
      <c r="N143" s="157">
        <f t="shared" si="256"/>
        <v>0.18045802179499446</v>
      </c>
      <c r="O143" s="155">
        <f t="shared" si="257"/>
        <v>100</v>
      </c>
      <c r="P143" s="250">
        <v>1</v>
      </c>
      <c r="Q143" s="250">
        <v>1000</v>
      </c>
      <c r="R143" s="148">
        <f t="shared" si="258"/>
        <v>18.045802179499447</v>
      </c>
      <c r="S143" s="148">
        <f t="shared" si="259"/>
        <v>1.8045802179499446</v>
      </c>
      <c r="T143" s="148">
        <f t="shared" si="266"/>
        <v>0.18045802179499446</v>
      </c>
      <c r="U143" s="148">
        <f t="shared" si="267"/>
        <v>18.045802179499447</v>
      </c>
      <c r="V143" s="7">
        <f t="shared" si="268"/>
        <v>1000</v>
      </c>
      <c r="W143" s="7">
        <f t="shared" si="269"/>
        <v>1000000</v>
      </c>
      <c r="X143" s="1345">
        <f t="shared" si="270"/>
        <v>180.45802179499447</v>
      </c>
      <c r="Y143" s="1345">
        <f t="shared" si="271"/>
        <v>18045.802179499446</v>
      </c>
    </row>
    <row r="144" spans="1:26" x14ac:dyDescent="0.2">
      <c r="A144" s="213" t="str">
        <f t="shared" ref="A144:B144" si="274">A267</f>
        <v>NIM</v>
      </c>
      <c r="B144" s="213" t="str">
        <f t="shared" si="274"/>
        <v>D248188</v>
      </c>
      <c r="C144" s="219">
        <f t="shared" si="261"/>
        <v>40034</v>
      </c>
      <c r="D144" s="219">
        <f t="shared" si="262"/>
        <v>28.700000000000003</v>
      </c>
      <c r="E144" s="219">
        <f t="shared" si="250"/>
        <v>40141</v>
      </c>
      <c r="F144" s="219">
        <f t="shared" si="263"/>
        <v>80.5</v>
      </c>
      <c r="G144" s="219">
        <f t="shared" si="264"/>
        <v>107</v>
      </c>
      <c r="H144" s="219">
        <f t="shared" si="265"/>
        <v>171</v>
      </c>
      <c r="I144" s="155">
        <f t="shared" si="251"/>
        <v>0</v>
      </c>
      <c r="J144" s="155">
        <f t="shared" si="252"/>
        <v>0</v>
      </c>
      <c r="K144" s="155">
        <f t="shared" si="253"/>
        <v>161</v>
      </c>
      <c r="L144" s="155">
        <f t="shared" si="254"/>
        <v>10</v>
      </c>
      <c r="M144" s="156">
        <f t="shared" si="255"/>
        <v>0.40215816555927464</v>
      </c>
      <c r="N144" s="157">
        <f t="shared" si="256"/>
        <v>4.0215816555927465E-2</v>
      </c>
      <c r="O144" s="155">
        <f t="shared" si="257"/>
        <v>100</v>
      </c>
      <c r="P144" s="250">
        <v>1</v>
      </c>
      <c r="Q144" s="250">
        <v>1000</v>
      </c>
      <c r="R144" s="148">
        <f t="shared" si="258"/>
        <v>4.0215816555927466</v>
      </c>
      <c r="S144" s="148">
        <f t="shared" si="259"/>
        <v>0.40215816555927464</v>
      </c>
      <c r="T144" s="148">
        <f t="shared" si="266"/>
        <v>4.0215816555927465E-2</v>
      </c>
      <c r="U144" s="148">
        <f t="shared" si="267"/>
        <v>4.0215816555927466</v>
      </c>
      <c r="V144" s="7">
        <f t="shared" si="268"/>
        <v>1000</v>
      </c>
      <c r="W144" s="7">
        <f t="shared" si="269"/>
        <v>1000000</v>
      </c>
      <c r="X144" s="1345">
        <f t="shared" si="270"/>
        <v>40.215816555927468</v>
      </c>
      <c r="Y144" s="1345">
        <f t="shared" si="271"/>
        <v>4021.5816555927468</v>
      </c>
    </row>
    <row r="145" spans="1:26" x14ac:dyDescent="0.2">
      <c r="A145" s="213" t="str">
        <f t="shared" ref="A145:B145" si="275">A268</f>
        <v>NPL</v>
      </c>
      <c r="B145" s="213" t="str">
        <f t="shared" si="275"/>
        <v>D248159</v>
      </c>
      <c r="C145" s="219">
        <f t="shared" si="261"/>
        <v>40124.000000000007</v>
      </c>
      <c r="D145" s="219">
        <f t="shared" si="262"/>
        <v>28.700000000000003</v>
      </c>
      <c r="E145" s="219">
        <f t="shared" si="250"/>
        <v>40110</v>
      </c>
      <c r="F145" s="219">
        <f t="shared" si="263"/>
        <v>45</v>
      </c>
      <c r="G145" s="219">
        <f t="shared" si="264"/>
        <v>-10</v>
      </c>
      <c r="H145" s="219">
        <f t="shared" si="265"/>
        <v>103</v>
      </c>
      <c r="I145" s="155">
        <f t="shared" si="251"/>
        <v>0</v>
      </c>
      <c r="J145" s="155">
        <f t="shared" si="252"/>
        <v>0</v>
      </c>
      <c r="K145" s="155">
        <f t="shared" si="253"/>
        <v>90</v>
      </c>
      <c r="L145" s="155">
        <f t="shared" si="254"/>
        <v>10</v>
      </c>
      <c r="M145" s="156">
        <f t="shared" si="255"/>
        <v>0.22430465556773999</v>
      </c>
      <c r="N145" s="157">
        <f t="shared" si="256"/>
        <v>2.2430465556773999E-2</v>
      </c>
      <c r="O145" s="155">
        <f t="shared" si="257"/>
        <v>100</v>
      </c>
      <c r="P145" s="250">
        <v>1</v>
      </c>
      <c r="Q145" s="250">
        <v>1000</v>
      </c>
      <c r="R145" s="148">
        <f t="shared" si="258"/>
        <v>2.2430465556773997</v>
      </c>
      <c r="S145" s="148">
        <f t="shared" si="259"/>
        <v>0.22430465556773999</v>
      </c>
      <c r="T145" s="148">
        <f t="shared" si="266"/>
        <v>2.2430465556773999E-2</v>
      </c>
      <c r="U145" s="148">
        <f t="shared" si="267"/>
        <v>2.2430465556773997</v>
      </c>
      <c r="V145" s="7">
        <f t="shared" si="268"/>
        <v>1000</v>
      </c>
      <c r="W145" s="7">
        <f t="shared" si="269"/>
        <v>1000000</v>
      </c>
      <c r="X145" s="1345">
        <f t="shared" si="270"/>
        <v>22.430465556773999</v>
      </c>
      <c r="Y145" s="1345">
        <f t="shared" si="271"/>
        <v>2243.0465556773997</v>
      </c>
    </row>
    <row r="146" spans="1:26" x14ac:dyDescent="0.2">
      <c r="A146" s="213" t="str">
        <f t="shared" ref="A146:B146" si="276">A269</f>
        <v>SMU</v>
      </c>
      <c r="B146" s="213" t="str">
        <f t="shared" si="276"/>
        <v>D248206</v>
      </c>
      <c r="C146" s="219">
        <f t="shared" si="261"/>
        <v>39793</v>
      </c>
      <c r="D146" s="219">
        <f t="shared" si="262"/>
        <v>28.8</v>
      </c>
      <c r="E146" s="219">
        <f t="shared" si="250"/>
        <v>39850</v>
      </c>
      <c r="F146" s="219">
        <f t="shared" si="263"/>
        <v>95</v>
      </c>
      <c r="G146" s="219">
        <f t="shared" si="264"/>
        <v>57</v>
      </c>
      <c r="H146" s="219">
        <f t="shared" si="265"/>
        <v>199</v>
      </c>
      <c r="I146" s="155">
        <f t="shared" si="251"/>
        <v>0</v>
      </c>
      <c r="J146" s="155">
        <f t="shared" si="252"/>
        <v>0</v>
      </c>
      <c r="K146" s="155">
        <f t="shared" si="253"/>
        <v>190</v>
      </c>
      <c r="L146" s="155">
        <f t="shared" si="254"/>
        <v>10</v>
      </c>
      <c r="M146" s="156">
        <f t="shared" si="255"/>
        <v>0.47747091196944186</v>
      </c>
      <c r="N146" s="157">
        <f t="shared" si="256"/>
        <v>4.7747091196944182E-2</v>
      </c>
      <c r="O146" s="155">
        <f t="shared" si="257"/>
        <v>100</v>
      </c>
      <c r="P146" s="250">
        <v>1</v>
      </c>
      <c r="Q146" s="250">
        <v>1000</v>
      </c>
      <c r="R146" s="148">
        <f t="shared" si="258"/>
        <v>4.7747091196944185</v>
      </c>
      <c r="S146" s="148">
        <f t="shared" si="259"/>
        <v>0.47747091196944186</v>
      </c>
      <c r="T146" s="148">
        <f t="shared" si="266"/>
        <v>4.7747091196944189E-2</v>
      </c>
      <c r="U146" s="148">
        <f t="shared" si="267"/>
        <v>4.7747091196944194</v>
      </c>
      <c r="V146" s="7">
        <f t="shared" si="268"/>
        <v>1000</v>
      </c>
      <c r="W146" s="7">
        <f t="shared" si="269"/>
        <v>1000000</v>
      </c>
      <c r="X146" s="1345">
        <f t="shared" si="270"/>
        <v>47.74709119694419</v>
      </c>
      <c r="Y146" s="1345">
        <f t="shared" si="271"/>
        <v>4774.7091196944193</v>
      </c>
    </row>
    <row r="147" spans="1:26" x14ac:dyDescent="0.2">
      <c r="A147" s="213" t="str">
        <f t="shared" ref="A147:B147" si="277">A270</f>
        <v>VNIIM</v>
      </c>
      <c r="B147" s="213" t="str">
        <f t="shared" si="277"/>
        <v>D248176</v>
      </c>
      <c r="C147" s="219">
        <f t="shared" si="261"/>
        <v>39970</v>
      </c>
      <c r="D147" s="219">
        <f t="shared" si="262"/>
        <v>28.6</v>
      </c>
      <c r="E147" s="219">
        <f t="shared" si="250"/>
        <v>39960</v>
      </c>
      <c r="F147" s="219">
        <f t="shared" si="263"/>
        <v>90</v>
      </c>
      <c r="G147" s="219">
        <f t="shared" si="264"/>
        <v>-10</v>
      </c>
      <c r="H147" s="219">
        <f t="shared" si="265"/>
        <v>189</v>
      </c>
      <c r="I147" s="155">
        <f t="shared" si="251"/>
        <v>0</v>
      </c>
      <c r="J147" s="155">
        <f t="shared" si="252"/>
        <v>0</v>
      </c>
      <c r="K147" s="155">
        <f t="shared" si="253"/>
        <v>180</v>
      </c>
      <c r="L147" s="155">
        <f t="shared" si="254"/>
        <v>10</v>
      </c>
      <c r="M147" s="156">
        <f t="shared" si="255"/>
        <v>0.45033775331498621</v>
      </c>
      <c r="N147" s="157">
        <f t="shared" si="256"/>
        <v>4.5033775331498625E-2</v>
      </c>
      <c r="O147" s="155">
        <f t="shared" si="257"/>
        <v>100</v>
      </c>
      <c r="P147" s="250">
        <v>1</v>
      </c>
      <c r="Q147" s="250">
        <v>1000</v>
      </c>
      <c r="R147" s="148">
        <f t="shared" si="258"/>
        <v>4.5033775331498624</v>
      </c>
      <c r="S147" s="148">
        <f t="shared" si="259"/>
        <v>0.45033775331498621</v>
      </c>
      <c r="T147" s="148">
        <f t="shared" si="266"/>
        <v>4.5033775331498625E-2</v>
      </c>
      <c r="U147" s="148">
        <f t="shared" si="267"/>
        <v>4.5033775331498624</v>
      </c>
      <c r="V147" s="7">
        <f t="shared" si="268"/>
        <v>1000</v>
      </c>
      <c r="W147" s="7">
        <f t="shared" si="269"/>
        <v>1000000</v>
      </c>
      <c r="X147" s="1345">
        <f t="shared" si="270"/>
        <v>45.033775331498624</v>
      </c>
      <c r="Y147" s="1345">
        <f t="shared" si="271"/>
        <v>4503.3775331498628</v>
      </c>
    </row>
    <row r="148" spans="1:26" ht="14.25" x14ac:dyDescent="0.2">
      <c r="H148" s="9"/>
      <c r="U148" s="152"/>
      <c r="V148" s="21"/>
      <c r="W148" s="21"/>
      <c r="X148" s="21"/>
      <c r="Y148" s="21"/>
      <c r="Z148" s="21"/>
    </row>
    <row r="149" spans="1:26" ht="15.75" x14ac:dyDescent="0.2">
      <c r="A149" s="103" t="s">
        <v>884</v>
      </c>
      <c r="B149" s="97"/>
      <c r="C149" s="97"/>
      <c r="D149" s="97"/>
      <c r="E149" s="97"/>
      <c r="F149" s="97"/>
      <c r="G149" s="97"/>
      <c r="H149" s="97"/>
      <c r="I149" s="113"/>
      <c r="J149" s="113"/>
      <c r="K149" s="113"/>
      <c r="L149" s="113"/>
      <c r="M149" s="113"/>
      <c r="N149" s="113"/>
      <c r="O149" s="113"/>
      <c r="R149" s="113"/>
      <c r="S149" s="113"/>
      <c r="T149" s="146"/>
      <c r="U149" s="146"/>
    </row>
    <row r="150" spans="1:26" ht="89.25" x14ac:dyDescent="0.2">
      <c r="A150" s="211" t="s">
        <v>0</v>
      </c>
      <c r="B150" s="212" t="s">
        <v>1</v>
      </c>
      <c r="C150" s="212" t="s">
        <v>133</v>
      </c>
      <c r="D150" s="212" t="s">
        <v>199</v>
      </c>
      <c r="E150" s="212" t="s">
        <v>135</v>
      </c>
      <c r="F150" s="212" t="s">
        <v>200</v>
      </c>
      <c r="G150" s="212" t="s">
        <v>137</v>
      </c>
      <c r="H150" s="212" t="s">
        <v>201</v>
      </c>
      <c r="I150" s="104" t="s">
        <v>8</v>
      </c>
      <c r="J150" s="104" t="s">
        <v>9</v>
      </c>
      <c r="K150" s="104" t="s">
        <v>107</v>
      </c>
      <c r="L150" s="104" t="s">
        <v>14</v>
      </c>
      <c r="M150" s="104" t="s">
        <v>12</v>
      </c>
      <c r="N150" s="104" t="s">
        <v>1058</v>
      </c>
      <c r="O150" s="104" t="s">
        <v>100</v>
      </c>
      <c r="P150" s="6" t="s">
        <v>105</v>
      </c>
      <c r="Q150" s="6" t="s">
        <v>106</v>
      </c>
      <c r="R150" s="104" t="s">
        <v>70</v>
      </c>
      <c r="S150" s="104" t="s">
        <v>71</v>
      </c>
      <c r="T150" s="147" t="s">
        <v>80</v>
      </c>
      <c r="U150" s="147" t="s">
        <v>81</v>
      </c>
      <c r="V150" s="5" t="s">
        <v>101</v>
      </c>
      <c r="W150" s="5" t="s">
        <v>102</v>
      </c>
      <c r="X150" s="112" t="s">
        <v>103</v>
      </c>
      <c r="Y150" s="112" t="s">
        <v>104</v>
      </c>
    </row>
    <row r="151" spans="1:26" x14ac:dyDescent="0.2">
      <c r="A151" s="213" t="str">
        <f>A274</f>
        <v>VSL</v>
      </c>
      <c r="B151" s="213" t="str">
        <f>B274</f>
        <v>D248209</v>
      </c>
      <c r="C151" s="219">
        <f>C274*10000</f>
        <v>548550</v>
      </c>
      <c r="D151" s="219">
        <f>F274*10000</f>
        <v>420</v>
      </c>
      <c r="E151" s="219">
        <f t="shared" ref="E151:E158" si="278">G274*10000</f>
        <v>548590</v>
      </c>
      <c r="F151" s="219">
        <f>H274/I274*10000</f>
        <v>160</v>
      </c>
      <c r="G151" s="219">
        <f>J274*10000</f>
        <v>40</v>
      </c>
      <c r="H151" s="219">
        <f>M274*10000</f>
        <v>896</v>
      </c>
      <c r="I151" s="155">
        <f t="shared" ref="I151:I158" si="279">IF(ABS(G151)&gt;ABS(H151), 1, 0)</f>
        <v>0</v>
      </c>
      <c r="J151" s="155">
        <f t="shared" ref="J151:J158" si="280">I151*ABS(C151-E151)</f>
        <v>0</v>
      </c>
      <c r="K151" s="155">
        <f t="shared" ref="K151:K158" si="281">SQRT(SUMSQ(F151,J151))*2</f>
        <v>320</v>
      </c>
      <c r="L151" s="155">
        <f t="shared" ref="L151:L158" si="282">IF(C151&lt;$K$2, C151, $K$1)</f>
        <v>10</v>
      </c>
      <c r="M151" s="156">
        <f t="shared" ref="M151:M158" si="283">IF(AND(C151&lt;$K$1,C151&gt; $K$2), K151/L151*100, K151/C151*100)</f>
        <v>5.8335612068179749E-2</v>
      </c>
      <c r="N151" s="157">
        <f t="shared" ref="N151:N158" si="284">M151*L151/100</f>
        <v>5.8335612068179743E-3</v>
      </c>
      <c r="O151" s="155">
        <f t="shared" ref="O151:O158" si="285">N151/(M151*L151/100)*100</f>
        <v>100</v>
      </c>
      <c r="P151" s="250">
        <v>1</v>
      </c>
      <c r="Q151" s="250">
        <v>1000</v>
      </c>
      <c r="R151" s="148">
        <f t="shared" ref="R151:R158" si="286">IF( IF(P151&lt;L151, M151*L151/P151, M151)&gt;100, "ERROR",  IF(P151&lt;L151, M151*L151/P151, M151))</f>
        <v>0.58335612068179743</v>
      </c>
      <c r="S151" s="148">
        <f t="shared" ref="S151:S158" si="287">IF(IF(Q151&lt;L151, M151*L151/Q151, M151)&gt;100, "ERROR", IF(Q151&lt;L151, M151*L151/Q151, M151))</f>
        <v>5.8335612068179749E-2</v>
      </c>
      <c r="T151" s="148">
        <f>R151*P151*0.01</f>
        <v>5.8335612068179743E-3</v>
      </c>
      <c r="U151" s="148">
        <f>S151*Q151*0.01</f>
        <v>0.58335612068179754</v>
      </c>
      <c r="V151" s="7">
        <f>P151*1000</f>
        <v>1000</v>
      </c>
      <c r="W151" s="7">
        <f>Q151*1000</f>
        <v>1000000</v>
      </c>
      <c r="X151" s="1345">
        <f>T151*1000</f>
        <v>5.8335612068179747</v>
      </c>
      <c r="Y151" s="1345">
        <f>U151*1000</f>
        <v>583.35612068179751</v>
      </c>
    </row>
    <row r="152" spans="1:26" x14ac:dyDescent="0.2">
      <c r="A152" s="213" t="str">
        <f t="shared" ref="A152:B152" si="288">A275</f>
        <v>BAM</v>
      </c>
      <c r="B152" s="213" t="str">
        <f t="shared" si="288"/>
        <v>D248163</v>
      </c>
      <c r="C152" s="219">
        <f t="shared" ref="C152:C158" si="289">C275*10000</f>
        <v>547580</v>
      </c>
      <c r="D152" s="219">
        <f t="shared" ref="D152:D158" si="290">F275*10000</f>
        <v>420</v>
      </c>
      <c r="E152" s="219">
        <f t="shared" si="278"/>
        <v>543880</v>
      </c>
      <c r="F152" s="219">
        <f t="shared" ref="F152:F158" si="291">H275/I275*10000</f>
        <v>3850</v>
      </c>
      <c r="G152" s="219">
        <f t="shared" ref="G152:G158" si="292">J275*10000</f>
        <v>-3700</v>
      </c>
      <c r="H152" s="219">
        <f t="shared" ref="H152:H158" si="293">M275*10000</f>
        <v>7715.9999999999991</v>
      </c>
      <c r="I152" s="155">
        <f t="shared" si="279"/>
        <v>0</v>
      </c>
      <c r="J152" s="155">
        <f t="shared" si="280"/>
        <v>0</v>
      </c>
      <c r="K152" s="155">
        <f t="shared" si="281"/>
        <v>7700</v>
      </c>
      <c r="L152" s="155">
        <f t="shared" si="282"/>
        <v>10</v>
      </c>
      <c r="M152" s="156">
        <f t="shared" si="283"/>
        <v>1.4061872237846524</v>
      </c>
      <c r="N152" s="157">
        <f t="shared" si="284"/>
        <v>0.14061872237846523</v>
      </c>
      <c r="O152" s="155">
        <f t="shared" si="285"/>
        <v>100</v>
      </c>
      <c r="P152" s="250">
        <v>1</v>
      </c>
      <c r="Q152" s="250">
        <v>1000</v>
      </c>
      <c r="R152" s="148">
        <f t="shared" si="286"/>
        <v>14.061872237846524</v>
      </c>
      <c r="S152" s="148">
        <f t="shared" si="287"/>
        <v>1.4061872237846524</v>
      </c>
      <c r="T152" s="148">
        <f t="shared" ref="T152:T158" si="294">R152*P152*0.01</f>
        <v>0.14061872237846523</v>
      </c>
      <c r="U152" s="148">
        <f t="shared" ref="U152:U158" si="295">S152*Q152*0.01</f>
        <v>14.061872237846524</v>
      </c>
      <c r="V152" s="7">
        <f t="shared" ref="V152:V158" si="296">P152*1000</f>
        <v>1000</v>
      </c>
      <c r="W152" s="7">
        <f t="shared" ref="W152:W158" si="297">Q152*1000</f>
        <v>1000000</v>
      </c>
      <c r="X152" s="1345">
        <f t="shared" ref="X152:X158" si="298">T152*1000</f>
        <v>140.61872237846524</v>
      </c>
      <c r="Y152" s="1345">
        <f t="shared" ref="Y152:Y158" si="299">U152*1000</f>
        <v>14061.872237846525</v>
      </c>
    </row>
    <row r="153" spans="1:26" x14ac:dyDescent="0.2">
      <c r="A153" s="213" t="str">
        <f t="shared" ref="A153:B153" si="300">A276</f>
        <v>MKEH</v>
      </c>
      <c r="B153" s="213" t="str">
        <f t="shared" si="300"/>
        <v>D248168</v>
      </c>
      <c r="C153" s="219">
        <f t="shared" si="289"/>
        <v>551680</v>
      </c>
      <c r="D153" s="219">
        <f t="shared" si="290"/>
        <v>420</v>
      </c>
      <c r="E153" s="219">
        <f t="shared" si="278"/>
        <v>601628</v>
      </c>
      <c r="F153" s="219">
        <f t="shared" si="291"/>
        <v>185</v>
      </c>
      <c r="G153" s="219">
        <f t="shared" si="292"/>
        <v>49950</v>
      </c>
      <c r="H153" s="219">
        <f t="shared" si="293"/>
        <v>914</v>
      </c>
      <c r="I153" s="155">
        <f t="shared" si="279"/>
        <v>1</v>
      </c>
      <c r="J153" s="155">
        <f t="shared" si="280"/>
        <v>49948</v>
      </c>
      <c r="K153" s="155">
        <f t="shared" si="281"/>
        <v>99896.685210271113</v>
      </c>
      <c r="L153" s="155">
        <f t="shared" si="282"/>
        <v>10</v>
      </c>
      <c r="M153" s="156">
        <f t="shared" si="283"/>
        <v>18.107722812186612</v>
      </c>
      <c r="N153" s="157">
        <f t="shared" si="284"/>
        <v>1.8107722812186611</v>
      </c>
      <c r="O153" s="155">
        <f t="shared" si="285"/>
        <v>100</v>
      </c>
      <c r="P153" s="250">
        <v>1</v>
      </c>
      <c r="Q153" s="250">
        <v>1000</v>
      </c>
      <c r="R153" s="148" t="str">
        <f t="shared" si="286"/>
        <v>ERROR</v>
      </c>
      <c r="S153" s="148">
        <f t="shared" si="287"/>
        <v>18.107722812186612</v>
      </c>
      <c r="T153" s="148" t="e">
        <f t="shared" si="294"/>
        <v>#VALUE!</v>
      </c>
      <c r="U153" s="148">
        <f t="shared" si="295"/>
        <v>181.07722812186614</v>
      </c>
      <c r="V153" s="7">
        <f t="shared" si="296"/>
        <v>1000</v>
      </c>
      <c r="W153" s="7">
        <f t="shared" si="297"/>
        <v>1000000</v>
      </c>
      <c r="X153" s="1345" t="e">
        <f t="shared" si="298"/>
        <v>#VALUE!</v>
      </c>
      <c r="Y153" s="1345">
        <f t="shared" si="299"/>
        <v>181077.22812186615</v>
      </c>
    </row>
    <row r="154" spans="1:26" x14ac:dyDescent="0.2">
      <c r="A154" s="213" t="str">
        <f t="shared" ref="A154:B154" si="301">A277</f>
        <v>KRISS</v>
      </c>
      <c r="B154" s="213" t="str">
        <f t="shared" si="301"/>
        <v>D248205</v>
      </c>
      <c r="C154" s="219">
        <f t="shared" si="289"/>
        <v>550060</v>
      </c>
      <c r="D154" s="219">
        <f t="shared" si="290"/>
        <v>420</v>
      </c>
      <c r="E154" s="219">
        <f t="shared" si="278"/>
        <v>552070</v>
      </c>
      <c r="F154" s="219">
        <f t="shared" si="291"/>
        <v>434.99999999999994</v>
      </c>
      <c r="G154" s="219">
        <f t="shared" si="292"/>
        <v>2010.0000000000002</v>
      </c>
      <c r="H154" s="219">
        <f t="shared" si="293"/>
        <v>1205</v>
      </c>
      <c r="I154" s="155">
        <f t="shared" si="279"/>
        <v>1</v>
      </c>
      <c r="J154" s="155">
        <f t="shared" si="280"/>
        <v>2010</v>
      </c>
      <c r="K154" s="155">
        <f t="shared" si="281"/>
        <v>4113.0645509157766</v>
      </c>
      <c r="L154" s="155">
        <f t="shared" si="282"/>
        <v>10</v>
      </c>
      <c r="M154" s="156">
        <f t="shared" si="283"/>
        <v>0.74774834580150829</v>
      </c>
      <c r="N154" s="157">
        <f t="shared" si="284"/>
        <v>7.4774834580150829E-2</v>
      </c>
      <c r="O154" s="155">
        <f t="shared" si="285"/>
        <v>100</v>
      </c>
      <c r="P154" s="250">
        <v>1</v>
      </c>
      <c r="Q154" s="250">
        <v>1000</v>
      </c>
      <c r="R154" s="148">
        <f t="shared" si="286"/>
        <v>7.4774834580150831</v>
      </c>
      <c r="S154" s="148">
        <f t="shared" si="287"/>
        <v>0.74774834580150829</v>
      </c>
      <c r="T154" s="148">
        <f t="shared" si="294"/>
        <v>7.4774834580150829E-2</v>
      </c>
      <c r="U154" s="148">
        <f t="shared" si="295"/>
        <v>7.4774834580150831</v>
      </c>
      <c r="V154" s="7">
        <f t="shared" si="296"/>
        <v>1000</v>
      </c>
      <c r="W154" s="7">
        <f t="shared" si="297"/>
        <v>1000000</v>
      </c>
      <c r="X154" s="1345">
        <f t="shared" si="298"/>
        <v>74.774834580150824</v>
      </c>
      <c r="Y154" s="1345">
        <f t="shared" si="299"/>
        <v>7477.4834580150828</v>
      </c>
    </row>
    <row r="155" spans="1:26" x14ac:dyDescent="0.2">
      <c r="A155" s="213" t="str">
        <f t="shared" ref="A155:B155" si="302">A278</f>
        <v>NIM</v>
      </c>
      <c r="B155" s="213" t="str">
        <f t="shared" si="302"/>
        <v>D248188</v>
      </c>
      <c r="C155" s="219">
        <f t="shared" si="289"/>
        <v>550500</v>
      </c>
      <c r="D155" s="219">
        <f t="shared" si="290"/>
        <v>420</v>
      </c>
      <c r="E155" s="219">
        <f t="shared" si="278"/>
        <v>550310</v>
      </c>
      <c r="F155" s="219">
        <f t="shared" si="291"/>
        <v>400</v>
      </c>
      <c r="G155" s="219">
        <f t="shared" si="292"/>
        <v>-190</v>
      </c>
      <c r="H155" s="219">
        <f t="shared" si="293"/>
        <v>1163</v>
      </c>
      <c r="I155" s="155">
        <f t="shared" si="279"/>
        <v>0</v>
      </c>
      <c r="J155" s="155">
        <f t="shared" si="280"/>
        <v>0</v>
      </c>
      <c r="K155" s="155">
        <f t="shared" si="281"/>
        <v>800</v>
      </c>
      <c r="L155" s="155">
        <f t="shared" si="282"/>
        <v>10</v>
      </c>
      <c r="M155" s="156">
        <f t="shared" si="283"/>
        <v>0.14532243415077203</v>
      </c>
      <c r="N155" s="157">
        <f t="shared" si="284"/>
        <v>1.4532243415077204E-2</v>
      </c>
      <c r="O155" s="155">
        <f t="shared" si="285"/>
        <v>100</v>
      </c>
      <c r="P155" s="250">
        <v>1</v>
      </c>
      <c r="Q155" s="250">
        <v>1000</v>
      </c>
      <c r="R155" s="148">
        <f t="shared" si="286"/>
        <v>1.4532243415077204</v>
      </c>
      <c r="S155" s="148">
        <f t="shared" si="287"/>
        <v>0.14532243415077203</v>
      </c>
      <c r="T155" s="148">
        <f t="shared" si="294"/>
        <v>1.4532243415077204E-2</v>
      </c>
      <c r="U155" s="148">
        <f t="shared" si="295"/>
        <v>1.4532243415077204</v>
      </c>
      <c r="V155" s="7">
        <f t="shared" si="296"/>
        <v>1000</v>
      </c>
      <c r="W155" s="7">
        <f t="shared" si="297"/>
        <v>1000000</v>
      </c>
      <c r="X155" s="1345">
        <f t="shared" si="298"/>
        <v>14.532243415077204</v>
      </c>
      <c r="Y155" s="1345">
        <f t="shared" si="299"/>
        <v>1453.2243415077205</v>
      </c>
    </row>
    <row r="156" spans="1:26" x14ac:dyDescent="0.2">
      <c r="A156" s="213" t="str">
        <f t="shared" ref="A156:B156" si="303">A279</f>
        <v>NPL</v>
      </c>
      <c r="B156" s="213" t="str">
        <f t="shared" si="303"/>
        <v>D248159</v>
      </c>
      <c r="C156" s="219">
        <f t="shared" si="289"/>
        <v>549130</v>
      </c>
      <c r="D156" s="219">
        <f t="shared" si="290"/>
        <v>420</v>
      </c>
      <c r="E156" s="219">
        <f t="shared" si="278"/>
        <v>549000</v>
      </c>
      <c r="F156" s="219">
        <f t="shared" si="291"/>
        <v>550</v>
      </c>
      <c r="G156" s="219">
        <f t="shared" si="292"/>
        <v>-130</v>
      </c>
      <c r="H156" s="219">
        <f t="shared" si="293"/>
        <v>1381</v>
      </c>
      <c r="I156" s="155">
        <f t="shared" si="279"/>
        <v>0</v>
      </c>
      <c r="J156" s="155">
        <f t="shared" si="280"/>
        <v>0</v>
      </c>
      <c r="K156" s="155">
        <f t="shared" si="281"/>
        <v>1100</v>
      </c>
      <c r="L156" s="155">
        <f t="shared" si="282"/>
        <v>10</v>
      </c>
      <c r="M156" s="156">
        <f t="shared" si="283"/>
        <v>0.20031686485895869</v>
      </c>
      <c r="N156" s="157">
        <f t="shared" si="284"/>
        <v>2.0031686485895869E-2</v>
      </c>
      <c r="O156" s="155">
        <f t="shared" si="285"/>
        <v>100</v>
      </c>
      <c r="P156" s="250">
        <v>1</v>
      </c>
      <c r="Q156" s="250">
        <v>1000</v>
      </c>
      <c r="R156" s="148">
        <f t="shared" si="286"/>
        <v>2.003168648589587</v>
      </c>
      <c r="S156" s="148">
        <f t="shared" si="287"/>
        <v>0.20031686485895869</v>
      </c>
      <c r="T156" s="148">
        <f t="shared" si="294"/>
        <v>2.0031686485895869E-2</v>
      </c>
      <c r="U156" s="148">
        <f t="shared" si="295"/>
        <v>2.003168648589587</v>
      </c>
      <c r="V156" s="7">
        <f t="shared" si="296"/>
        <v>1000</v>
      </c>
      <c r="W156" s="7">
        <f t="shared" si="297"/>
        <v>1000000</v>
      </c>
      <c r="X156" s="1345">
        <f t="shared" si="298"/>
        <v>20.031686485895868</v>
      </c>
      <c r="Y156" s="1345">
        <f t="shared" si="299"/>
        <v>2003.1686485895871</v>
      </c>
    </row>
    <row r="157" spans="1:26" x14ac:dyDescent="0.2">
      <c r="A157" s="213" t="str">
        <f t="shared" ref="A157:B157" si="304">A280</f>
        <v>SMU</v>
      </c>
      <c r="B157" s="213" t="str">
        <f t="shared" si="304"/>
        <v>D248206</v>
      </c>
      <c r="C157" s="219">
        <f t="shared" si="289"/>
        <v>548360</v>
      </c>
      <c r="D157" s="219">
        <f t="shared" si="290"/>
        <v>420</v>
      </c>
      <c r="E157" s="219">
        <f t="shared" si="278"/>
        <v>547700</v>
      </c>
      <c r="F157" s="219">
        <f t="shared" si="291"/>
        <v>450</v>
      </c>
      <c r="G157" s="219">
        <f t="shared" si="292"/>
        <v>-709.99999999999989</v>
      </c>
      <c r="H157" s="219">
        <f t="shared" si="293"/>
        <v>1237</v>
      </c>
      <c r="I157" s="155">
        <f t="shared" si="279"/>
        <v>0</v>
      </c>
      <c r="J157" s="155">
        <f t="shared" si="280"/>
        <v>0</v>
      </c>
      <c r="K157" s="155">
        <f t="shared" si="281"/>
        <v>900</v>
      </c>
      <c r="L157" s="155">
        <f t="shared" si="282"/>
        <v>10</v>
      </c>
      <c r="M157" s="156">
        <f t="shared" si="283"/>
        <v>0.16412575680210081</v>
      </c>
      <c r="N157" s="157">
        <f t="shared" si="284"/>
        <v>1.6412575680210081E-2</v>
      </c>
      <c r="O157" s="155">
        <f t="shared" si="285"/>
        <v>100</v>
      </c>
      <c r="P157" s="250">
        <v>1</v>
      </c>
      <c r="Q157" s="250">
        <v>1000</v>
      </c>
      <c r="R157" s="148">
        <f t="shared" si="286"/>
        <v>1.6412575680210082</v>
      </c>
      <c r="S157" s="148">
        <f t="shared" si="287"/>
        <v>0.16412575680210081</v>
      </c>
      <c r="T157" s="148">
        <f t="shared" si="294"/>
        <v>1.6412575680210081E-2</v>
      </c>
      <c r="U157" s="148">
        <f t="shared" si="295"/>
        <v>1.6412575680210082</v>
      </c>
      <c r="V157" s="7">
        <f t="shared" si="296"/>
        <v>1000</v>
      </c>
      <c r="W157" s="7">
        <f t="shared" si="297"/>
        <v>1000000</v>
      </c>
      <c r="X157" s="1345">
        <f t="shared" si="298"/>
        <v>16.412575680210082</v>
      </c>
      <c r="Y157" s="1345">
        <f t="shared" si="299"/>
        <v>1641.2575680210082</v>
      </c>
    </row>
    <row r="158" spans="1:26" x14ac:dyDescent="0.2">
      <c r="A158" s="213" t="str">
        <f t="shared" ref="A158:B158" si="305">A281</f>
        <v>VNIIM</v>
      </c>
      <c r="B158" s="213" t="str">
        <f t="shared" si="305"/>
        <v>D248176</v>
      </c>
      <c r="C158" s="219">
        <f t="shared" si="289"/>
        <v>550290</v>
      </c>
      <c r="D158" s="219">
        <f t="shared" si="290"/>
        <v>420</v>
      </c>
      <c r="E158" s="219">
        <f t="shared" si="278"/>
        <v>550360</v>
      </c>
      <c r="F158" s="219">
        <f t="shared" si="291"/>
        <v>700.00000000000011</v>
      </c>
      <c r="G158" s="219">
        <f t="shared" si="292"/>
        <v>70</v>
      </c>
      <c r="H158" s="219">
        <f t="shared" si="293"/>
        <v>1630</v>
      </c>
      <c r="I158" s="155">
        <f t="shared" si="279"/>
        <v>0</v>
      </c>
      <c r="J158" s="155">
        <f t="shared" si="280"/>
        <v>0</v>
      </c>
      <c r="K158" s="155">
        <f t="shared" si="281"/>
        <v>1400.0000000000002</v>
      </c>
      <c r="L158" s="155">
        <f t="shared" si="282"/>
        <v>10</v>
      </c>
      <c r="M158" s="156">
        <f t="shared" si="283"/>
        <v>0.25441131039997095</v>
      </c>
      <c r="N158" s="157">
        <f t="shared" si="284"/>
        <v>2.5441131039997095E-2</v>
      </c>
      <c r="O158" s="155">
        <f t="shared" si="285"/>
        <v>100</v>
      </c>
      <c r="P158" s="250">
        <v>1</v>
      </c>
      <c r="Q158" s="250">
        <v>1000</v>
      </c>
      <c r="R158" s="148">
        <f t="shared" si="286"/>
        <v>2.5441131039997096</v>
      </c>
      <c r="S158" s="148">
        <f t="shared" si="287"/>
        <v>0.25441131039997095</v>
      </c>
      <c r="T158" s="148">
        <f t="shared" si="294"/>
        <v>2.5441131039997095E-2</v>
      </c>
      <c r="U158" s="148">
        <f t="shared" si="295"/>
        <v>2.5441131039997096</v>
      </c>
      <c r="V158" s="7">
        <f t="shared" si="296"/>
        <v>1000</v>
      </c>
      <c r="W158" s="7">
        <f t="shared" si="297"/>
        <v>1000000</v>
      </c>
      <c r="X158" s="1345">
        <f t="shared" si="298"/>
        <v>25.441131039997096</v>
      </c>
      <c r="Y158" s="1345">
        <f t="shared" si="299"/>
        <v>2544.1131039997094</v>
      </c>
    </row>
    <row r="159" spans="1:26" ht="14.25" x14ac:dyDescent="0.2">
      <c r="H159" s="9"/>
      <c r="U159" s="152"/>
      <c r="V159" s="21"/>
      <c r="W159" s="21"/>
      <c r="X159" s="21"/>
      <c r="Y159" s="21"/>
      <c r="Z159" s="21"/>
    </row>
    <row r="162" spans="1:14" s="227" customFormat="1" ht="15" customHeight="1" x14ac:dyDescent="0.2">
      <c r="A162" s="227" t="s">
        <v>885</v>
      </c>
    </row>
    <row r="163" spans="1:14" s="227" customFormat="1" ht="12" customHeight="1" x14ac:dyDescent="0.2">
      <c r="A163" s="677" t="s">
        <v>23</v>
      </c>
      <c r="B163" s="677" t="s">
        <v>24</v>
      </c>
      <c r="C163" s="678" t="s">
        <v>886</v>
      </c>
      <c r="D163" s="626" t="s">
        <v>887</v>
      </c>
      <c r="E163" s="626" t="s">
        <v>888</v>
      </c>
      <c r="F163" s="680" t="s">
        <v>889</v>
      </c>
      <c r="G163" s="678" t="s">
        <v>890</v>
      </c>
      <c r="H163" s="679" t="s">
        <v>891</v>
      </c>
      <c r="I163" s="680" t="s">
        <v>62</v>
      </c>
      <c r="J163" s="678" t="s">
        <v>892</v>
      </c>
      <c r="K163" s="679" t="s">
        <v>893</v>
      </c>
      <c r="L163" s="803" t="s">
        <v>719</v>
      </c>
      <c r="M163" s="679" t="s">
        <v>894</v>
      </c>
      <c r="N163" s="680" t="s">
        <v>895</v>
      </c>
    </row>
    <row r="164" spans="1:14" s="227" customFormat="1" ht="12" customHeight="1" x14ac:dyDescent="0.2">
      <c r="A164" s="804" t="s">
        <v>825</v>
      </c>
      <c r="B164" s="804" t="s">
        <v>896</v>
      </c>
      <c r="C164" s="805">
        <v>10.9716</v>
      </c>
      <c r="D164" s="806">
        <v>3.3E-3</v>
      </c>
      <c r="E164" s="806">
        <v>4.5999999999999999E-3</v>
      </c>
      <c r="F164" s="807">
        <v>5.6600000000000001E-3</v>
      </c>
      <c r="G164" s="808">
        <v>10.971</v>
      </c>
      <c r="H164" s="809">
        <v>1.7000000000000001E-2</v>
      </c>
      <c r="I164" s="810">
        <v>2</v>
      </c>
      <c r="J164" s="805">
        <v>-5.9999999999999995E-4</v>
      </c>
      <c r="K164" s="811">
        <v>-1E-4</v>
      </c>
      <c r="L164" s="812">
        <v>2</v>
      </c>
      <c r="M164" s="813">
        <v>2.0400000000000001E-2</v>
      </c>
      <c r="N164" s="814">
        <v>1.9E-3</v>
      </c>
    </row>
    <row r="165" spans="1:14" s="227" customFormat="1" ht="11.1" customHeight="1" x14ac:dyDescent="0.2">
      <c r="A165" s="815" t="s">
        <v>897</v>
      </c>
      <c r="B165" s="815" t="s">
        <v>898</v>
      </c>
      <c r="C165" s="816">
        <v>10.9564</v>
      </c>
      <c r="D165" s="817">
        <v>3.3E-3</v>
      </c>
      <c r="E165" s="817">
        <v>4.5999999999999999E-3</v>
      </c>
      <c r="F165" s="818">
        <v>5.6600000000000001E-3</v>
      </c>
      <c r="G165" s="819">
        <v>11.101000000000001</v>
      </c>
      <c r="H165" s="820">
        <v>0.51900000000000002</v>
      </c>
      <c r="I165" s="821">
        <v>2</v>
      </c>
      <c r="J165" s="816">
        <v>0.14460000000000001</v>
      </c>
      <c r="K165" s="822">
        <v>1.32E-2</v>
      </c>
      <c r="L165" s="823">
        <v>2</v>
      </c>
      <c r="M165" s="824">
        <v>0.51910000000000001</v>
      </c>
      <c r="N165" s="825">
        <v>4.7399999999999998E-2</v>
      </c>
    </row>
    <row r="166" spans="1:14" s="227" customFormat="1" ht="11.1" customHeight="1" x14ac:dyDescent="0.2">
      <c r="A166" s="815" t="s">
        <v>899</v>
      </c>
      <c r="B166" s="815" t="s">
        <v>900</v>
      </c>
      <c r="C166" s="816">
        <v>10.842700000000001</v>
      </c>
      <c r="D166" s="817">
        <v>3.2000000000000002E-3</v>
      </c>
      <c r="E166" s="817">
        <v>4.5999999999999999E-3</v>
      </c>
      <c r="F166" s="818">
        <v>5.5999999999999999E-3</v>
      </c>
      <c r="G166" s="826">
        <v>10.79102</v>
      </c>
      <c r="H166" s="820">
        <v>3.5000000000000003E-2</v>
      </c>
      <c r="I166" s="821">
        <v>2</v>
      </c>
      <c r="J166" s="816">
        <v>-5.1700000000000003E-2</v>
      </c>
      <c r="K166" s="822">
        <v>-4.7999999999999996E-3</v>
      </c>
      <c r="L166" s="823">
        <v>2</v>
      </c>
      <c r="M166" s="824">
        <v>3.6700000000000003E-2</v>
      </c>
      <c r="N166" s="825">
        <v>3.3999999999999998E-3</v>
      </c>
    </row>
    <row r="167" spans="1:14" s="227" customFormat="1" ht="11.1" customHeight="1" x14ac:dyDescent="0.2">
      <c r="A167" s="815" t="s">
        <v>901</v>
      </c>
      <c r="B167" s="815" t="s">
        <v>902</v>
      </c>
      <c r="C167" s="816">
        <v>10.885</v>
      </c>
      <c r="D167" s="817">
        <v>3.2000000000000002E-3</v>
      </c>
      <c r="E167" s="817">
        <v>4.5999999999999999E-3</v>
      </c>
      <c r="F167" s="818">
        <v>5.5999999999999999E-3</v>
      </c>
      <c r="G167" s="827">
        <v>10.84</v>
      </c>
      <c r="H167" s="820">
        <v>3.6999999999999998E-2</v>
      </c>
      <c r="I167" s="821">
        <v>2</v>
      </c>
      <c r="J167" s="816">
        <v>-4.4999999999999998E-2</v>
      </c>
      <c r="K167" s="822">
        <v>-4.1000000000000003E-3</v>
      </c>
      <c r="L167" s="823">
        <v>2</v>
      </c>
      <c r="M167" s="824">
        <v>3.8699999999999998E-2</v>
      </c>
      <c r="N167" s="825">
        <v>3.5999999999999999E-3</v>
      </c>
    </row>
    <row r="168" spans="1:14" s="227" customFormat="1" ht="11.1" customHeight="1" x14ac:dyDescent="0.2">
      <c r="A168" s="815" t="s">
        <v>903</v>
      </c>
      <c r="B168" s="815" t="s">
        <v>904</v>
      </c>
      <c r="C168" s="816">
        <v>10.9457</v>
      </c>
      <c r="D168" s="817">
        <v>3.2000000000000002E-3</v>
      </c>
      <c r="E168" s="817">
        <v>4.5999999999999999E-3</v>
      </c>
      <c r="F168" s="818">
        <v>5.62E-3</v>
      </c>
      <c r="G168" s="816">
        <v>10.9483</v>
      </c>
      <c r="H168" s="817">
        <v>4.3799999999999999E-2</v>
      </c>
      <c r="I168" s="821">
        <v>2</v>
      </c>
      <c r="J168" s="816">
        <v>2.5999999999999999E-3</v>
      </c>
      <c r="K168" s="822">
        <v>2.0000000000000001E-4</v>
      </c>
      <c r="L168" s="823">
        <v>2</v>
      </c>
      <c r="M168" s="824">
        <v>4.5199999999999997E-2</v>
      </c>
      <c r="N168" s="825">
        <v>4.1000000000000003E-3</v>
      </c>
    </row>
    <row r="169" spans="1:14" s="227" customFormat="1" ht="11.1" customHeight="1" x14ac:dyDescent="0.2">
      <c r="A169" s="815" t="s">
        <v>905</v>
      </c>
      <c r="B169" s="815" t="s">
        <v>906</v>
      </c>
      <c r="C169" s="816">
        <v>10.970599999999999</v>
      </c>
      <c r="D169" s="817">
        <v>3.2000000000000002E-3</v>
      </c>
      <c r="E169" s="817">
        <v>4.5999999999999999E-3</v>
      </c>
      <c r="F169" s="818">
        <v>5.6100000000000004E-3</v>
      </c>
      <c r="G169" s="819">
        <v>10.97</v>
      </c>
      <c r="H169" s="820">
        <v>1.6E-2</v>
      </c>
      <c r="I169" s="821">
        <v>2</v>
      </c>
      <c r="J169" s="816">
        <v>-5.9999999999999995E-4</v>
      </c>
      <c r="K169" s="822">
        <v>-1E-4</v>
      </c>
      <c r="L169" s="823">
        <v>2</v>
      </c>
      <c r="M169" s="824">
        <v>1.95E-2</v>
      </c>
      <c r="N169" s="825">
        <v>1.8E-3</v>
      </c>
    </row>
    <row r="170" spans="1:14" s="227" customFormat="1" ht="11.1" customHeight="1" x14ac:dyDescent="0.2">
      <c r="A170" s="815" t="s">
        <v>907</v>
      </c>
      <c r="B170" s="815" t="s">
        <v>908</v>
      </c>
      <c r="C170" s="816">
        <v>10.9749</v>
      </c>
      <c r="D170" s="817">
        <v>3.3E-3</v>
      </c>
      <c r="E170" s="817">
        <v>4.5999999999999999E-3</v>
      </c>
      <c r="F170" s="818">
        <v>5.6600000000000001E-3</v>
      </c>
      <c r="G170" s="819">
        <v>11.012</v>
      </c>
      <c r="H170" s="820">
        <v>4.2000000000000003E-2</v>
      </c>
      <c r="I170" s="821">
        <v>2</v>
      </c>
      <c r="J170" s="816">
        <v>3.7100000000000001E-2</v>
      </c>
      <c r="K170" s="822">
        <v>3.3999999999999998E-3</v>
      </c>
      <c r="L170" s="823">
        <v>2</v>
      </c>
      <c r="M170" s="824">
        <v>4.3499999999999997E-2</v>
      </c>
      <c r="N170" s="825">
        <v>4.0000000000000001E-3</v>
      </c>
    </row>
    <row r="171" spans="1:14" s="227" customFormat="1" ht="11.1" customHeight="1" x14ac:dyDescent="0.2">
      <c r="A171" s="828" t="s">
        <v>909</v>
      </c>
      <c r="B171" s="828" t="s">
        <v>910</v>
      </c>
      <c r="C171" s="829">
        <v>10.887700000000001</v>
      </c>
      <c r="D171" s="830">
        <v>3.2000000000000002E-3</v>
      </c>
      <c r="E171" s="830">
        <v>4.5999999999999999E-3</v>
      </c>
      <c r="F171" s="831">
        <v>5.5999999999999999E-3</v>
      </c>
      <c r="G171" s="832">
        <v>10.888</v>
      </c>
      <c r="H171" s="833">
        <v>0.03</v>
      </c>
      <c r="I171" s="834">
        <v>2</v>
      </c>
      <c r="J171" s="829">
        <v>2.9999999999999997E-4</v>
      </c>
      <c r="K171" s="835">
        <v>0</v>
      </c>
      <c r="L171" s="836">
        <v>2</v>
      </c>
      <c r="M171" s="837">
        <v>3.2000000000000001E-2</v>
      </c>
      <c r="N171" s="838">
        <v>2.8999999999999998E-3</v>
      </c>
    </row>
    <row r="172" spans="1:14" s="227" customFormat="1" ht="11.1" customHeight="1" x14ac:dyDescent="0.2">
      <c r="A172" s="839"/>
      <c r="B172" s="839"/>
      <c r="C172" s="824"/>
      <c r="D172" s="824"/>
      <c r="E172" s="824"/>
      <c r="F172" s="840"/>
      <c r="G172" s="841"/>
      <c r="H172" s="820"/>
      <c r="I172" s="842"/>
      <c r="J172" s="824"/>
      <c r="K172" s="822"/>
      <c r="L172" s="823"/>
      <c r="M172" s="824"/>
      <c r="N172" s="822"/>
    </row>
    <row r="173" spans="1:14" s="227" customFormat="1" ht="15" customHeight="1" x14ac:dyDescent="0.2">
      <c r="A173" s="227" t="s">
        <v>911</v>
      </c>
    </row>
    <row r="174" spans="1:14" s="227" customFormat="1" ht="12" customHeight="1" x14ac:dyDescent="0.2">
      <c r="A174" s="677" t="s">
        <v>23</v>
      </c>
      <c r="B174" s="677" t="s">
        <v>24</v>
      </c>
      <c r="C174" s="678" t="s">
        <v>886</v>
      </c>
      <c r="D174" s="626" t="s">
        <v>887</v>
      </c>
      <c r="E174" s="626" t="s">
        <v>888</v>
      </c>
      <c r="F174" s="680" t="s">
        <v>889</v>
      </c>
      <c r="G174" s="678" t="s">
        <v>890</v>
      </c>
      <c r="H174" s="626" t="s">
        <v>891</v>
      </c>
      <c r="I174" s="680" t="s">
        <v>62</v>
      </c>
      <c r="J174" s="678" t="s">
        <v>892</v>
      </c>
      <c r="K174" s="679" t="s">
        <v>893</v>
      </c>
      <c r="L174" s="803" t="s">
        <v>719</v>
      </c>
      <c r="M174" s="679" t="s">
        <v>894</v>
      </c>
      <c r="N174" s="680" t="s">
        <v>895</v>
      </c>
    </row>
    <row r="175" spans="1:14" s="227" customFormat="1" ht="12" customHeight="1" x14ac:dyDescent="0.2">
      <c r="A175" s="804" t="s">
        <v>825</v>
      </c>
      <c r="B175" s="804" t="s">
        <v>896</v>
      </c>
      <c r="C175" s="805">
        <v>14.0045</v>
      </c>
      <c r="D175" s="806">
        <v>4.0000000000000001E-3</v>
      </c>
      <c r="E175" s="806">
        <v>5.5999999999999999E-3</v>
      </c>
      <c r="F175" s="807">
        <v>6.8799999999999998E-3</v>
      </c>
      <c r="G175" s="843">
        <v>14</v>
      </c>
      <c r="H175" s="809">
        <v>0.04</v>
      </c>
      <c r="I175" s="810">
        <v>2</v>
      </c>
      <c r="J175" s="808">
        <v>-8.0000000000000002E-3</v>
      </c>
      <c r="K175" s="811">
        <v>-5.0000000000000001E-4</v>
      </c>
      <c r="L175" s="812">
        <v>2</v>
      </c>
      <c r="M175" s="813">
        <v>4.2299999999999997E-2</v>
      </c>
      <c r="N175" s="814">
        <v>3.0000000000000001E-3</v>
      </c>
    </row>
    <row r="176" spans="1:14" s="227" customFormat="1" ht="11.1" customHeight="1" x14ac:dyDescent="0.2">
      <c r="A176" s="815" t="s">
        <v>897</v>
      </c>
      <c r="B176" s="815" t="s">
        <v>898</v>
      </c>
      <c r="C176" s="816">
        <v>14.0045</v>
      </c>
      <c r="D176" s="817">
        <v>4.1000000000000003E-3</v>
      </c>
      <c r="E176" s="817">
        <v>5.5999999999999999E-3</v>
      </c>
      <c r="F176" s="818">
        <v>6.94E-3</v>
      </c>
      <c r="G176" s="819">
        <v>14.2</v>
      </c>
      <c r="H176" s="820">
        <v>0.32600000000000001</v>
      </c>
      <c r="I176" s="821">
        <v>2</v>
      </c>
      <c r="J176" s="819">
        <v>0.19500000000000001</v>
      </c>
      <c r="K176" s="822">
        <v>1.4E-2</v>
      </c>
      <c r="L176" s="823">
        <v>2</v>
      </c>
      <c r="M176" s="824">
        <v>0.32629999999999998</v>
      </c>
      <c r="N176" s="825">
        <v>2.3300000000000001E-2</v>
      </c>
    </row>
    <row r="177" spans="1:14" s="227" customFormat="1" ht="11.1" customHeight="1" x14ac:dyDescent="0.2">
      <c r="A177" s="815" t="s">
        <v>899</v>
      </c>
      <c r="B177" s="815" t="s">
        <v>900</v>
      </c>
      <c r="C177" s="816">
        <v>14.0045</v>
      </c>
      <c r="D177" s="817">
        <v>3.8999999999999998E-3</v>
      </c>
      <c r="E177" s="817">
        <v>5.5999999999999999E-3</v>
      </c>
      <c r="F177" s="818">
        <v>6.8100000000000001E-3</v>
      </c>
      <c r="G177" s="826">
        <v>14.14114</v>
      </c>
      <c r="H177" s="820">
        <v>4.5999999999999999E-2</v>
      </c>
      <c r="I177" s="821">
        <v>2</v>
      </c>
      <c r="J177" s="819">
        <v>0.13700000000000001</v>
      </c>
      <c r="K177" s="822">
        <v>9.7999999999999997E-3</v>
      </c>
      <c r="L177" s="823">
        <v>2</v>
      </c>
      <c r="M177" s="824">
        <v>4.7800000000000002E-2</v>
      </c>
      <c r="N177" s="825">
        <v>3.3999999999999998E-3</v>
      </c>
    </row>
    <row r="178" spans="1:14" s="227" customFormat="1" ht="11.1" customHeight="1" x14ac:dyDescent="0.2">
      <c r="A178" s="815" t="s">
        <v>901</v>
      </c>
      <c r="B178" s="815" t="s">
        <v>902</v>
      </c>
      <c r="C178" s="816">
        <v>14.0045</v>
      </c>
      <c r="D178" s="817">
        <v>3.8999999999999998E-3</v>
      </c>
      <c r="E178" s="817">
        <v>5.5999999999999999E-3</v>
      </c>
      <c r="F178" s="818">
        <v>6.7999999999999996E-3</v>
      </c>
      <c r="G178" s="819">
        <v>13.79</v>
      </c>
      <c r="H178" s="820">
        <v>4.5999999999999999E-2</v>
      </c>
      <c r="I178" s="821">
        <v>2</v>
      </c>
      <c r="J178" s="819">
        <v>-0.215</v>
      </c>
      <c r="K178" s="822">
        <v>-1.5299999999999999E-2</v>
      </c>
      <c r="L178" s="823">
        <v>2</v>
      </c>
      <c r="M178" s="824">
        <v>4.7500000000000001E-2</v>
      </c>
      <c r="N178" s="825">
        <v>3.3999999999999998E-3</v>
      </c>
    </row>
    <row r="179" spans="1:14" s="227" customFormat="1" ht="11.1" customHeight="1" x14ac:dyDescent="0.2">
      <c r="A179" s="815" t="s">
        <v>903</v>
      </c>
      <c r="B179" s="815" t="s">
        <v>904</v>
      </c>
      <c r="C179" s="816">
        <v>14.0045</v>
      </c>
      <c r="D179" s="817">
        <v>3.8999999999999998E-3</v>
      </c>
      <c r="E179" s="817">
        <v>5.5999999999999999E-3</v>
      </c>
      <c r="F179" s="818">
        <v>6.8100000000000001E-3</v>
      </c>
      <c r="G179" s="816">
        <v>13.887499999999999</v>
      </c>
      <c r="H179" s="817">
        <v>5.5500000000000001E-2</v>
      </c>
      <c r="I179" s="821">
        <v>2</v>
      </c>
      <c r="J179" s="819">
        <v>-0.11700000000000001</v>
      </c>
      <c r="K179" s="822">
        <v>-8.3999999999999995E-3</v>
      </c>
      <c r="L179" s="823">
        <v>2</v>
      </c>
      <c r="M179" s="824">
        <v>5.7099999999999998E-2</v>
      </c>
      <c r="N179" s="825">
        <v>4.1000000000000003E-3</v>
      </c>
    </row>
    <row r="180" spans="1:14" s="227" customFormat="1" ht="11.1" customHeight="1" x14ac:dyDescent="0.2">
      <c r="A180" s="815" t="s">
        <v>905</v>
      </c>
      <c r="B180" s="815" t="s">
        <v>906</v>
      </c>
      <c r="C180" s="816">
        <v>14.0045</v>
      </c>
      <c r="D180" s="817">
        <v>3.8999999999999998E-3</v>
      </c>
      <c r="E180" s="817">
        <v>5.5999999999999999E-3</v>
      </c>
      <c r="F180" s="818">
        <v>6.8100000000000001E-3</v>
      </c>
      <c r="G180" s="819">
        <v>14.009</v>
      </c>
      <c r="H180" s="820">
        <v>2.8000000000000001E-2</v>
      </c>
      <c r="I180" s="821">
        <v>2</v>
      </c>
      <c r="J180" s="819">
        <v>5.0000000000000001E-3</v>
      </c>
      <c r="K180" s="822">
        <v>2.9999999999999997E-4</v>
      </c>
      <c r="L180" s="823">
        <v>2</v>
      </c>
      <c r="M180" s="824">
        <v>3.1099999999999999E-2</v>
      </c>
      <c r="N180" s="825">
        <v>2.2000000000000001E-3</v>
      </c>
    </row>
    <row r="181" spans="1:14" s="227" customFormat="1" ht="11.1" customHeight="1" x14ac:dyDescent="0.2">
      <c r="A181" s="815" t="s">
        <v>907</v>
      </c>
      <c r="B181" s="815" t="s">
        <v>908</v>
      </c>
      <c r="C181" s="816">
        <v>14.0045</v>
      </c>
      <c r="D181" s="817">
        <v>4.0000000000000001E-3</v>
      </c>
      <c r="E181" s="817">
        <v>5.5999999999999999E-3</v>
      </c>
      <c r="F181" s="818">
        <v>6.8700000000000002E-3</v>
      </c>
      <c r="G181" s="819">
        <v>13.999000000000001</v>
      </c>
      <c r="H181" s="820">
        <v>3.6999999999999998E-2</v>
      </c>
      <c r="I181" s="821">
        <v>2</v>
      </c>
      <c r="J181" s="819">
        <v>-5.0000000000000001E-3</v>
      </c>
      <c r="K181" s="822">
        <v>-4.0000000000000002E-4</v>
      </c>
      <c r="L181" s="823">
        <v>2</v>
      </c>
      <c r="M181" s="824">
        <v>3.95E-2</v>
      </c>
      <c r="N181" s="825">
        <v>2.8E-3</v>
      </c>
    </row>
    <row r="182" spans="1:14" s="227" customFormat="1" ht="11.1" customHeight="1" x14ac:dyDescent="0.2">
      <c r="A182" s="828" t="s">
        <v>909</v>
      </c>
      <c r="B182" s="828" t="s">
        <v>910</v>
      </c>
      <c r="C182" s="829">
        <v>14.0045</v>
      </c>
      <c r="D182" s="830">
        <v>3.8999999999999998E-3</v>
      </c>
      <c r="E182" s="830">
        <v>5.5999999999999999E-3</v>
      </c>
      <c r="F182" s="831">
        <v>6.8199999999999997E-3</v>
      </c>
      <c r="G182" s="832">
        <v>13.978999999999999</v>
      </c>
      <c r="H182" s="833">
        <v>4.4999999999999998E-2</v>
      </c>
      <c r="I182" s="834">
        <v>2</v>
      </c>
      <c r="J182" s="832">
        <v>-2.5999999999999999E-2</v>
      </c>
      <c r="K182" s="835">
        <v>-1.8E-3</v>
      </c>
      <c r="L182" s="836">
        <v>2</v>
      </c>
      <c r="M182" s="837">
        <v>4.7E-2</v>
      </c>
      <c r="N182" s="838">
        <v>3.3999999999999998E-3</v>
      </c>
    </row>
    <row r="183" spans="1:14" s="227" customFormat="1" ht="11.1" customHeight="1" x14ac:dyDescent="0.2">
      <c r="A183" s="839"/>
      <c r="B183" s="839"/>
      <c r="C183" s="824"/>
      <c r="D183" s="824"/>
      <c r="E183" s="824"/>
      <c r="F183" s="840"/>
      <c r="G183" s="841"/>
      <c r="H183" s="820"/>
      <c r="I183" s="842"/>
      <c r="J183" s="841"/>
      <c r="K183" s="822"/>
      <c r="L183" s="823"/>
      <c r="M183" s="824"/>
      <c r="N183" s="822"/>
    </row>
    <row r="184" spans="1:14" s="227" customFormat="1" ht="15" customHeight="1" x14ac:dyDescent="0.2">
      <c r="A184" s="227" t="s">
        <v>912</v>
      </c>
    </row>
    <row r="185" spans="1:14" s="227" customFormat="1" ht="12" customHeight="1" x14ac:dyDescent="0.2">
      <c r="A185" s="677" t="s">
        <v>23</v>
      </c>
      <c r="B185" s="677" t="s">
        <v>24</v>
      </c>
      <c r="C185" s="678" t="s">
        <v>886</v>
      </c>
      <c r="D185" s="626" t="s">
        <v>887</v>
      </c>
      <c r="E185" s="626" t="s">
        <v>888</v>
      </c>
      <c r="F185" s="680" t="s">
        <v>889</v>
      </c>
      <c r="G185" s="678" t="s">
        <v>890</v>
      </c>
      <c r="H185" s="679" t="s">
        <v>891</v>
      </c>
      <c r="I185" s="680" t="s">
        <v>62</v>
      </c>
      <c r="J185" s="678" t="s">
        <v>892</v>
      </c>
      <c r="K185" s="679" t="s">
        <v>893</v>
      </c>
      <c r="L185" s="803" t="s">
        <v>719</v>
      </c>
      <c r="M185" s="679" t="s">
        <v>894</v>
      </c>
      <c r="N185" s="680" t="s">
        <v>895</v>
      </c>
    </row>
    <row r="186" spans="1:14" s="227" customFormat="1" ht="12" customHeight="1" x14ac:dyDescent="0.2">
      <c r="A186" s="804" t="s">
        <v>825</v>
      </c>
      <c r="B186" s="804" t="s">
        <v>896</v>
      </c>
      <c r="C186" s="805">
        <v>1.9996</v>
      </c>
      <c r="D186" s="806">
        <v>6.9999999999999999E-4</v>
      </c>
      <c r="E186" s="806">
        <v>8.9999999999999998E-4</v>
      </c>
      <c r="F186" s="807">
        <v>1.1299999999999999E-3</v>
      </c>
      <c r="G186" s="808">
        <v>2</v>
      </c>
      <c r="H186" s="809">
        <v>6.0000000000000001E-3</v>
      </c>
      <c r="I186" s="810">
        <v>2</v>
      </c>
      <c r="J186" s="805">
        <v>4.0000000000000002E-4</v>
      </c>
      <c r="K186" s="811">
        <v>2.0000000000000001E-4</v>
      </c>
      <c r="L186" s="812">
        <v>2</v>
      </c>
      <c r="M186" s="813">
        <v>6.4000000000000003E-3</v>
      </c>
      <c r="N186" s="814">
        <v>3.2000000000000002E-3</v>
      </c>
    </row>
    <row r="187" spans="1:14" s="227" customFormat="1" ht="11.1" customHeight="1" x14ac:dyDescent="0.2">
      <c r="A187" s="815" t="s">
        <v>897</v>
      </c>
      <c r="B187" s="815" t="s">
        <v>898</v>
      </c>
      <c r="C187" s="816">
        <v>1.9968999999999999</v>
      </c>
      <c r="D187" s="817">
        <v>6.9999999999999999E-4</v>
      </c>
      <c r="E187" s="817">
        <v>8.9999999999999998E-4</v>
      </c>
      <c r="F187" s="818">
        <v>1.1299999999999999E-3</v>
      </c>
      <c r="G187" s="819">
        <v>2.0110000000000001</v>
      </c>
      <c r="H187" s="820">
        <v>6.3E-2</v>
      </c>
      <c r="I187" s="821">
        <v>2</v>
      </c>
      <c r="J187" s="816">
        <v>1.41E-2</v>
      </c>
      <c r="K187" s="822">
        <v>7.1000000000000004E-3</v>
      </c>
      <c r="L187" s="823">
        <v>2</v>
      </c>
      <c r="M187" s="824">
        <v>6.3E-2</v>
      </c>
      <c r="N187" s="825">
        <v>3.1600000000000003E-2</v>
      </c>
    </row>
    <row r="188" spans="1:14" s="227" customFormat="1" ht="11.1" customHeight="1" x14ac:dyDescent="0.2">
      <c r="A188" s="815" t="s">
        <v>899</v>
      </c>
      <c r="B188" s="815" t="s">
        <v>900</v>
      </c>
      <c r="C188" s="816">
        <v>1.9825999999999999</v>
      </c>
      <c r="D188" s="817">
        <v>6.9999999999999999E-4</v>
      </c>
      <c r="E188" s="817">
        <v>8.9999999999999998E-4</v>
      </c>
      <c r="F188" s="818">
        <v>1.1299999999999999E-3</v>
      </c>
      <c r="G188" s="844">
        <v>1.96044</v>
      </c>
      <c r="H188" s="820">
        <v>5.0000000000000001E-3</v>
      </c>
      <c r="I188" s="821">
        <v>2</v>
      </c>
      <c r="J188" s="816">
        <v>-2.2200000000000001E-2</v>
      </c>
      <c r="K188" s="822">
        <v>-1.12E-2</v>
      </c>
      <c r="L188" s="823">
        <v>2</v>
      </c>
      <c r="M188" s="824">
        <v>5.5999999999999999E-3</v>
      </c>
      <c r="N188" s="825">
        <v>2.8E-3</v>
      </c>
    </row>
    <row r="189" spans="1:14" s="227" customFormat="1" ht="11.1" customHeight="1" x14ac:dyDescent="0.2">
      <c r="A189" s="815" t="s">
        <v>901</v>
      </c>
      <c r="B189" s="815" t="s">
        <v>902</v>
      </c>
      <c r="C189" s="816">
        <v>1.9903</v>
      </c>
      <c r="D189" s="817">
        <v>6.9999999999999999E-4</v>
      </c>
      <c r="E189" s="817">
        <v>8.9999999999999998E-4</v>
      </c>
      <c r="F189" s="818">
        <v>1.1299999999999999E-3</v>
      </c>
      <c r="G189" s="819">
        <v>1.9750000000000001</v>
      </c>
      <c r="H189" s="820">
        <v>5.0000000000000001E-3</v>
      </c>
      <c r="I189" s="821">
        <v>2</v>
      </c>
      <c r="J189" s="816">
        <v>-1.5299999999999999E-2</v>
      </c>
      <c r="K189" s="822">
        <v>-7.7000000000000002E-3</v>
      </c>
      <c r="L189" s="823">
        <v>2</v>
      </c>
      <c r="M189" s="824">
        <v>5.5999999999999999E-3</v>
      </c>
      <c r="N189" s="825">
        <v>2.8E-3</v>
      </c>
    </row>
    <row r="190" spans="1:14" s="227" customFormat="1" ht="11.1" customHeight="1" x14ac:dyDescent="0.2">
      <c r="A190" s="815" t="s">
        <v>903</v>
      </c>
      <c r="B190" s="815" t="s">
        <v>904</v>
      </c>
      <c r="C190" s="816">
        <v>2.0002</v>
      </c>
      <c r="D190" s="817">
        <v>6.9999999999999999E-4</v>
      </c>
      <c r="E190" s="817">
        <v>8.9999999999999998E-4</v>
      </c>
      <c r="F190" s="818">
        <v>1.1299999999999999E-3</v>
      </c>
      <c r="G190" s="816">
        <v>2.0043000000000002</v>
      </c>
      <c r="H190" s="820">
        <v>0.01</v>
      </c>
      <c r="I190" s="821">
        <v>2</v>
      </c>
      <c r="J190" s="816">
        <v>4.1000000000000003E-3</v>
      </c>
      <c r="K190" s="822">
        <v>2E-3</v>
      </c>
      <c r="L190" s="823">
        <v>2</v>
      </c>
      <c r="M190" s="824">
        <v>1.03E-2</v>
      </c>
      <c r="N190" s="825">
        <v>5.1000000000000004E-3</v>
      </c>
    </row>
    <row r="191" spans="1:14" s="227" customFormat="1" ht="11.1" customHeight="1" x14ac:dyDescent="0.2">
      <c r="A191" s="815" t="s">
        <v>905</v>
      </c>
      <c r="B191" s="815" t="s">
        <v>906</v>
      </c>
      <c r="C191" s="816">
        <v>2.0047999999999999</v>
      </c>
      <c r="D191" s="817">
        <v>6.9999999999999999E-4</v>
      </c>
      <c r="E191" s="817">
        <v>8.9999999999999998E-4</v>
      </c>
      <c r="F191" s="818">
        <v>1.1299999999999999E-3</v>
      </c>
      <c r="G191" s="819">
        <v>2.0049999999999999</v>
      </c>
      <c r="H191" s="820">
        <v>4.0000000000000001E-3</v>
      </c>
      <c r="I191" s="821">
        <v>2</v>
      </c>
      <c r="J191" s="816">
        <v>0</v>
      </c>
      <c r="K191" s="822">
        <v>0</v>
      </c>
      <c r="L191" s="823">
        <v>2</v>
      </c>
      <c r="M191" s="824">
        <v>4.8999999999999998E-3</v>
      </c>
      <c r="N191" s="825">
        <v>2.5000000000000001E-3</v>
      </c>
    </row>
    <row r="192" spans="1:14" s="227" customFormat="1" ht="11.1" customHeight="1" x14ac:dyDescent="0.2">
      <c r="A192" s="815" t="s">
        <v>907</v>
      </c>
      <c r="B192" s="815" t="s">
        <v>908</v>
      </c>
      <c r="C192" s="816">
        <v>2.0002</v>
      </c>
      <c r="D192" s="817">
        <v>6.9999999999999999E-4</v>
      </c>
      <c r="E192" s="817">
        <v>8.9999999999999998E-4</v>
      </c>
      <c r="F192" s="818">
        <v>1.1299999999999999E-3</v>
      </c>
      <c r="G192" s="819">
        <v>1.994</v>
      </c>
      <c r="H192" s="820">
        <v>0.01</v>
      </c>
      <c r="I192" s="821">
        <v>2</v>
      </c>
      <c r="J192" s="816">
        <v>-6.1999999999999998E-3</v>
      </c>
      <c r="K192" s="822">
        <v>-3.0999999999999999E-3</v>
      </c>
      <c r="L192" s="823">
        <v>2</v>
      </c>
      <c r="M192" s="824">
        <v>1.03E-2</v>
      </c>
      <c r="N192" s="825">
        <v>5.1000000000000004E-3</v>
      </c>
    </row>
    <row r="193" spans="1:14" s="227" customFormat="1" ht="11.1" customHeight="1" x14ac:dyDescent="0.2">
      <c r="A193" s="828" t="s">
        <v>909</v>
      </c>
      <c r="B193" s="828" t="s">
        <v>910</v>
      </c>
      <c r="C193" s="829">
        <v>1.9907999999999999</v>
      </c>
      <c r="D193" s="830">
        <v>6.9999999999999999E-4</v>
      </c>
      <c r="E193" s="830">
        <v>8.9999999999999998E-4</v>
      </c>
      <c r="F193" s="831">
        <v>1.1299999999999999E-3</v>
      </c>
      <c r="G193" s="832">
        <v>1.992</v>
      </c>
      <c r="H193" s="833">
        <v>6.0000000000000001E-3</v>
      </c>
      <c r="I193" s="834">
        <v>2</v>
      </c>
      <c r="J193" s="829">
        <v>8.0000000000000004E-4</v>
      </c>
      <c r="K193" s="835">
        <v>4.0000000000000002E-4</v>
      </c>
      <c r="L193" s="836">
        <v>2</v>
      </c>
      <c r="M193" s="837">
        <v>6.7999999999999996E-3</v>
      </c>
      <c r="N193" s="838">
        <v>3.3999999999999998E-3</v>
      </c>
    </row>
    <row r="194" spans="1:14" s="227" customFormat="1" ht="11.1" customHeight="1" x14ac:dyDescent="0.2">
      <c r="A194" s="839"/>
      <c r="B194" s="839"/>
      <c r="C194" s="824"/>
      <c r="D194" s="824"/>
      <c r="E194" s="824"/>
      <c r="F194" s="840"/>
      <c r="G194" s="841"/>
      <c r="H194" s="820"/>
      <c r="I194" s="842"/>
      <c r="J194" s="824"/>
      <c r="K194" s="822"/>
      <c r="L194" s="823"/>
      <c r="M194" s="824"/>
      <c r="N194" s="822"/>
    </row>
    <row r="195" spans="1:14" s="227" customFormat="1" ht="15" customHeight="1" x14ac:dyDescent="0.2">
      <c r="A195" s="227" t="s">
        <v>913</v>
      </c>
    </row>
    <row r="196" spans="1:14" s="227" customFormat="1" ht="12" customHeight="1" x14ac:dyDescent="0.2">
      <c r="A196" s="677" t="s">
        <v>23</v>
      </c>
      <c r="B196" s="677" t="s">
        <v>24</v>
      </c>
      <c r="C196" s="678" t="s">
        <v>886</v>
      </c>
      <c r="D196" s="626" t="s">
        <v>887</v>
      </c>
      <c r="E196" s="626" t="s">
        <v>888</v>
      </c>
      <c r="F196" s="680" t="s">
        <v>889</v>
      </c>
      <c r="G196" s="678" t="s">
        <v>890</v>
      </c>
      <c r="H196" s="626" t="s">
        <v>891</v>
      </c>
      <c r="I196" s="680" t="s">
        <v>62</v>
      </c>
      <c r="J196" s="678" t="s">
        <v>892</v>
      </c>
      <c r="K196" s="679" t="s">
        <v>893</v>
      </c>
      <c r="L196" s="803" t="s">
        <v>719</v>
      </c>
      <c r="M196" s="679" t="s">
        <v>894</v>
      </c>
      <c r="N196" s="680" t="s">
        <v>895</v>
      </c>
    </row>
    <row r="197" spans="1:14" s="227" customFormat="1" ht="12" customHeight="1" x14ac:dyDescent="0.2">
      <c r="A197" s="804" t="s">
        <v>825</v>
      </c>
      <c r="B197" s="804" t="s">
        <v>896</v>
      </c>
      <c r="C197" s="805">
        <v>3.9910000000000001</v>
      </c>
      <c r="D197" s="806">
        <v>1.4E-3</v>
      </c>
      <c r="E197" s="806">
        <v>3.2000000000000002E-3</v>
      </c>
      <c r="F197" s="807">
        <v>3.49E-3</v>
      </c>
      <c r="G197" s="808">
        <v>3.99</v>
      </c>
      <c r="H197" s="809">
        <v>0.01</v>
      </c>
      <c r="I197" s="810">
        <v>2</v>
      </c>
      <c r="J197" s="805">
        <v>-1E-3</v>
      </c>
      <c r="K197" s="811">
        <v>-2.9999999999999997E-4</v>
      </c>
      <c r="L197" s="812">
        <v>2</v>
      </c>
      <c r="M197" s="813">
        <v>1.2200000000000001E-2</v>
      </c>
      <c r="N197" s="814">
        <v>3.0999999999999999E-3</v>
      </c>
    </row>
    <row r="198" spans="1:14" s="227" customFormat="1" ht="11.1" customHeight="1" x14ac:dyDescent="0.2">
      <c r="A198" s="815" t="s">
        <v>897</v>
      </c>
      <c r="B198" s="815" t="s">
        <v>898</v>
      </c>
      <c r="C198" s="816">
        <v>3.9998999999999998</v>
      </c>
      <c r="D198" s="817">
        <v>1.4E-3</v>
      </c>
      <c r="E198" s="817">
        <v>3.2000000000000002E-3</v>
      </c>
      <c r="F198" s="818">
        <v>3.49E-3</v>
      </c>
      <c r="G198" s="819">
        <v>4.0129999999999999</v>
      </c>
      <c r="H198" s="820">
        <v>7.5999999999999998E-2</v>
      </c>
      <c r="I198" s="821">
        <v>2</v>
      </c>
      <c r="J198" s="816">
        <v>1.3100000000000001E-2</v>
      </c>
      <c r="K198" s="822">
        <v>3.3E-3</v>
      </c>
      <c r="L198" s="823">
        <v>2</v>
      </c>
      <c r="M198" s="824">
        <v>7.6300000000000007E-2</v>
      </c>
      <c r="N198" s="825">
        <v>1.9099999999999999E-2</v>
      </c>
    </row>
    <row r="199" spans="1:14" s="227" customFormat="1" ht="11.1" customHeight="1" x14ac:dyDescent="0.2">
      <c r="A199" s="815" t="s">
        <v>899</v>
      </c>
      <c r="B199" s="815" t="s">
        <v>900</v>
      </c>
      <c r="C199" s="816">
        <v>3.9893999999999998</v>
      </c>
      <c r="D199" s="817">
        <v>1.2999999999999999E-3</v>
      </c>
      <c r="E199" s="817">
        <v>3.2000000000000002E-3</v>
      </c>
      <c r="F199" s="818">
        <v>3.47E-3</v>
      </c>
      <c r="G199" s="844">
        <v>4.0236999999999998</v>
      </c>
      <c r="H199" s="820">
        <v>1.9E-2</v>
      </c>
      <c r="I199" s="821">
        <v>2</v>
      </c>
      <c r="J199" s="816">
        <v>3.4299999999999997E-2</v>
      </c>
      <c r="K199" s="822">
        <v>8.6E-3</v>
      </c>
      <c r="L199" s="823">
        <v>2</v>
      </c>
      <c r="M199" s="824">
        <v>2.0199999999999999E-2</v>
      </c>
      <c r="N199" s="825">
        <v>5.1000000000000004E-3</v>
      </c>
    </row>
    <row r="200" spans="1:14" s="227" customFormat="1" ht="11.1" customHeight="1" x14ac:dyDescent="0.2">
      <c r="A200" s="815" t="s">
        <v>901</v>
      </c>
      <c r="B200" s="815" t="s">
        <v>902</v>
      </c>
      <c r="C200" s="816">
        <v>4.0037000000000003</v>
      </c>
      <c r="D200" s="817">
        <v>1.2999999999999999E-3</v>
      </c>
      <c r="E200" s="817">
        <v>3.2000000000000002E-3</v>
      </c>
      <c r="F200" s="818">
        <v>3.46E-3</v>
      </c>
      <c r="G200" s="827">
        <v>4</v>
      </c>
      <c r="H200" s="820">
        <v>1.2999999999999999E-2</v>
      </c>
      <c r="I200" s="821">
        <v>2</v>
      </c>
      <c r="J200" s="816">
        <v>-3.7000000000000002E-3</v>
      </c>
      <c r="K200" s="822">
        <v>-8.9999999999999998E-4</v>
      </c>
      <c r="L200" s="823">
        <v>2</v>
      </c>
      <c r="M200" s="824">
        <v>1.46E-2</v>
      </c>
      <c r="N200" s="825">
        <v>3.5999999999999999E-3</v>
      </c>
    </row>
    <row r="201" spans="1:14" s="227" customFormat="1" ht="11.1" customHeight="1" x14ac:dyDescent="0.2">
      <c r="A201" s="815" t="s">
        <v>903</v>
      </c>
      <c r="B201" s="815" t="s">
        <v>904</v>
      </c>
      <c r="C201" s="816">
        <v>4.0351999999999997</v>
      </c>
      <c r="D201" s="817">
        <v>1.2999999999999999E-3</v>
      </c>
      <c r="E201" s="817">
        <v>3.2000000000000002E-3</v>
      </c>
      <c r="F201" s="818">
        <v>3.47E-3</v>
      </c>
      <c r="G201" s="816">
        <v>4.0279999999999996</v>
      </c>
      <c r="H201" s="817">
        <v>1.61E-2</v>
      </c>
      <c r="I201" s="821">
        <v>2</v>
      </c>
      <c r="J201" s="816">
        <v>-7.1999999999999998E-3</v>
      </c>
      <c r="K201" s="822">
        <v>-1.8E-3</v>
      </c>
      <c r="L201" s="823">
        <v>2</v>
      </c>
      <c r="M201" s="824">
        <v>1.7500000000000002E-2</v>
      </c>
      <c r="N201" s="825">
        <v>4.3E-3</v>
      </c>
    </row>
    <row r="202" spans="1:14" s="227" customFormat="1" ht="11.1" customHeight="1" x14ac:dyDescent="0.2">
      <c r="A202" s="815" t="s">
        <v>905</v>
      </c>
      <c r="B202" s="815" t="s">
        <v>906</v>
      </c>
      <c r="C202" s="816">
        <v>3.9906000000000001</v>
      </c>
      <c r="D202" s="817">
        <v>1.2999999999999999E-3</v>
      </c>
      <c r="E202" s="817">
        <v>3.2000000000000002E-3</v>
      </c>
      <c r="F202" s="818">
        <v>3.47E-3</v>
      </c>
      <c r="G202" s="819">
        <v>3.992</v>
      </c>
      <c r="H202" s="820">
        <v>8.0000000000000002E-3</v>
      </c>
      <c r="I202" s="821">
        <v>2</v>
      </c>
      <c r="J202" s="816">
        <v>1E-3</v>
      </c>
      <c r="K202" s="822">
        <v>2.0000000000000001E-4</v>
      </c>
      <c r="L202" s="823">
        <v>2</v>
      </c>
      <c r="M202" s="824">
        <v>1.0699999999999999E-2</v>
      </c>
      <c r="N202" s="825">
        <v>2.7000000000000001E-3</v>
      </c>
    </row>
    <row r="203" spans="1:14" s="227" customFormat="1" ht="11.1" customHeight="1" x14ac:dyDescent="0.2">
      <c r="A203" s="815" t="s">
        <v>907</v>
      </c>
      <c r="B203" s="815" t="s">
        <v>908</v>
      </c>
      <c r="C203" s="816">
        <v>4.0110999999999999</v>
      </c>
      <c r="D203" s="817">
        <v>1.4E-3</v>
      </c>
      <c r="E203" s="817">
        <v>3.2000000000000002E-3</v>
      </c>
      <c r="F203" s="818">
        <v>3.48E-3</v>
      </c>
      <c r="G203" s="819">
        <v>4.0179999999999998</v>
      </c>
      <c r="H203" s="820">
        <v>0.01</v>
      </c>
      <c r="I203" s="821">
        <v>2</v>
      </c>
      <c r="J203" s="816">
        <v>6.8999999999999999E-3</v>
      </c>
      <c r="K203" s="822">
        <v>1.6999999999999999E-3</v>
      </c>
      <c r="L203" s="823">
        <v>2</v>
      </c>
      <c r="M203" s="824">
        <v>1.2200000000000001E-2</v>
      </c>
      <c r="N203" s="825">
        <v>3.0000000000000001E-3</v>
      </c>
    </row>
    <row r="204" spans="1:14" s="227" customFormat="1" ht="11.1" customHeight="1" x14ac:dyDescent="0.2">
      <c r="A204" s="828" t="s">
        <v>909</v>
      </c>
      <c r="B204" s="828" t="s">
        <v>910</v>
      </c>
      <c r="C204" s="829">
        <v>3.9908999999999999</v>
      </c>
      <c r="D204" s="830">
        <v>1.2999999999999999E-3</v>
      </c>
      <c r="E204" s="830">
        <v>3.2000000000000002E-3</v>
      </c>
      <c r="F204" s="831">
        <v>3.4499999999999999E-3</v>
      </c>
      <c r="G204" s="832">
        <v>3.9860000000000002</v>
      </c>
      <c r="H204" s="833">
        <v>1.4999999999999999E-2</v>
      </c>
      <c r="I204" s="834">
        <v>2</v>
      </c>
      <c r="J204" s="829">
        <v>-4.8999999999999998E-3</v>
      </c>
      <c r="K204" s="835">
        <v>-1.1999999999999999E-3</v>
      </c>
      <c r="L204" s="836">
        <v>2</v>
      </c>
      <c r="M204" s="837">
        <v>1.6500000000000001E-2</v>
      </c>
      <c r="N204" s="838">
        <v>4.1000000000000003E-3</v>
      </c>
    </row>
    <row r="205" spans="1:14" s="227" customFormat="1" ht="11.1" customHeight="1" x14ac:dyDescent="0.2">
      <c r="A205" s="839"/>
      <c r="B205" s="839"/>
      <c r="C205" s="824"/>
      <c r="D205" s="824"/>
      <c r="E205" s="824"/>
      <c r="F205" s="840"/>
      <c r="G205" s="841"/>
      <c r="H205" s="820"/>
      <c r="I205" s="842"/>
      <c r="J205" s="824"/>
      <c r="K205" s="822"/>
      <c r="L205" s="823"/>
      <c r="M205" s="824"/>
      <c r="N205" s="822"/>
    </row>
    <row r="206" spans="1:14" s="227" customFormat="1" ht="15" customHeight="1" x14ac:dyDescent="0.2">
      <c r="A206" s="227" t="s">
        <v>914</v>
      </c>
    </row>
    <row r="207" spans="1:14" s="227" customFormat="1" ht="12" customHeight="1" x14ac:dyDescent="0.2">
      <c r="A207" s="677" t="s">
        <v>23</v>
      </c>
      <c r="B207" s="677" t="s">
        <v>24</v>
      </c>
      <c r="C207" s="678" t="s">
        <v>886</v>
      </c>
      <c r="D207" s="626" t="s">
        <v>887</v>
      </c>
      <c r="E207" s="626" t="s">
        <v>888</v>
      </c>
      <c r="F207" s="680" t="s">
        <v>889</v>
      </c>
      <c r="G207" s="678" t="s">
        <v>890</v>
      </c>
      <c r="H207" s="626" t="s">
        <v>891</v>
      </c>
      <c r="I207" s="680" t="s">
        <v>62</v>
      </c>
      <c r="J207" s="678" t="s">
        <v>892</v>
      </c>
      <c r="K207" s="679" t="s">
        <v>893</v>
      </c>
      <c r="L207" s="803" t="s">
        <v>719</v>
      </c>
      <c r="M207" s="679" t="s">
        <v>894</v>
      </c>
      <c r="N207" s="680" t="s">
        <v>895</v>
      </c>
    </row>
    <row r="208" spans="1:14" s="227" customFormat="1" ht="12" customHeight="1" x14ac:dyDescent="0.2">
      <c r="A208" s="804" t="s">
        <v>825</v>
      </c>
      <c r="B208" s="804" t="s">
        <v>896</v>
      </c>
      <c r="C208" s="805">
        <v>0.49919999999999998</v>
      </c>
      <c r="D208" s="806">
        <v>2.0000000000000001E-4</v>
      </c>
      <c r="E208" s="845">
        <v>3.8000000000000002E-4</v>
      </c>
      <c r="F208" s="807">
        <v>4.4000000000000002E-4</v>
      </c>
      <c r="G208" s="805">
        <v>0.49940000000000001</v>
      </c>
      <c r="H208" s="806">
        <v>1.1999999999999999E-3</v>
      </c>
      <c r="I208" s="810">
        <v>2</v>
      </c>
      <c r="J208" s="805">
        <v>2.0000000000000001E-4</v>
      </c>
      <c r="K208" s="811">
        <v>4.0000000000000002E-4</v>
      </c>
      <c r="L208" s="812">
        <v>2</v>
      </c>
      <c r="M208" s="813">
        <v>1.5E-3</v>
      </c>
      <c r="N208" s="814">
        <v>3.0000000000000001E-3</v>
      </c>
    </row>
    <row r="209" spans="1:14" s="227" customFormat="1" ht="11.1" customHeight="1" x14ac:dyDescent="0.2">
      <c r="A209" s="815" t="s">
        <v>897</v>
      </c>
      <c r="B209" s="815" t="s">
        <v>898</v>
      </c>
      <c r="C209" s="816">
        <v>0.4985</v>
      </c>
      <c r="D209" s="817">
        <v>2.0000000000000001E-4</v>
      </c>
      <c r="E209" s="846">
        <v>3.8000000000000002E-4</v>
      </c>
      <c r="F209" s="818">
        <v>4.4000000000000002E-4</v>
      </c>
      <c r="G209" s="816">
        <v>0.501</v>
      </c>
      <c r="H209" s="817">
        <v>1.2999999999999999E-2</v>
      </c>
      <c r="I209" s="821">
        <v>2</v>
      </c>
      <c r="J209" s="816">
        <v>2.5000000000000001E-3</v>
      </c>
      <c r="K209" s="822">
        <v>5.0000000000000001E-3</v>
      </c>
      <c r="L209" s="823">
        <v>2</v>
      </c>
      <c r="M209" s="824">
        <v>1.2999999999999999E-2</v>
      </c>
      <c r="N209" s="825">
        <v>2.6100000000000002E-2</v>
      </c>
    </row>
    <row r="210" spans="1:14" s="227" customFormat="1" ht="11.1" customHeight="1" x14ac:dyDescent="0.2">
      <c r="A210" s="815" t="s">
        <v>899</v>
      </c>
      <c r="B210" s="815" t="s">
        <v>900</v>
      </c>
      <c r="C210" s="816">
        <v>0.49719999999999998</v>
      </c>
      <c r="D210" s="817">
        <v>2.0000000000000001E-4</v>
      </c>
      <c r="E210" s="846">
        <v>3.8000000000000002E-4</v>
      </c>
      <c r="F210" s="818">
        <v>4.4000000000000002E-4</v>
      </c>
      <c r="G210" s="844">
        <v>0.49020999999999998</v>
      </c>
      <c r="H210" s="817">
        <v>2.8E-3</v>
      </c>
      <c r="I210" s="821">
        <v>2</v>
      </c>
      <c r="J210" s="816">
        <v>-7.0000000000000001E-3</v>
      </c>
      <c r="K210" s="822">
        <v>-1.4E-2</v>
      </c>
      <c r="L210" s="823">
        <v>2</v>
      </c>
      <c r="M210" s="824">
        <v>2.8999999999999998E-3</v>
      </c>
      <c r="N210" s="825">
        <v>5.8999999999999999E-3</v>
      </c>
    </row>
    <row r="211" spans="1:14" s="227" customFormat="1" ht="11.1" customHeight="1" x14ac:dyDescent="0.2">
      <c r="A211" s="815" t="s">
        <v>901</v>
      </c>
      <c r="B211" s="815" t="s">
        <v>902</v>
      </c>
      <c r="C211" s="816">
        <v>0.49909999999999999</v>
      </c>
      <c r="D211" s="817">
        <v>2.0000000000000001E-4</v>
      </c>
      <c r="E211" s="846">
        <v>3.8000000000000002E-4</v>
      </c>
      <c r="F211" s="818">
        <v>4.4000000000000002E-4</v>
      </c>
      <c r="G211" s="819">
        <v>0.49199999999999999</v>
      </c>
      <c r="H211" s="817">
        <v>1.6999999999999999E-3</v>
      </c>
      <c r="I211" s="821">
        <v>2</v>
      </c>
      <c r="J211" s="816">
        <v>-7.1000000000000004E-3</v>
      </c>
      <c r="K211" s="822">
        <v>-1.4200000000000001E-2</v>
      </c>
      <c r="L211" s="823">
        <v>2</v>
      </c>
      <c r="M211" s="824">
        <v>1.9E-3</v>
      </c>
      <c r="N211" s="825">
        <v>3.8E-3</v>
      </c>
    </row>
    <row r="212" spans="1:14" s="227" customFormat="1" ht="11.1" customHeight="1" x14ac:dyDescent="0.2">
      <c r="A212" s="815" t="s">
        <v>903</v>
      </c>
      <c r="B212" s="815" t="s">
        <v>904</v>
      </c>
      <c r="C212" s="816">
        <v>0.49890000000000001</v>
      </c>
      <c r="D212" s="817">
        <v>2.0000000000000001E-4</v>
      </c>
      <c r="E212" s="846">
        <v>3.8000000000000002E-4</v>
      </c>
      <c r="F212" s="818">
        <v>4.4000000000000002E-4</v>
      </c>
      <c r="G212" s="816">
        <v>0.50260000000000005</v>
      </c>
      <c r="H212" s="817">
        <v>2.5000000000000001E-3</v>
      </c>
      <c r="I212" s="821">
        <v>2</v>
      </c>
      <c r="J212" s="816">
        <v>3.7000000000000002E-3</v>
      </c>
      <c r="K212" s="822">
        <v>7.3000000000000001E-3</v>
      </c>
      <c r="L212" s="823">
        <v>2</v>
      </c>
      <c r="M212" s="824">
        <v>2.5999999999999999E-3</v>
      </c>
      <c r="N212" s="825">
        <v>5.3E-3</v>
      </c>
    </row>
    <row r="213" spans="1:14" s="227" customFormat="1" ht="11.1" customHeight="1" x14ac:dyDescent="0.2">
      <c r="A213" s="815" t="s">
        <v>905</v>
      </c>
      <c r="B213" s="815" t="s">
        <v>906</v>
      </c>
      <c r="C213" s="816">
        <v>0.50009999999999999</v>
      </c>
      <c r="D213" s="817">
        <v>2.0000000000000001E-4</v>
      </c>
      <c r="E213" s="846">
        <v>3.8000000000000002E-4</v>
      </c>
      <c r="F213" s="818">
        <v>4.4000000000000002E-4</v>
      </c>
      <c r="G213" s="816">
        <v>0.50080000000000002</v>
      </c>
      <c r="H213" s="817">
        <v>1E-3</v>
      </c>
      <c r="I213" s="821">
        <v>2</v>
      </c>
      <c r="J213" s="816">
        <v>6.9999999999999999E-4</v>
      </c>
      <c r="K213" s="822">
        <v>1.5E-3</v>
      </c>
      <c r="L213" s="823">
        <v>2</v>
      </c>
      <c r="M213" s="824">
        <v>1.2999999999999999E-3</v>
      </c>
      <c r="N213" s="825">
        <v>2.7000000000000001E-3</v>
      </c>
    </row>
    <row r="214" spans="1:14" s="227" customFormat="1" ht="11.1" customHeight="1" x14ac:dyDescent="0.2">
      <c r="A214" s="815" t="s">
        <v>907</v>
      </c>
      <c r="B214" s="815" t="s">
        <v>908</v>
      </c>
      <c r="C214" s="816">
        <v>0.49930000000000002</v>
      </c>
      <c r="D214" s="817">
        <v>2.0000000000000001E-4</v>
      </c>
      <c r="E214" s="846">
        <v>3.8000000000000002E-4</v>
      </c>
      <c r="F214" s="818">
        <v>4.4000000000000002E-4</v>
      </c>
      <c r="G214" s="816">
        <v>0.48699999999999999</v>
      </c>
      <c r="H214" s="817">
        <v>2.3999999999999998E-3</v>
      </c>
      <c r="I214" s="821">
        <v>2</v>
      </c>
      <c r="J214" s="816">
        <v>-1.23E-2</v>
      </c>
      <c r="K214" s="822">
        <v>-2.47E-2</v>
      </c>
      <c r="L214" s="823">
        <v>2</v>
      </c>
      <c r="M214" s="824">
        <v>2.5999999999999999E-3</v>
      </c>
      <c r="N214" s="825">
        <v>5.1000000000000004E-3</v>
      </c>
    </row>
    <row r="215" spans="1:14" s="227" customFormat="1" ht="11.1" customHeight="1" x14ac:dyDescent="0.2">
      <c r="A215" s="828" t="s">
        <v>909</v>
      </c>
      <c r="B215" s="828" t="s">
        <v>910</v>
      </c>
      <c r="C215" s="829">
        <v>0.49919999999999998</v>
      </c>
      <c r="D215" s="830">
        <v>2.0000000000000001E-4</v>
      </c>
      <c r="E215" s="847">
        <v>3.8000000000000002E-4</v>
      </c>
      <c r="F215" s="831">
        <v>2.2100000000000002E-3</v>
      </c>
      <c r="G215" s="829">
        <v>0.49969999999999998</v>
      </c>
      <c r="H215" s="833">
        <v>3.0000000000000001E-3</v>
      </c>
      <c r="I215" s="834">
        <v>2</v>
      </c>
      <c r="J215" s="829">
        <v>5.0000000000000001E-4</v>
      </c>
      <c r="K215" s="835">
        <v>1E-3</v>
      </c>
      <c r="L215" s="836">
        <v>2</v>
      </c>
      <c r="M215" s="837">
        <v>3.2000000000000002E-3</v>
      </c>
      <c r="N215" s="838">
        <v>6.4000000000000003E-3</v>
      </c>
    </row>
    <row r="216" spans="1:14" s="227" customFormat="1" ht="11.1" customHeight="1" x14ac:dyDescent="0.2">
      <c r="A216" s="839"/>
      <c r="B216" s="839"/>
      <c r="C216" s="824"/>
      <c r="D216" s="824"/>
      <c r="E216" s="840"/>
      <c r="F216" s="840"/>
      <c r="G216" s="824"/>
      <c r="H216" s="820"/>
      <c r="I216" s="842"/>
      <c r="J216" s="824"/>
      <c r="K216" s="822"/>
      <c r="L216" s="823"/>
      <c r="M216" s="824"/>
      <c r="N216" s="822"/>
    </row>
    <row r="217" spans="1:14" s="227" customFormat="1" ht="15" customHeight="1" x14ac:dyDescent="0.2">
      <c r="A217" s="227" t="s">
        <v>915</v>
      </c>
    </row>
    <row r="218" spans="1:14" s="227" customFormat="1" ht="12" customHeight="1" x14ac:dyDescent="0.2">
      <c r="A218" s="677" t="s">
        <v>23</v>
      </c>
      <c r="B218" s="677" t="s">
        <v>24</v>
      </c>
      <c r="C218" s="678" t="s">
        <v>886</v>
      </c>
      <c r="D218" s="626" t="s">
        <v>887</v>
      </c>
      <c r="E218" s="626" t="s">
        <v>888</v>
      </c>
      <c r="F218" s="680" t="s">
        <v>889</v>
      </c>
      <c r="G218" s="678" t="s">
        <v>890</v>
      </c>
      <c r="H218" s="626" t="s">
        <v>891</v>
      </c>
      <c r="I218" s="680" t="s">
        <v>62</v>
      </c>
      <c r="J218" s="678" t="s">
        <v>892</v>
      </c>
      <c r="K218" s="679" t="s">
        <v>893</v>
      </c>
      <c r="L218" s="803" t="s">
        <v>719</v>
      </c>
      <c r="M218" s="679" t="s">
        <v>894</v>
      </c>
      <c r="N218" s="680" t="s">
        <v>895</v>
      </c>
    </row>
    <row r="219" spans="1:14" s="227" customFormat="1" ht="12" customHeight="1" x14ac:dyDescent="0.2">
      <c r="A219" s="804" t="s">
        <v>825</v>
      </c>
      <c r="B219" s="804" t="s">
        <v>896</v>
      </c>
      <c r="C219" s="805">
        <v>0.99229999999999996</v>
      </c>
      <c r="D219" s="806">
        <v>8.0000000000000004E-4</v>
      </c>
      <c r="E219" s="806">
        <v>8.0000000000000004E-4</v>
      </c>
      <c r="F219" s="807">
        <v>1.1299999999999999E-3</v>
      </c>
      <c r="G219" s="805">
        <v>0.99229999999999996</v>
      </c>
      <c r="H219" s="806">
        <v>2.8999999999999998E-3</v>
      </c>
      <c r="I219" s="810">
        <v>2</v>
      </c>
      <c r="J219" s="805">
        <v>0</v>
      </c>
      <c r="K219" s="811">
        <v>0</v>
      </c>
      <c r="L219" s="812">
        <v>2</v>
      </c>
      <c r="M219" s="813">
        <v>3.7000000000000002E-3</v>
      </c>
      <c r="N219" s="814">
        <v>3.7000000000000002E-3</v>
      </c>
    </row>
    <row r="220" spans="1:14" s="227" customFormat="1" ht="11.1" customHeight="1" x14ac:dyDescent="0.2">
      <c r="A220" s="815" t="s">
        <v>897</v>
      </c>
      <c r="B220" s="815" t="s">
        <v>898</v>
      </c>
      <c r="C220" s="816">
        <v>1.0004</v>
      </c>
      <c r="D220" s="817">
        <v>8.0000000000000004E-4</v>
      </c>
      <c r="E220" s="817">
        <v>8.0000000000000004E-4</v>
      </c>
      <c r="F220" s="818">
        <v>1.1299999999999999E-3</v>
      </c>
      <c r="G220" s="816">
        <v>1.04</v>
      </c>
      <c r="H220" s="817">
        <v>4.1000000000000002E-2</v>
      </c>
      <c r="I220" s="821">
        <v>2</v>
      </c>
      <c r="J220" s="816">
        <v>3.9600000000000003E-2</v>
      </c>
      <c r="K220" s="822">
        <v>3.9600000000000003E-2</v>
      </c>
      <c r="L220" s="823">
        <v>2</v>
      </c>
      <c r="M220" s="824">
        <v>4.1099999999999998E-2</v>
      </c>
      <c r="N220" s="825">
        <v>4.1000000000000002E-2</v>
      </c>
    </row>
    <row r="221" spans="1:14" s="227" customFormat="1" ht="11.1" customHeight="1" x14ac:dyDescent="0.2">
      <c r="A221" s="815" t="s">
        <v>899</v>
      </c>
      <c r="B221" s="815" t="s">
        <v>900</v>
      </c>
      <c r="C221" s="816">
        <v>0.99270000000000003</v>
      </c>
      <c r="D221" s="817">
        <v>8.0000000000000004E-4</v>
      </c>
      <c r="E221" s="817">
        <v>8.0000000000000004E-4</v>
      </c>
      <c r="F221" s="818">
        <v>1.1299999999999999E-3</v>
      </c>
      <c r="G221" s="848">
        <v>1.0176499999999999</v>
      </c>
      <c r="H221" s="817">
        <v>1.11E-2</v>
      </c>
      <c r="I221" s="821">
        <v>2</v>
      </c>
      <c r="J221" s="816">
        <v>2.4899999999999999E-2</v>
      </c>
      <c r="K221" s="822">
        <v>2.5100000000000001E-2</v>
      </c>
      <c r="L221" s="823">
        <v>2</v>
      </c>
      <c r="M221" s="824">
        <v>1.1299999999999999E-2</v>
      </c>
      <c r="N221" s="825">
        <v>1.14E-2</v>
      </c>
    </row>
    <row r="222" spans="1:14" s="227" customFormat="1" ht="11.1" customHeight="1" x14ac:dyDescent="0.2">
      <c r="A222" s="815" t="s">
        <v>901</v>
      </c>
      <c r="B222" s="815" t="s">
        <v>902</v>
      </c>
      <c r="C222" s="816">
        <v>1.0089999999999999</v>
      </c>
      <c r="D222" s="817">
        <v>8.0000000000000004E-4</v>
      </c>
      <c r="E222" s="817">
        <v>8.0000000000000004E-4</v>
      </c>
      <c r="F222" s="818">
        <v>1.1299999999999999E-3</v>
      </c>
      <c r="G222" s="819">
        <v>1.024</v>
      </c>
      <c r="H222" s="817">
        <v>2.5999999999999999E-3</v>
      </c>
      <c r="I222" s="821">
        <v>2</v>
      </c>
      <c r="J222" s="816">
        <v>1.4999999999999999E-2</v>
      </c>
      <c r="K222" s="822">
        <v>1.49E-2</v>
      </c>
      <c r="L222" s="823">
        <v>2</v>
      </c>
      <c r="M222" s="824">
        <v>3.3999999999999998E-3</v>
      </c>
      <c r="N222" s="825">
        <v>3.3999999999999998E-3</v>
      </c>
    </row>
    <row r="223" spans="1:14" s="227" customFormat="1" ht="11.1" customHeight="1" x14ac:dyDescent="0.2">
      <c r="A223" s="815" t="s">
        <v>903</v>
      </c>
      <c r="B223" s="815" t="s">
        <v>904</v>
      </c>
      <c r="C223" s="816">
        <v>0.99809999999999999</v>
      </c>
      <c r="D223" s="817">
        <v>8.0000000000000004E-4</v>
      </c>
      <c r="E223" s="817">
        <v>8.0000000000000004E-4</v>
      </c>
      <c r="F223" s="818">
        <v>1.1299999999999999E-3</v>
      </c>
      <c r="G223" s="816">
        <v>0.9929</v>
      </c>
      <c r="H223" s="817">
        <v>5.0000000000000001E-3</v>
      </c>
      <c r="I223" s="821">
        <v>2</v>
      </c>
      <c r="J223" s="816">
        <v>-5.1999999999999998E-3</v>
      </c>
      <c r="K223" s="822">
        <v>-5.1999999999999998E-3</v>
      </c>
      <c r="L223" s="823">
        <v>2</v>
      </c>
      <c r="M223" s="824">
        <v>5.4999999999999997E-3</v>
      </c>
      <c r="N223" s="825">
        <v>5.4999999999999997E-3</v>
      </c>
    </row>
    <row r="224" spans="1:14" s="227" customFormat="1" ht="11.1" customHeight="1" x14ac:dyDescent="0.2">
      <c r="A224" s="815" t="s">
        <v>905</v>
      </c>
      <c r="B224" s="815" t="s">
        <v>906</v>
      </c>
      <c r="C224" s="816">
        <v>1.002</v>
      </c>
      <c r="D224" s="817">
        <v>8.0000000000000004E-4</v>
      </c>
      <c r="E224" s="817">
        <v>8.0000000000000004E-4</v>
      </c>
      <c r="F224" s="818">
        <v>1.1299999999999999E-3</v>
      </c>
      <c r="G224" s="816">
        <v>1.0126999999999999</v>
      </c>
      <c r="H224" s="817">
        <v>4.5999999999999999E-3</v>
      </c>
      <c r="I224" s="821">
        <v>2</v>
      </c>
      <c r="J224" s="816">
        <v>1.0699999999999999E-2</v>
      </c>
      <c r="K224" s="822">
        <v>1.0699999999999999E-2</v>
      </c>
      <c r="L224" s="823">
        <v>2</v>
      </c>
      <c r="M224" s="824">
        <v>5.1000000000000004E-3</v>
      </c>
      <c r="N224" s="825">
        <v>5.1000000000000004E-3</v>
      </c>
    </row>
    <row r="225" spans="1:14" s="227" customFormat="1" ht="11.1" customHeight="1" x14ac:dyDescent="0.2">
      <c r="A225" s="815" t="s">
        <v>907</v>
      </c>
      <c r="B225" s="815" t="s">
        <v>908</v>
      </c>
      <c r="C225" s="816">
        <v>1.0041</v>
      </c>
      <c r="D225" s="817">
        <v>8.0000000000000004E-4</v>
      </c>
      <c r="E225" s="817">
        <v>8.0000000000000004E-4</v>
      </c>
      <c r="F225" s="818">
        <v>1.1299999999999999E-3</v>
      </c>
      <c r="G225" s="816">
        <v>1.018</v>
      </c>
      <c r="H225" s="817">
        <v>1.2999999999999999E-2</v>
      </c>
      <c r="I225" s="821">
        <v>2</v>
      </c>
      <c r="J225" s="816">
        <v>1.3899999999999999E-2</v>
      </c>
      <c r="K225" s="822">
        <v>1.38E-2</v>
      </c>
      <c r="L225" s="823">
        <v>2</v>
      </c>
      <c r="M225" s="824">
        <v>1.32E-2</v>
      </c>
      <c r="N225" s="825">
        <v>1.3100000000000001E-2</v>
      </c>
    </row>
    <row r="226" spans="1:14" s="227" customFormat="1" ht="11.1" customHeight="1" x14ac:dyDescent="0.2">
      <c r="A226" s="828" t="s">
        <v>909</v>
      </c>
      <c r="B226" s="828" t="s">
        <v>910</v>
      </c>
      <c r="C226" s="829">
        <v>0.99850000000000005</v>
      </c>
      <c r="D226" s="830">
        <v>8.0000000000000004E-4</v>
      </c>
      <c r="E226" s="830">
        <v>8.0000000000000004E-4</v>
      </c>
      <c r="F226" s="831">
        <v>1.1299999999999999E-3</v>
      </c>
      <c r="G226" s="829">
        <v>0.99509999999999998</v>
      </c>
      <c r="H226" s="833">
        <v>5.0000000000000001E-3</v>
      </c>
      <c r="I226" s="834">
        <v>2</v>
      </c>
      <c r="J226" s="829">
        <v>-3.3999999999999998E-3</v>
      </c>
      <c r="K226" s="835">
        <v>-3.3999999999999998E-3</v>
      </c>
      <c r="L226" s="836">
        <v>2</v>
      </c>
      <c r="M226" s="837">
        <v>5.8999999999999999E-3</v>
      </c>
      <c r="N226" s="838">
        <v>5.8999999999999999E-3</v>
      </c>
    </row>
    <row r="227" spans="1:14" s="227" customFormat="1" ht="11.1" customHeight="1" x14ac:dyDescent="0.2">
      <c r="A227" s="839"/>
      <c r="B227" s="839"/>
      <c r="C227" s="824"/>
      <c r="D227" s="824"/>
      <c r="E227" s="824"/>
      <c r="F227" s="840"/>
      <c r="G227" s="824"/>
      <c r="H227" s="820"/>
      <c r="I227" s="842"/>
      <c r="J227" s="824"/>
      <c r="K227" s="822"/>
      <c r="L227" s="823"/>
      <c r="M227" s="824"/>
      <c r="N227" s="822"/>
    </row>
    <row r="228" spans="1:14" s="227" customFormat="1" ht="15" customHeight="1" x14ac:dyDescent="0.2">
      <c r="A228" s="227" t="s">
        <v>916</v>
      </c>
    </row>
    <row r="229" spans="1:14" s="227" customFormat="1" ht="12" customHeight="1" x14ac:dyDescent="0.2">
      <c r="A229" s="677" t="s">
        <v>23</v>
      </c>
      <c r="B229" s="677" t="s">
        <v>24</v>
      </c>
      <c r="C229" s="678" t="s">
        <v>886</v>
      </c>
      <c r="D229" s="626" t="s">
        <v>887</v>
      </c>
      <c r="E229" s="626" t="s">
        <v>888</v>
      </c>
      <c r="F229" s="680" t="s">
        <v>889</v>
      </c>
      <c r="G229" s="678" t="s">
        <v>890</v>
      </c>
      <c r="H229" s="626" t="s">
        <v>891</v>
      </c>
      <c r="I229" s="680" t="s">
        <v>62</v>
      </c>
      <c r="J229" s="678" t="s">
        <v>892</v>
      </c>
      <c r="K229" s="679" t="s">
        <v>893</v>
      </c>
      <c r="L229" s="803" t="s">
        <v>719</v>
      </c>
      <c r="M229" s="679" t="s">
        <v>894</v>
      </c>
      <c r="N229" s="680" t="s">
        <v>895</v>
      </c>
    </row>
    <row r="230" spans="1:14" s="227" customFormat="1" ht="12" customHeight="1" x14ac:dyDescent="0.2">
      <c r="A230" s="804" t="s">
        <v>825</v>
      </c>
      <c r="B230" s="804" t="s">
        <v>896</v>
      </c>
      <c r="C230" s="805">
        <v>0.502</v>
      </c>
      <c r="D230" s="806">
        <v>6.9999999999999999E-4</v>
      </c>
      <c r="E230" s="806">
        <v>2.9999999999999997E-4</v>
      </c>
      <c r="F230" s="807">
        <v>7.2000000000000005E-4</v>
      </c>
      <c r="G230" s="805">
        <v>0.50190000000000001</v>
      </c>
      <c r="H230" s="806">
        <v>1.6000000000000001E-3</v>
      </c>
      <c r="I230" s="810">
        <v>2</v>
      </c>
      <c r="J230" s="805">
        <v>-1E-4</v>
      </c>
      <c r="K230" s="811">
        <v>-2.0000000000000001E-4</v>
      </c>
      <c r="L230" s="812">
        <v>2</v>
      </c>
      <c r="M230" s="813">
        <v>2.0999999999999999E-3</v>
      </c>
      <c r="N230" s="814">
        <v>4.3E-3</v>
      </c>
    </row>
    <row r="231" spans="1:14" s="227" customFormat="1" ht="11.1" customHeight="1" x14ac:dyDescent="0.2">
      <c r="A231" s="815" t="s">
        <v>897</v>
      </c>
      <c r="B231" s="815" t="s">
        <v>898</v>
      </c>
      <c r="C231" s="816">
        <v>0.49630000000000002</v>
      </c>
      <c r="D231" s="817">
        <v>6.9999999999999999E-4</v>
      </c>
      <c r="E231" s="817">
        <v>2.9999999999999997E-4</v>
      </c>
      <c r="F231" s="818">
        <v>7.2000000000000005E-4</v>
      </c>
      <c r="G231" s="609"/>
      <c r="H231" s="744"/>
      <c r="I231" s="611"/>
      <c r="J231" s="609"/>
      <c r="K231" s="610"/>
      <c r="L231" s="744"/>
      <c r="M231" s="610"/>
      <c r="N231" s="611"/>
    </row>
    <row r="232" spans="1:14" s="227" customFormat="1" ht="11.1" customHeight="1" x14ac:dyDescent="0.2">
      <c r="A232" s="815" t="s">
        <v>899</v>
      </c>
      <c r="B232" s="815" t="s">
        <v>900</v>
      </c>
      <c r="C232" s="816">
        <v>0.4965</v>
      </c>
      <c r="D232" s="817">
        <v>5.9999999999999995E-4</v>
      </c>
      <c r="E232" s="817">
        <v>2.9999999999999997E-4</v>
      </c>
      <c r="F232" s="818">
        <v>6.9999999999999999E-4</v>
      </c>
      <c r="G232" s="844">
        <v>0.50624000000000002</v>
      </c>
      <c r="H232" s="817">
        <v>4.5999999999999999E-3</v>
      </c>
      <c r="I232" s="821">
        <v>2</v>
      </c>
      <c r="J232" s="816">
        <v>9.7999999999999997E-3</v>
      </c>
      <c r="K232" s="822">
        <v>1.9699999999999999E-2</v>
      </c>
      <c r="L232" s="823">
        <v>2</v>
      </c>
      <c r="M232" s="824">
        <v>4.7999999999999996E-3</v>
      </c>
      <c r="N232" s="825">
        <v>9.7000000000000003E-3</v>
      </c>
    </row>
    <row r="233" spans="1:14" s="227" customFormat="1" ht="11.1" customHeight="1" x14ac:dyDescent="0.2">
      <c r="A233" s="815" t="s">
        <v>901</v>
      </c>
      <c r="B233" s="815" t="s">
        <v>902</v>
      </c>
      <c r="C233" s="816">
        <v>0.49340000000000001</v>
      </c>
      <c r="D233" s="817">
        <v>5.9999999999999995E-4</v>
      </c>
      <c r="E233" s="817">
        <v>2.9999999999999997E-4</v>
      </c>
      <c r="F233" s="818">
        <v>6.9999999999999999E-4</v>
      </c>
      <c r="G233" s="816">
        <v>0.53600000000000003</v>
      </c>
      <c r="H233" s="817">
        <v>1.6000000000000001E-3</v>
      </c>
      <c r="I233" s="821">
        <v>2</v>
      </c>
      <c r="J233" s="816">
        <v>4.2599999999999999E-2</v>
      </c>
      <c r="K233" s="822">
        <v>8.6300000000000002E-2</v>
      </c>
      <c r="L233" s="823">
        <v>2</v>
      </c>
      <c r="M233" s="824">
        <v>2.0999999999999999E-3</v>
      </c>
      <c r="N233" s="825">
        <v>4.3E-3</v>
      </c>
    </row>
    <row r="234" spans="1:14" s="227" customFormat="1" ht="11.1" customHeight="1" x14ac:dyDescent="0.2">
      <c r="A234" s="815" t="s">
        <v>903</v>
      </c>
      <c r="B234" s="815" t="s">
        <v>904</v>
      </c>
      <c r="C234" s="816">
        <v>0.48799999999999999</v>
      </c>
      <c r="D234" s="817">
        <v>5.9999999999999995E-4</v>
      </c>
      <c r="E234" s="817">
        <v>2.9999999999999997E-4</v>
      </c>
      <c r="F234" s="818">
        <v>6.9999999999999999E-4</v>
      </c>
      <c r="G234" s="816">
        <v>0.48499999999999999</v>
      </c>
      <c r="H234" s="817">
        <v>2.8999999999999998E-3</v>
      </c>
      <c r="I234" s="821">
        <v>2</v>
      </c>
      <c r="J234" s="816">
        <v>-3.0000000000000001E-3</v>
      </c>
      <c r="K234" s="822">
        <v>-6.1000000000000004E-3</v>
      </c>
      <c r="L234" s="823">
        <v>2</v>
      </c>
      <c r="M234" s="824">
        <v>3.2000000000000002E-3</v>
      </c>
      <c r="N234" s="825">
        <v>6.6E-3</v>
      </c>
    </row>
    <row r="235" spans="1:14" s="227" customFormat="1" ht="11.1" customHeight="1" x14ac:dyDescent="0.2">
      <c r="A235" s="815" t="s">
        <v>905</v>
      </c>
      <c r="B235" s="815" t="s">
        <v>906</v>
      </c>
      <c r="C235" s="816">
        <v>0.49349999999999999</v>
      </c>
      <c r="D235" s="817">
        <v>5.9999999999999995E-4</v>
      </c>
      <c r="E235" s="817">
        <v>2.9999999999999997E-4</v>
      </c>
      <c r="F235" s="818">
        <v>6.9999999999999999E-4</v>
      </c>
      <c r="G235" s="816">
        <v>0.4945</v>
      </c>
      <c r="H235" s="817">
        <v>2.2000000000000001E-3</v>
      </c>
      <c r="I235" s="821">
        <v>2</v>
      </c>
      <c r="J235" s="816">
        <v>1E-3</v>
      </c>
      <c r="K235" s="822">
        <v>2E-3</v>
      </c>
      <c r="L235" s="823">
        <v>2</v>
      </c>
      <c r="M235" s="824">
        <v>2.5999999999999999E-3</v>
      </c>
      <c r="N235" s="825">
        <v>5.3E-3</v>
      </c>
    </row>
    <row r="236" spans="1:14" s="227" customFormat="1" ht="11.1" customHeight="1" x14ac:dyDescent="0.2">
      <c r="A236" s="815" t="s">
        <v>907</v>
      </c>
      <c r="B236" s="815" t="s">
        <v>908</v>
      </c>
      <c r="C236" s="816">
        <v>0.49299999999999999</v>
      </c>
      <c r="D236" s="817">
        <v>5.9999999999999995E-4</v>
      </c>
      <c r="E236" s="817">
        <v>2.9999999999999997E-4</v>
      </c>
      <c r="F236" s="818">
        <v>7.1000000000000002E-4</v>
      </c>
      <c r="G236" s="816">
        <v>0.49270000000000003</v>
      </c>
      <c r="H236" s="817">
        <v>4.4999999999999997E-3</v>
      </c>
      <c r="I236" s="821">
        <v>2</v>
      </c>
      <c r="J236" s="816">
        <v>-2.9999999999999997E-4</v>
      </c>
      <c r="K236" s="822">
        <v>-5.9999999999999995E-4</v>
      </c>
      <c r="L236" s="823">
        <v>2</v>
      </c>
      <c r="M236" s="824">
        <v>4.7000000000000002E-3</v>
      </c>
      <c r="N236" s="825">
        <v>9.5999999999999992E-3</v>
      </c>
    </row>
    <row r="237" spans="1:14" s="227" customFormat="1" ht="11.1" customHeight="1" x14ac:dyDescent="0.2">
      <c r="A237" s="828" t="s">
        <v>909</v>
      </c>
      <c r="B237" s="828" t="s">
        <v>910</v>
      </c>
      <c r="C237" s="829">
        <v>0.49980000000000002</v>
      </c>
      <c r="D237" s="830">
        <v>5.9999999999999995E-4</v>
      </c>
      <c r="E237" s="830">
        <v>2.9999999999999997E-4</v>
      </c>
      <c r="F237" s="831">
        <v>6.9999999999999999E-4</v>
      </c>
      <c r="G237" s="829">
        <v>0.49859999999999999</v>
      </c>
      <c r="H237" s="833">
        <v>3.0000000000000001E-3</v>
      </c>
      <c r="I237" s="834">
        <v>2</v>
      </c>
      <c r="J237" s="829">
        <v>-1.1999999999999999E-3</v>
      </c>
      <c r="K237" s="835">
        <v>-2.3999999999999998E-3</v>
      </c>
      <c r="L237" s="836">
        <v>2</v>
      </c>
      <c r="M237" s="837">
        <v>3.0000000000000001E-3</v>
      </c>
      <c r="N237" s="838">
        <v>5.8999999999999999E-3</v>
      </c>
    </row>
    <row r="238" spans="1:14" s="227" customFormat="1" ht="11.1" customHeight="1" x14ac:dyDescent="0.2">
      <c r="A238" s="839"/>
      <c r="B238" s="839"/>
      <c r="C238" s="824"/>
      <c r="D238" s="824"/>
      <c r="E238" s="824"/>
      <c r="F238" s="840"/>
      <c r="G238" s="824"/>
      <c r="H238" s="820"/>
      <c r="I238" s="842"/>
      <c r="J238" s="824"/>
      <c r="K238" s="822"/>
      <c r="L238" s="823"/>
      <c r="M238" s="824"/>
      <c r="N238" s="822"/>
    </row>
    <row r="239" spans="1:14" s="227" customFormat="1" ht="15" customHeight="1" x14ac:dyDescent="0.2">
      <c r="A239" s="227" t="s">
        <v>917</v>
      </c>
    </row>
    <row r="240" spans="1:14" s="227" customFormat="1" ht="12" customHeight="1" x14ac:dyDescent="0.2">
      <c r="A240" s="677" t="s">
        <v>23</v>
      </c>
      <c r="B240" s="677" t="s">
        <v>24</v>
      </c>
      <c r="C240" s="678" t="s">
        <v>886</v>
      </c>
      <c r="D240" s="626" t="s">
        <v>887</v>
      </c>
      <c r="E240" s="626" t="s">
        <v>888</v>
      </c>
      <c r="F240" s="680" t="s">
        <v>889</v>
      </c>
      <c r="G240" s="678" t="s">
        <v>890</v>
      </c>
      <c r="H240" s="626" t="s">
        <v>891</v>
      </c>
      <c r="I240" s="680" t="s">
        <v>62</v>
      </c>
      <c r="J240" s="678" t="s">
        <v>892</v>
      </c>
      <c r="K240" s="679" t="s">
        <v>893</v>
      </c>
      <c r="L240" s="803" t="s">
        <v>719</v>
      </c>
      <c r="M240" s="679" t="s">
        <v>894</v>
      </c>
      <c r="N240" s="680" t="s">
        <v>895</v>
      </c>
    </row>
    <row r="241" spans="1:14" s="227" customFormat="1" ht="12" customHeight="1" x14ac:dyDescent="0.2">
      <c r="A241" s="804" t="s">
        <v>825</v>
      </c>
      <c r="B241" s="804" t="s">
        <v>896</v>
      </c>
      <c r="C241" s="805">
        <v>0.49869999999999998</v>
      </c>
      <c r="D241" s="806">
        <v>2.0000000000000001E-4</v>
      </c>
      <c r="E241" s="806">
        <v>5.0000000000000001E-4</v>
      </c>
      <c r="F241" s="807">
        <v>5.4000000000000001E-4</v>
      </c>
      <c r="G241" s="805">
        <v>0.49909999999999999</v>
      </c>
      <c r="H241" s="806">
        <v>1.1999999999999999E-3</v>
      </c>
      <c r="I241" s="810">
        <v>2</v>
      </c>
      <c r="J241" s="805">
        <v>4.0000000000000002E-4</v>
      </c>
      <c r="K241" s="811">
        <v>8.0000000000000004E-4</v>
      </c>
      <c r="L241" s="812">
        <v>2</v>
      </c>
      <c r="M241" s="813">
        <v>1.6000000000000001E-3</v>
      </c>
      <c r="N241" s="814">
        <v>3.2000000000000002E-3</v>
      </c>
    </row>
    <row r="242" spans="1:14" s="227" customFormat="1" ht="11.1" customHeight="1" x14ac:dyDescent="0.2">
      <c r="A242" s="815" t="s">
        <v>897</v>
      </c>
      <c r="B242" s="815" t="s">
        <v>898</v>
      </c>
      <c r="C242" s="816">
        <v>0.498</v>
      </c>
      <c r="D242" s="817">
        <v>2.0000000000000001E-4</v>
      </c>
      <c r="E242" s="817">
        <v>5.0000000000000001E-4</v>
      </c>
      <c r="F242" s="818">
        <v>5.4000000000000001E-4</v>
      </c>
      <c r="G242" s="816">
        <v>1.0069999999999999</v>
      </c>
      <c r="H242" s="817">
        <v>2.5999999999999999E-2</v>
      </c>
      <c r="I242" s="821">
        <v>2</v>
      </c>
      <c r="J242" s="816">
        <v>0.50900000000000001</v>
      </c>
      <c r="K242" s="822">
        <v>1.022</v>
      </c>
      <c r="L242" s="823">
        <v>2</v>
      </c>
      <c r="M242" s="824">
        <v>2.5999999999999999E-2</v>
      </c>
      <c r="N242" s="825">
        <v>5.2299999999999999E-2</v>
      </c>
    </row>
    <row r="243" spans="1:14" s="227" customFormat="1" ht="11.1" customHeight="1" x14ac:dyDescent="0.2">
      <c r="A243" s="815" t="s">
        <v>899</v>
      </c>
      <c r="B243" s="815" t="s">
        <v>900</v>
      </c>
      <c r="C243" s="816">
        <v>0.49199999999999999</v>
      </c>
      <c r="D243" s="817">
        <v>2.0000000000000001E-4</v>
      </c>
      <c r="E243" s="817">
        <v>5.0000000000000001E-4</v>
      </c>
      <c r="F243" s="818">
        <v>5.2999999999999998E-4</v>
      </c>
      <c r="G243" s="844">
        <v>0.49530999999999997</v>
      </c>
      <c r="H243" s="817">
        <v>6.7999999999999996E-3</v>
      </c>
      <c r="I243" s="821">
        <v>2</v>
      </c>
      <c r="J243" s="816">
        <v>3.3E-3</v>
      </c>
      <c r="K243" s="822">
        <v>6.7999999999999996E-3</v>
      </c>
      <c r="L243" s="823">
        <v>2</v>
      </c>
      <c r="M243" s="824">
        <v>6.8999999999999999E-3</v>
      </c>
      <c r="N243" s="825">
        <v>1.4E-2</v>
      </c>
    </row>
    <row r="244" spans="1:14" s="227" customFormat="1" ht="11.1" customHeight="1" x14ac:dyDescent="0.2">
      <c r="A244" s="815" t="s">
        <v>901</v>
      </c>
      <c r="B244" s="815" t="s">
        <v>902</v>
      </c>
      <c r="C244" s="816">
        <v>0.49390000000000001</v>
      </c>
      <c r="D244" s="817">
        <v>2.0000000000000001E-4</v>
      </c>
      <c r="E244" s="817">
        <v>5.0000000000000001E-4</v>
      </c>
      <c r="F244" s="818">
        <v>5.2999999999999998E-4</v>
      </c>
      <c r="G244" s="819">
        <v>0.496</v>
      </c>
      <c r="H244" s="817">
        <v>1.2999999999999999E-3</v>
      </c>
      <c r="I244" s="821">
        <v>2</v>
      </c>
      <c r="J244" s="816">
        <v>2.0999999999999999E-3</v>
      </c>
      <c r="K244" s="822">
        <v>4.3E-3</v>
      </c>
      <c r="L244" s="823">
        <v>2</v>
      </c>
      <c r="M244" s="824">
        <v>1.6999999999999999E-3</v>
      </c>
      <c r="N244" s="825">
        <v>3.3999999999999998E-3</v>
      </c>
    </row>
    <row r="245" spans="1:14" s="227" customFormat="1" ht="11.1" customHeight="1" x14ac:dyDescent="0.2">
      <c r="A245" s="815" t="s">
        <v>903</v>
      </c>
      <c r="B245" s="815" t="s">
        <v>904</v>
      </c>
      <c r="C245" s="816">
        <v>0.49370000000000003</v>
      </c>
      <c r="D245" s="817">
        <v>2.0000000000000001E-4</v>
      </c>
      <c r="E245" s="817">
        <v>5.0000000000000001E-4</v>
      </c>
      <c r="F245" s="818">
        <v>5.4000000000000001E-4</v>
      </c>
      <c r="G245" s="816">
        <v>0.49890000000000001</v>
      </c>
      <c r="H245" s="817">
        <v>3.0000000000000001E-3</v>
      </c>
      <c r="I245" s="821">
        <v>2</v>
      </c>
      <c r="J245" s="816">
        <v>5.1999999999999998E-3</v>
      </c>
      <c r="K245" s="822">
        <v>1.06E-2</v>
      </c>
      <c r="L245" s="823">
        <v>2</v>
      </c>
      <c r="M245" s="824">
        <v>3.2000000000000002E-3</v>
      </c>
      <c r="N245" s="825">
        <v>6.4999999999999997E-3</v>
      </c>
    </row>
    <row r="246" spans="1:14" s="227" customFormat="1" ht="11.1" customHeight="1" x14ac:dyDescent="0.2">
      <c r="A246" s="815" t="s">
        <v>905</v>
      </c>
      <c r="B246" s="815" t="s">
        <v>906</v>
      </c>
      <c r="C246" s="816">
        <v>0.49480000000000002</v>
      </c>
      <c r="D246" s="817">
        <v>2.0000000000000001E-4</v>
      </c>
      <c r="E246" s="817">
        <v>5.0000000000000001E-4</v>
      </c>
      <c r="F246" s="818">
        <v>5.4000000000000001E-4</v>
      </c>
      <c r="G246" s="816">
        <v>0.49519999999999997</v>
      </c>
      <c r="H246" s="817">
        <v>2.2000000000000001E-3</v>
      </c>
      <c r="I246" s="821">
        <v>2</v>
      </c>
      <c r="J246" s="816">
        <v>4.0000000000000002E-4</v>
      </c>
      <c r="K246" s="822">
        <v>8.0000000000000004E-4</v>
      </c>
      <c r="L246" s="823">
        <v>2</v>
      </c>
      <c r="M246" s="824">
        <v>2.3999999999999998E-3</v>
      </c>
      <c r="N246" s="825">
        <v>4.8999999999999998E-3</v>
      </c>
    </row>
    <row r="247" spans="1:14" s="227" customFormat="1" ht="11.1" customHeight="1" x14ac:dyDescent="0.2">
      <c r="A247" s="815" t="s">
        <v>907</v>
      </c>
      <c r="B247" s="815" t="s">
        <v>908</v>
      </c>
      <c r="C247" s="816">
        <v>0.49890000000000001</v>
      </c>
      <c r="D247" s="817">
        <v>2.0000000000000001E-4</v>
      </c>
      <c r="E247" s="817">
        <v>5.0000000000000001E-4</v>
      </c>
      <c r="F247" s="818">
        <v>5.4000000000000001E-4</v>
      </c>
      <c r="G247" s="816">
        <v>0.497</v>
      </c>
      <c r="H247" s="817">
        <v>3.3E-3</v>
      </c>
      <c r="I247" s="821">
        <v>2</v>
      </c>
      <c r="J247" s="816">
        <v>-1.9E-3</v>
      </c>
      <c r="K247" s="822">
        <v>-3.7000000000000002E-3</v>
      </c>
      <c r="L247" s="823">
        <v>2</v>
      </c>
      <c r="M247" s="824">
        <v>3.5000000000000001E-3</v>
      </c>
      <c r="N247" s="825">
        <v>7.0000000000000001E-3</v>
      </c>
    </row>
    <row r="248" spans="1:14" s="227" customFormat="1" ht="11.1" customHeight="1" x14ac:dyDescent="0.2">
      <c r="A248" s="828" t="s">
        <v>909</v>
      </c>
      <c r="B248" s="828" t="s">
        <v>910</v>
      </c>
      <c r="C248" s="829">
        <v>0.49399999999999999</v>
      </c>
      <c r="D248" s="830">
        <v>2.0000000000000001E-4</v>
      </c>
      <c r="E248" s="830">
        <v>5.0000000000000001E-4</v>
      </c>
      <c r="F248" s="831">
        <v>5.2999999999999998E-4</v>
      </c>
      <c r="G248" s="829">
        <v>0.49409999999999998</v>
      </c>
      <c r="H248" s="833">
        <v>3.0000000000000001E-3</v>
      </c>
      <c r="I248" s="834">
        <v>2</v>
      </c>
      <c r="J248" s="829">
        <v>1E-4</v>
      </c>
      <c r="K248" s="835">
        <v>2.0000000000000001E-4</v>
      </c>
      <c r="L248" s="836">
        <v>2</v>
      </c>
      <c r="M248" s="837">
        <v>3.2000000000000002E-3</v>
      </c>
      <c r="N248" s="838">
        <v>6.4000000000000003E-3</v>
      </c>
    </row>
    <row r="249" spans="1:14" s="227" customFormat="1" ht="11.1" customHeight="1" x14ac:dyDescent="0.2">
      <c r="A249" s="839"/>
      <c r="B249" s="839"/>
      <c r="C249" s="824"/>
      <c r="D249" s="824"/>
      <c r="E249" s="824"/>
      <c r="F249" s="840"/>
      <c r="G249" s="824"/>
      <c r="H249" s="820"/>
      <c r="I249" s="842"/>
      <c r="J249" s="824"/>
      <c r="K249" s="822"/>
      <c r="L249" s="823"/>
      <c r="M249" s="824"/>
      <c r="N249" s="822"/>
    </row>
    <row r="250" spans="1:14" s="227" customFormat="1" ht="15" customHeight="1" x14ac:dyDescent="0.2">
      <c r="A250" s="227" t="s">
        <v>918</v>
      </c>
    </row>
    <row r="251" spans="1:14" s="227" customFormat="1" ht="12" customHeight="1" x14ac:dyDescent="0.2">
      <c r="A251" s="677" t="s">
        <v>23</v>
      </c>
      <c r="B251" s="677" t="s">
        <v>24</v>
      </c>
      <c r="C251" s="678" t="s">
        <v>886</v>
      </c>
      <c r="D251" s="626" t="s">
        <v>887</v>
      </c>
      <c r="E251" s="626" t="s">
        <v>888</v>
      </c>
      <c r="F251" s="680" t="s">
        <v>889</v>
      </c>
      <c r="G251" s="678" t="s">
        <v>890</v>
      </c>
      <c r="H251" s="626" t="s">
        <v>891</v>
      </c>
      <c r="I251" s="680" t="s">
        <v>62</v>
      </c>
      <c r="J251" s="678" t="s">
        <v>892</v>
      </c>
      <c r="K251" s="679" t="s">
        <v>893</v>
      </c>
      <c r="L251" s="803" t="s">
        <v>719</v>
      </c>
      <c r="M251" s="679" t="s">
        <v>894</v>
      </c>
      <c r="N251" s="680" t="s">
        <v>895</v>
      </c>
    </row>
    <row r="252" spans="1:14" s="227" customFormat="1" ht="12" customHeight="1" x14ac:dyDescent="0.2">
      <c r="A252" s="804" t="s">
        <v>825</v>
      </c>
      <c r="B252" s="804" t="s">
        <v>896</v>
      </c>
      <c r="C252" s="805">
        <v>7.7034000000000002</v>
      </c>
      <c r="D252" s="806">
        <v>3.3E-3</v>
      </c>
      <c r="E252" s="806">
        <v>8.5000000000000006E-3</v>
      </c>
      <c r="F252" s="807">
        <v>9.1000000000000004E-3</v>
      </c>
      <c r="G252" s="808">
        <v>7.71</v>
      </c>
      <c r="H252" s="809">
        <v>8.0000000000000002E-3</v>
      </c>
      <c r="I252" s="810">
        <v>2</v>
      </c>
      <c r="J252" s="808">
        <v>7.0000000000000001E-3</v>
      </c>
      <c r="K252" s="811">
        <v>8.9999999999999998E-4</v>
      </c>
      <c r="L252" s="812">
        <v>2</v>
      </c>
      <c r="M252" s="813">
        <v>1.9900000000000001E-2</v>
      </c>
      <c r="N252" s="814">
        <v>2.5999999999999999E-3</v>
      </c>
    </row>
    <row r="253" spans="1:14" s="227" customFormat="1" ht="11.1" customHeight="1" x14ac:dyDescent="0.2">
      <c r="A253" s="815" t="s">
        <v>897</v>
      </c>
      <c r="B253" s="815" t="s">
        <v>898</v>
      </c>
      <c r="C253" s="816">
        <v>7.6928000000000001</v>
      </c>
      <c r="D253" s="817">
        <v>3.3E-3</v>
      </c>
      <c r="E253" s="817">
        <v>8.5000000000000006E-3</v>
      </c>
      <c r="F253" s="818">
        <v>9.1000000000000004E-3</v>
      </c>
      <c r="G253" s="819">
        <v>7.7380000000000004</v>
      </c>
      <c r="H253" s="820">
        <v>8.6999999999999994E-2</v>
      </c>
      <c r="I253" s="821">
        <v>2</v>
      </c>
      <c r="J253" s="819">
        <v>4.4999999999999998E-2</v>
      </c>
      <c r="K253" s="822">
        <v>5.8999999999999999E-3</v>
      </c>
      <c r="L253" s="823">
        <v>2</v>
      </c>
      <c r="M253" s="824">
        <v>8.8900000000000007E-2</v>
      </c>
      <c r="N253" s="825">
        <v>1.1599999999999999E-2</v>
      </c>
    </row>
    <row r="254" spans="1:14" s="227" customFormat="1" ht="11.1" customHeight="1" x14ac:dyDescent="0.2">
      <c r="A254" s="815" t="s">
        <v>899</v>
      </c>
      <c r="B254" s="815" t="s">
        <v>900</v>
      </c>
      <c r="C254" s="816">
        <v>7.5952000000000002</v>
      </c>
      <c r="D254" s="817">
        <v>3.2000000000000002E-3</v>
      </c>
      <c r="E254" s="817">
        <v>8.5000000000000006E-3</v>
      </c>
      <c r="F254" s="818">
        <v>9.0900000000000009E-3</v>
      </c>
      <c r="G254" s="844">
        <v>1.2381200000000001</v>
      </c>
      <c r="H254" s="820">
        <v>3.2000000000000001E-2</v>
      </c>
      <c r="I254" s="821">
        <v>2</v>
      </c>
      <c r="J254" s="819">
        <v>-6.3570000000000002</v>
      </c>
      <c r="K254" s="822">
        <v>-0.83699999999999997</v>
      </c>
      <c r="L254" s="823">
        <v>2</v>
      </c>
      <c r="M254" s="824">
        <v>3.6900000000000002E-2</v>
      </c>
      <c r="N254" s="825">
        <v>4.8999999999999998E-3</v>
      </c>
    </row>
    <row r="255" spans="1:14" s="227" customFormat="1" ht="11.1" customHeight="1" x14ac:dyDescent="0.2">
      <c r="A255" s="815" t="s">
        <v>901</v>
      </c>
      <c r="B255" s="815" t="s">
        <v>902</v>
      </c>
      <c r="C255" s="816">
        <v>7.6247999999999996</v>
      </c>
      <c r="D255" s="817">
        <v>3.2000000000000002E-3</v>
      </c>
      <c r="E255" s="817">
        <v>8.5000000000000006E-3</v>
      </c>
      <c r="F255" s="818">
        <v>9.0900000000000009E-3</v>
      </c>
      <c r="G255" s="827">
        <v>7.68</v>
      </c>
      <c r="H255" s="820">
        <v>8.0000000000000002E-3</v>
      </c>
      <c r="I255" s="821">
        <v>2</v>
      </c>
      <c r="J255" s="819">
        <v>5.5E-2</v>
      </c>
      <c r="K255" s="822">
        <v>7.1999999999999998E-3</v>
      </c>
      <c r="L255" s="823">
        <v>2</v>
      </c>
      <c r="M255" s="824">
        <v>1.9699999999999999E-2</v>
      </c>
      <c r="N255" s="825">
        <v>2.5999999999999999E-3</v>
      </c>
    </row>
    <row r="256" spans="1:14" s="227" customFormat="1" ht="11.1" customHeight="1" x14ac:dyDescent="0.2">
      <c r="A256" s="815" t="s">
        <v>903</v>
      </c>
      <c r="B256" s="815" t="s">
        <v>904</v>
      </c>
      <c r="C256" s="816">
        <v>7.5928000000000004</v>
      </c>
      <c r="D256" s="817">
        <v>3.2000000000000002E-3</v>
      </c>
      <c r="E256" s="817">
        <v>8.5000000000000006E-3</v>
      </c>
      <c r="F256" s="818">
        <v>9.0799999999999995E-3</v>
      </c>
      <c r="G256" s="816">
        <v>7.6070000000000002</v>
      </c>
      <c r="H256" s="817">
        <v>3.04E-2</v>
      </c>
      <c r="I256" s="821">
        <v>2</v>
      </c>
      <c r="J256" s="819">
        <v>1.4E-2</v>
      </c>
      <c r="K256" s="822">
        <v>1.9E-3</v>
      </c>
      <c r="L256" s="823">
        <v>2</v>
      </c>
      <c r="M256" s="824">
        <v>3.5400000000000001E-2</v>
      </c>
      <c r="N256" s="825">
        <v>4.7000000000000002E-3</v>
      </c>
    </row>
    <row r="257" spans="1:14" s="227" customFormat="1" ht="11.1" customHeight="1" x14ac:dyDescent="0.2">
      <c r="A257" s="815" t="s">
        <v>905</v>
      </c>
      <c r="B257" s="815" t="s">
        <v>906</v>
      </c>
      <c r="C257" s="816">
        <v>7.6101000000000001</v>
      </c>
      <c r="D257" s="817">
        <v>3.2000000000000002E-3</v>
      </c>
      <c r="E257" s="817">
        <v>8.5000000000000006E-3</v>
      </c>
      <c r="F257" s="818">
        <v>9.0799999999999995E-3</v>
      </c>
      <c r="G257" s="819">
        <v>7.601</v>
      </c>
      <c r="H257" s="820">
        <v>1.9E-2</v>
      </c>
      <c r="I257" s="821">
        <v>2</v>
      </c>
      <c r="J257" s="819">
        <v>-8.9999999999999993E-3</v>
      </c>
      <c r="K257" s="822">
        <v>-1.1999999999999999E-3</v>
      </c>
      <c r="L257" s="823">
        <v>2</v>
      </c>
      <c r="M257" s="824">
        <v>2.63E-2</v>
      </c>
      <c r="N257" s="825">
        <v>3.5000000000000001E-3</v>
      </c>
    </row>
    <row r="258" spans="1:14" s="227" customFormat="1" ht="11.1" customHeight="1" x14ac:dyDescent="0.2">
      <c r="A258" s="815" t="s">
        <v>907</v>
      </c>
      <c r="B258" s="815" t="s">
        <v>908</v>
      </c>
      <c r="C258" s="816">
        <v>7.7058</v>
      </c>
      <c r="D258" s="817">
        <v>3.2000000000000002E-3</v>
      </c>
      <c r="E258" s="817">
        <v>8.5000000000000006E-3</v>
      </c>
      <c r="F258" s="818">
        <v>9.1000000000000004E-3</v>
      </c>
      <c r="G258" s="819">
        <v>7.7320000000000002</v>
      </c>
      <c r="H258" s="820">
        <v>6.9000000000000006E-2</v>
      </c>
      <c r="I258" s="821">
        <v>2</v>
      </c>
      <c r="J258" s="819">
        <v>2.5999999999999999E-2</v>
      </c>
      <c r="K258" s="822">
        <v>3.3999999999999998E-3</v>
      </c>
      <c r="L258" s="823">
        <v>2</v>
      </c>
      <c r="M258" s="824">
        <v>7.1400000000000005E-2</v>
      </c>
      <c r="N258" s="825">
        <v>9.2999999999999992E-3</v>
      </c>
    </row>
    <row r="259" spans="1:14" s="227" customFormat="1" ht="11.1" customHeight="1" x14ac:dyDescent="0.2">
      <c r="A259" s="828" t="s">
        <v>909</v>
      </c>
      <c r="B259" s="828" t="s">
        <v>910</v>
      </c>
      <c r="C259" s="829">
        <v>7.6266999999999996</v>
      </c>
      <c r="D259" s="830">
        <v>3.2000000000000002E-3</v>
      </c>
      <c r="E259" s="830">
        <v>8.5000000000000006E-3</v>
      </c>
      <c r="F259" s="831">
        <v>9.0799999999999995E-3</v>
      </c>
      <c r="G259" s="832">
        <v>7.6349999999999998</v>
      </c>
      <c r="H259" s="833">
        <v>4.7E-2</v>
      </c>
      <c r="I259" s="834">
        <v>2</v>
      </c>
      <c r="J259" s="832">
        <v>8.0000000000000002E-3</v>
      </c>
      <c r="K259" s="835">
        <v>1.1000000000000001E-3</v>
      </c>
      <c r="L259" s="836">
        <v>2</v>
      </c>
      <c r="M259" s="837">
        <v>5.04E-2</v>
      </c>
      <c r="N259" s="838">
        <v>6.6E-3</v>
      </c>
    </row>
    <row r="260" spans="1:14" s="227" customFormat="1" ht="11.1" customHeight="1" x14ac:dyDescent="0.2">
      <c r="A260" s="839"/>
      <c r="B260" s="839"/>
      <c r="C260" s="824"/>
      <c r="D260" s="824"/>
      <c r="E260" s="824"/>
      <c r="F260" s="840"/>
      <c r="G260" s="841"/>
      <c r="H260" s="820"/>
      <c r="I260" s="842"/>
      <c r="J260" s="841"/>
      <c r="K260" s="822"/>
      <c r="L260" s="823"/>
      <c r="M260" s="824"/>
      <c r="N260" s="822"/>
    </row>
    <row r="261" spans="1:14" s="227" customFormat="1" ht="15" customHeight="1" x14ac:dyDescent="0.2">
      <c r="A261" s="227" t="s">
        <v>919</v>
      </c>
    </row>
    <row r="262" spans="1:14" s="227" customFormat="1" ht="12" customHeight="1" x14ac:dyDescent="0.2">
      <c r="A262" s="677" t="s">
        <v>23</v>
      </c>
      <c r="B262" s="677" t="s">
        <v>24</v>
      </c>
      <c r="C262" s="678" t="s">
        <v>886</v>
      </c>
      <c r="D262" s="626" t="s">
        <v>887</v>
      </c>
      <c r="E262" s="626" t="s">
        <v>888</v>
      </c>
      <c r="F262" s="680" t="s">
        <v>889</v>
      </c>
      <c r="G262" s="678" t="s">
        <v>890</v>
      </c>
      <c r="H262" s="626" t="s">
        <v>891</v>
      </c>
      <c r="I262" s="680" t="s">
        <v>62</v>
      </c>
      <c r="J262" s="678" t="s">
        <v>892</v>
      </c>
      <c r="K262" s="679" t="s">
        <v>893</v>
      </c>
      <c r="L262" s="803" t="s">
        <v>719</v>
      </c>
      <c r="M262" s="679" t="s">
        <v>894</v>
      </c>
      <c r="N262" s="680" t="s">
        <v>895</v>
      </c>
    </row>
    <row r="263" spans="1:14" s="227" customFormat="1" ht="12" customHeight="1" x14ac:dyDescent="0.2">
      <c r="A263" s="804" t="s">
        <v>825</v>
      </c>
      <c r="B263" s="804" t="s">
        <v>896</v>
      </c>
      <c r="C263" s="805">
        <v>3.9781</v>
      </c>
      <c r="D263" s="806">
        <v>1.1999999999999999E-3</v>
      </c>
      <c r="E263" s="806">
        <v>2.5999999999999999E-3</v>
      </c>
      <c r="F263" s="807">
        <v>2.8800000000000002E-3</v>
      </c>
      <c r="G263" s="808">
        <v>3.984</v>
      </c>
      <c r="H263" s="809">
        <v>1.2E-2</v>
      </c>
      <c r="I263" s="810">
        <v>2</v>
      </c>
      <c r="J263" s="805">
        <v>5.8999999999999999E-3</v>
      </c>
      <c r="K263" s="811">
        <v>1.5E-3</v>
      </c>
      <c r="L263" s="812">
        <v>2</v>
      </c>
      <c r="M263" s="813">
        <v>1.3299999999999999E-2</v>
      </c>
      <c r="N263" s="814">
        <v>3.3E-3</v>
      </c>
    </row>
    <row r="264" spans="1:14" s="227" customFormat="1" ht="11.1" customHeight="1" x14ac:dyDescent="0.2">
      <c r="A264" s="815" t="s">
        <v>897</v>
      </c>
      <c r="B264" s="815" t="s">
        <v>898</v>
      </c>
      <c r="C264" s="816">
        <v>3.9725999999999999</v>
      </c>
      <c r="D264" s="817">
        <v>1.1999999999999999E-3</v>
      </c>
      <c r="E264" s="817">
        <v>2.5999999999999999E-3</v>
      </c>
      <c r="F264" s="818">
        <v>2.8800000000000002E-3</v>
      </c>
      <c r="G264" s="819">
        <v>4.0019999999999998</v>
      </c>
      <c r="H264" s="820">
        <v>7.0000000000000007E-2</v>
      </c>
      <c r="I264" s="821">
        <v>2</v>
      </c>
      <c r="J264" s="816">
        <v>2.9399999999999999E-2</v>
      </c>
      <c r="K264" s="822">
        <v>7.4000000000000003E-3</v>
      </c>
      <c r="L264" s="823">
        <v>2</v>
      </c>
      <c r="M264" s="824">
        <v>7.0199999999999999E-2</v>
      </c>
      <c r="N264" s="825">
        <v>1.77E-2</v>
      </c>
    </row>
    <row r="265" spans="1:14" s="227" customFormat="1" ht="11.1" customHeight="1" x14ac:dyDescent="0.2">
      <c r="A265" s="815" t="s">
        <v>899</v>
      </c>
      <c r="B265" s="815" t="s">
        <v>900</v>
      </c>
      <c r="C265" s="816">
        <v>3.9805000000000001</v>
      </c>
      <c r="D265" s="817">
        <v>1.1999999999999999E-3</v>
      </c>
      <c r="E265" s="817">
        <v>2.5999999999999999E-3</v>
      </c>
      <c r="F265" s="818">
        <v>2.8700000000000002E-3</v>
      </c>
      <c r="G265" s="816">
        <v>5.1734</v>
      </c>
      <c r="H265" s="820">
        <v>2.3E-2</v>
      </c>
      <c r="I265" s="821">
        <v>2</v>
      </c>
      <c r="J265" s="816">
        <v>1.1930000000000001</v>
      </c>
      <c r="K265" s="822">
        <v>0.29970000000000002</v>
      </c>
      <c r="L265" s="823">
        <v>2</v>
      </c>
      <c r="M265" s="824">
        <v>2.3599999999999999E-2</v>
      </c>
      <c r="N265" s="825">
        <v>5.8999999999999999E-3</v>
      </c>
    </row>
    <row r="266" spans="1:14" s="227" customFormat="1" ht="11.1" customHeight="1" x14ac:dyDescent="0.2">
      <c r="A266" s="815" t="s">
        <v>901</v>
      </c>
      <c r="B266" s="815" t="s">
        <v>902</v>
      </c>
      <c r="C266" s="816">
        <v>3.996</v>
      </c>
      <c r="D266" s="817">
        <v>1.1999999999999999E-3</v>
      </c>
      <c r="E266" s="817">
        <v>2.5999999999999999E-3</v>
      </c>
      <c r="F266" s="818">
        <v>2.8700000000000002E-3</v>
      </c>
      <c r="G266" s="827">
        <v>3.96</v>
      </c>
      <c r="H266" s="820">
        <v>4.0000000000000001E-3</v>
      </c>
      <c r="I266" s="821">
        <v>2</v>
      </c>
      <c r="J266" s="816">
        <v>-3.5999999999999997E-2</v>
      </c>
      <c r="K266" s="822">
        <v>-8.9999999999999993E-3</v>
      </c>
      <c r="L266" s="823">
        <v>2</v>
      </c>
      <c r="M266" s="824">
        <v>7.0000000000000001E-3</v>
      </c>
      <c r="N266" s="825">
        <v>1.6999999999999999E-3</v>
      </c>
    </row>
    <row r="267" spans="1:14" s="227" customFormat="1" ht="11.1" customHeight="1" x14ac:dyDescent="0.2">
      <c r="A267" s="815" t="s">
        <v>903</v>
      </c>
      <c r="B267" s="815" t="s">
        <v>904</v>
      </c>
      <c r="C267" s="816">
        <v>4.0034000000000001</v>
      </c>
      <c r="D267" s="817">
        <v>1.1999999999999999E-3</v>
      </c>
      <c r="E267" s="817">
        <v>2.5999999999999999E-3</v>
      </c>
      <c r="F267" s="818">
        <v>2.8700000000000002E-3</v>
      </c>
      <c r="G267" s="816">
        <v>4.0141</v>
      </c>
      <c r="H267" s="817">
        <v>1.61E-2</v>
      </c>
      <c r="I267" s="821">
        <v>2</v>
      </c>
      <c r="J267" s="816">
        <v>1.0699999999999999E-2</v>
      </c>
      <c r="K267" s="822">
        <v>2.7000000000000001E-3</v>
      </c>
      <c r="L267" s="823">
        <v>2</v>
      </c>
      <c r="M267" s="824">
        <v>1.7100000000000001E-2</v>
      </c>
      <c r="N267" s="825">
        <v>4.3E-3</v>
      </c>
    </row>
    <row r="268" spans="1:14" s="227" customFormat="1" ht="11.1" customHeight="1" x14ac:dyDescent="0.2">
      <c r="A268" s="815" t="s">
        <v>905</v>
      </c>
      <c r="B268" s="815" t="s">
        <v>906</v>
      </c>
      <c r="C268" s="816">
        <v>4.0124000000000004</v>
      </c>
      <c r="D268" s="817">
        <v>1.1999999999999999E-3</v>
      </c>
      <c r="E268" s="817">
        <v>2.5999999999999999E-3</v>
      </c>
      <c r="F268" s="818">
        <v>2.8700000000000002E-3</v>
      </c>
      <c r="G268" s="819">
        <v>4.0110000000000001</v>
      </c>
      <c r="H268" s="820">
        <v>8.9999999999999993E-3</v>
      </c>
      <c r="I268" s="821">
        <v>2</v>
      </c>
      <c r="J268" s="816">
        <v>-1E-3</v>
      </c>
      <c r="K268" s="822">
        <v>-2.0000000000000001E-4</v>
      </c>
      <c r="L268" s="823">
        <v>2</v>
      </c>
      <c r="M268" s="824">
        <v>1.03E-2</v>
      </c>
      <c r="N268" s="825">
        <v>2.5999999999999999E-3</v>
      </c>
    </row>
    <row r="269" spans="1:14" s="227" customFormat="1" ht="11.1" customHeight="1" x14ac:dyDescent="0.2">
      <c r="A269" s="815" t="s">
        <v>907</v>
      </c>
      <c r="B269" s="815" t="s">
        <v>908</v>
      </c>
      <c r="C269" s="816">
        <v>3.9792999999999998</v>
      </c>
      <c r="D269" s="817">
        <v>1.1999999999999999E-3</v>
      </c>
      <c r="E269" s="817">
        <v>2.5999999999999999E-3</v>
      </c>
      <c r="F269" s="818">
        <v>2.8800000000000002E-3</v>
      </c>
      <c r="G269" s="819">
        <v>3.9849999999999999</v>
      </c>
      <c r="H269" s="820">
        <v>1.9E-2</v>
      </c>
      <c r="I269" s="821">
        <v>2</v>
      </c>
      <c r="J269" s="816">
        <v>5.7000000000000002E-3</v>
      </c>
      <c r="K269" s="822">
        <v>1.4E-3</v>
      </c>
      <c r="L269" s="823">
        <v>2</v>
      </c>
      <c r="M269" s="824">
        <v>1.9900000000000001E-2</v>
      </c>
      <c r="N269" s="825">
        <v>5.0000000000000001E-3</v>
      </c>
    </row>
    <row r="270" spans="1:14" s="227" customFormat="1" ht="11.1" customHeight="1" x14ac:dyDescent="0.2">
      <c r="A270" s="828" t="s">
        <v>909</v>
      </c>
      <c r="B270" s="828" t="s">
        <v>910</v>
      </c>
      <c r="C270" s="829">
        <v>3.9969999999999999</v>
      </c>
      <c r="D270" s="830">
        <v>1.1999999999999999E-3</v>
      </c>
      <c r="E270" s="830">
        <v>2.5999999999999999E-3</v>
      </c>
      <c r="F270" s="831">
        <v>2.8600000000000001E-3</v>
      </c>
      <c r="G270" s="832">
        <v>3.996</v>
      </c>
      <c r="H270" s="833">
        <v>1.7999999999999999E-2</v>
      </c>
      <c r="I270" s="834">
        <v>2</v>
      </c>
      <c r="J270" s="829">
        <v>-1E-3</v>
      </c>
      <c r="K270" s="835">
        <v>-2.0000000000000001E-4</v>
      </c>
      <c r="L270" s="836">
        <v>2</v>
      </c>
      <c r="M270" s="837">
        <v>1.89E-2</v>
      </c>
      <c r="N270" s="838">
        <v>4.7000000000000002E-3</v>
      </c>
    </row>
    <row r="271" spans="1:14" s="227" customFormat="1" ht="11.1" customHeight="1" x14ac:dyDescent="0.2">
      <c r="A271" s="839"/>
      <c r="B271" s="839"/>
      <c r="C271" s="824"/>
      <c r="D271" s="824"/>
      <c r="E271" s="824"/>
      <c r="F271" s="840"/>
      <c r="G271" s="841"/>
      <c r="H271" s="820"/>
      <c r="I271" s="842"/>
      <c r="J271" s="824"/>
      <c r="K271" s="822"/>
      <c r="L271" s="823"/>
      <c r="M271" s="824"/>
      <c r="N271" s="822"/>
    </row>
    <row r="272" spans="1:14" s="227" customFormat="1" ht="15" customHeight="1" x14ac:dyDescent="0.2">
      <c r="A272" s="227" t="s">
        <v>920</v>
      </c>
    </row>
    <row r="273" spans="1:14" s="227" customFormat="1" ht="12" customHeight="1" x14ac:dyDescent="0.2">
      <c r="A273" s="677" t="s">
        <v>23</v>
      </c>
      <c r="B273" s="677" t="s">
        <v>24</v>
      </c>
      <c r="C273" s="678" t="s">
        <v>886</v>
      </c>
      <c r="D273" s="679" t="s">
        <v>887</v>
      </c>
      <c r="E273" s="679" t="s">
        <v>888</v>
      </c>
      <c r="F273" s="680" t="s">
        <v>889</v>
      </c>
      <c r="G273" s="678" t="s">
        <v>890</v>
      </c>
      <c r="H273" s="679" t="s">
        <v>891</v>
      </c>
      <c r="I273" s="680" t="s">
        <v>62</v>
      </c>
      <c r="J273" s="678" t="s">
        <v>892</v>
      </c>
      <c r="K273" s="679" t="s">
        <v>893</v>
      </c>
      <c r="L273" s="803" t="s">
        <v>719</v>
      </c>
      <c r="M273" s="679" t="s">
        <v>894</v>
      </c>
      <c r="N273" s="680" t="s">
        <v>895</v>
      </c>
    </row>
    <row r="274" spans="1:14" s="227" customFormat="1" ht="12" customHeight="1" x14ac:dyDescent="0.2">
      <c r="A274" s="804" t="s">
        <v>825</v>
      </c>
      <c r="B274" s="804" t="s">
        <v>896</v>
      </c>
      <c r="C274" s="808">
        <v>54.854999999999997</v>
      </c>
      <c r="D274" s="809">
        <v>1.2E-2</v>
      </c>
      <c r="E274" s="809">
        <v>0.04</v>
      </c>
      <c r="F274" s="849">
        <v>4.2000000000000003E-2</v>
      </c>
      <c r="G274" s="808">
        <v>54.859000000000002</v>
      </c>
      <c r="H274" s="809">
        <v>3.2000000000000001E-2</v>
      </c>
      <c r="I274" s="810">
        <v>2</v>
      </c>
      <c r="J274" s="808">
        <v>4.0000000000000001E-3</v>
      </c>
      <c r="K274" s="811">
        <v>1E-4</v>
      </c>
      <c r="L274" s="812">
        <v>2</v>
      </c>
      <c r="M274" s="813">
        <v>8.9599999999999999E-2</v>
      </c>
      <c r="N274" s="814">
        <v>1.6000000000000001E-3</v>
      </c>
    </row>
    <row r="275" spans="1:14" s="227" customFormat="1" ht="11.1" customHeight="1" x14ac:dyDescent="0.2">
      <c r="A275" s="815" t="s">
        <v>897</v>
      </c>
      <c r="B275" s="815" t="s">
        <v>898</v>
      </c>
      <c r="C275" s="819">
        <v>54.758000000000003</v>
      </c>
      <c r="D275" s="820">
        <v>1.2E-2</v>
      </c>
      <c r="E275" s="820">
        <v>0.04</v>
      </c>
      <c r="F275" s="850">
        <v>4.2000000000000003E-2</v>
      </c>
      <c r="G275" s="819">
        <v>54.387999999999998</v>
      </c>
      <c r="H275" s="492">
        <v>0.77</v>
      </c>
      <c r="I275" s="821">
        <v>2</v>
      </c>
      <c r="J275" s="819">
        <v>-0.37</v>
      </c>
      <c r="K275" s="822">
        <v>-6.7000000000000002E-3</v>
      </c>
      <c r="L275" s="823">
        <v>2</v>
      </c>
      <c r="M275" s="824">
        <v>0.77159999999999995</v>
      </c>
      <c r="N275" s="825">
        <v>1.41E-2</v>
      </c>
    </row>
    <row r="276" spans="1:14" s="227" customFormat="1" ht="11.1" customHeight="1" x14ac:dyDescent="0.2">
      <c r="A276" s="815" t="s">
        <v>899</v>
      </c>
      <c r="B276" s="815" t="s">
        <v>900</v>
      </c>
      <c r="C276" s="819">
        <v>55.167999999999999</v>
      </c>
      <c r="D276" s="820">
        <v>1.2E-2</v>
      </c>
      <c r="E276" s="820">
        <v>0.04</v>
      </c>
      <c r="F276" s="850">
        <v>4.2000000000000003E-2</v>
      </c>
      <c r="G276" s="816">
        <v>60.162799999999997</v>
      </c>
      <c r="H276" s="820">
        <v>3.6999999999999998E-2</v>
      </c>
      <c r="I276" s="821">
        <v>2</v>
      </c>
      <c r="J276" s="819">
        <v>4.9950000000000001</v>
      </c>
      <c r="K276" s="822">
        <v>9.0499999999999997E-2</v>
      </c>
      <c r="L276" s="823">
        <v>2</v>
      </c>
      <c r="M276" s="824">
        <v>9.1399999999999995E-2</v>
      </c>
      <c r="N276" s="825">
        <v>1.6999999999999999E-3</v>
      </c>
    </row>
    <row r="277" spans="1:14" s="227" customFormat="1" ht="11.1" customHeight="1" x14ac:dyDescent="0.2">
      <c r="A277" s="815" t="s">
        <v>901</v>
      </c>
      <c r="B277" s="815" t="s">
        <v>902</v>
      </c>
      <c r="C277" s="819">
        <v>55.006</v>
      </c>
      <c r="D277" s="820">
        <v>1.2E-2</v>
      </c>
      <c r="E277" s="820">
        <v>0.04</v>
      </c>
      <c r="F277" s="850">
        <v>4.2000000000000003E-2</v>
      </c>
      <c r="G277" s="819">
        <v>55.207000000000001</v>
      </c>
      <c r="H277" s="820">
        <v>8.6999999999999994E-2</v>
      </c>
      <c r="I277" s="821">
        <v>2</v>
      </c>
      <c r="J277" s="819">
        <v>0.20100000000000001</v>
      </c>
      <c r="K277" s="822">
        <v>3.7000000000000002E-3</v>
      </c>
      <c r="L277" s="823">
        <v>2</v>
      </c>
      <c r="M277" s="824">
        <v>0.1205</v>
      </c>
      <c r="N277" s="825">
        <v>2.2000000000000001E-3</v>
      </c>
    </row>
    <row r="278" spans="1:14" s="227" customFormat="1" ht="11.1" customHeight="1" x14ac:dyDescent="0.2">
      <c r="A278" s="815" t="s">
        <v>903</v>
      </c>
      <c r="B278" s="815" t="s">
        <v>904</v>
      </c>
      <c r="C278" s="819">
        <v>55.05</v>
      </c>
      <c r="D278" s="820">
        <v>1.2E-2</v>
      </c>
      <c r="E278" s="820">
        <v>0.04</v>
      </c>
      <c r="F278" s="850">
        <v>4.2000000000000003E-2</v>
      </c>
      <c r="G278" s="819">
        <v>55.030999999999999</v>
      </c>
      <c r="H278" s="492">
        <v>0.08</v>
      </c>
      <c r="I278" s="821">
        <v>2</v>
      </c>
      <c r="J278" s="819">
        <v>-1.9E-2</v>
      </c>
      <c r="K278" s="822">
        <v>-2.9999999999999997E-4</v>
      </c>
      <c r="L278" s="823">
        <v>2</v>
      </c>
      <c r="M278" s="824">
        <v>0.1163</v>
      </c>
      <c r="N278" s="825">
        <v>2.0999999999999999E-3</v>
      </c>
    </row>
    <row r="279" spans="1:14" s="227" customFormat="1" ht="11.1" customHeight="1" x14ac:dyDescent="0.2">
      <c r="A279" s="815" t="s">
        <v>905</v>
      </c>
      <c r="B279" s="815" t="s">
        <v>906</v>
      </c>
      <c r="C279" s="819">
        <v>54.912999999999997</v>
      </c>
      <c r="D279" s="820">
        <v>1.2E-2</v>
      </c>
      <c r="E279" s="820">
        <v>0.04</v>
      </c>
      <c r="F279" s="850">
        <v>4.2000000000000003E-2</v>
      </c>
      <c r="G279" s="827">
        <v>54.9</v>
      </c>
      <c r="H279" s="492">
        <v>0.11</v>
      </c>
      <c r="I279" s="821">
        <v>2</v>
      </c>
      <c r="J279" s="819">
        <v>-1.2999999999999999E-2</v>
      </c>
      <c r="K279" s="822">
        <v>-2.0000000000000001E-4</v>
      </c>
      <c r="L279" s="823">
        <v>2</v>
      </c>
      <c r="M279" s="824">
        <v>0.1381</v>
      </c>
      <c r="N279" s="825">
        <v>2.5000000000000001E-3</v>
      </c>
    </row>
    <row r="280" spans="1:14" s="227" customFormat="1" ht="11.1" customHeight="1" x14ac:dyDescent="0.2">
      <c r="A280" s="815" t="s">
        <v>907</v>
      </c>
      <c r="B280" s="815" t="s">
        <v>908</v>
      </c>
      <c r="C280" s="819">
        <v>54.835999999999999</v>
      </c>
      <c r="D280" s="820">
        <v>1.2E-2</v>
      </c>
      <c r="E280" s="820">
        <v>0.04</v>
      </c>
      <c r="F280" s="850">
        <v>4.2000000000000003E-2</v>
      </c>
      <c r="G280" s="827">
        <v>54.77</v>
      </c>
      <c r="H280" s="492">
        <v>0.09</v>
      </c>
      <c r="I280" s="821">
        <v>2</v>
      </c>
      <c r="J280" s="819">
        <v>-7.0999999999999994E-2</v>
      </c>
      <c r="K280" s="822">
        <v>-1.2999999999999999E-3</v>
      </c>
      <c r="L280" s="823">
        <v>2</v>
      </c>
      <c r="M280" s="824">
        <v>0.1237</v>
      </c>
      <c r="N280" s="825">
        <v>2.3E-3</v>
      </c>
    </row>
    <row r="281" spans="1:14" s="227" customFormat="1" ht="11.1" customHeight="1" x14ac:dyDescent="0.2">
      <c r="A281" s="828" t="s">
        <v>909</v>
      </c>
      <c r="B281" s="828" t="s">
        <v>910</v>
      </c>
      <c r="C281" s="832">
        <v>55.029000000000003</v>
      </c>
      <c r="D281" s="833">
        <v>1.2E-2</v>
      </c>
      <c r="E281" s="833">
        <v>0.04</v>
      </c>
      <c r="F281" s="851">
        <v>4.2000000000000003E-2</v>
      </c>
      <c r="G281" s="832">
        <v>55.036000000000001</v>
      </c>
      <c r="H281" s="833">
        <v>0.14000000000000001</v>
      </c>
      <c r="I281" s="834">
        <v>2</v>
      </c>
      <c r="J281" s="832">
        <v>7.0000000000000001E-3</v>
      </c>
      <c r="K281" s="835">
        <v>1E-4</v>
      </c>
      <c r="L281" s="836">
        <v>2</v>
      </c>
      <c r="M281" s="837">
        <v>0.16300000000000001</v>
      </c>
      <c r="N281" s="838">
        <v>3.0000000000000001E-3</v>
      </c>
    </row>
  </sheetData>
  <sheetProtection sheet="1" formatCells="0" formatColumns="0" formatRows="0"/>
  <mergeCells count="39">
    <mergeCell ref="A5:B5"/>
    <mergeCell ref="C5:D5"/>
    <mergeCell ref="A6:B6"/>
    <mergeCell ref="C6:D6"/>
    <mergeCell ref="A7:B7"/>
    <mergeCell ref="C7:D7"/>
    <mergeCell ref="A8:B8"/>
    <mergeCell ref="C8:D8"/>
    <mergeCell ref="A9:B9"/>
    <mergeCell ref="C9:D9"/>
    <mergeCell ref="A10:B10"/>
    <mergeCell ref="C10:D10"/>
    <mergeCell ref="A11:B11"/>
    <mergeCell ref="C11:D11"/>
    <mergeCell ref="A12:B12"/>
    <mergeCell ref="C12:D12"/>
    <mergeCell ref="A13:B13"/>
    <mergeCell ref="C13:D13"/>
    <mergeCell ref="A27:B27"/>
    <mergeCell ref="A14:B14"/>
    <mergeCell ref="C14:D14"/>
    <mergeCell ref="A15:B15"/>
    <mergeCell ref="C15:D15"/>
    <mergeCell ref="A16:B16"/>
    <mergeCell ref="C16:D16"/>
    <mergeCell ref="A22:C22"/>
    <mergeCell ref="A23:B23"/>
    <mergeCell ref="A24:B24"/>
    <mergeCell ref="A25:B25"/>
    <mergeCell ref="A26:B26"/>
    <mergeCell ref="A34:B34"/>
    <mergeCell ref="A35:B35"/>
    <mergeCell ref="A36:B36"/>
    <mergeCell ref="A28:B28"/>
    <mergeCell ref="A29:B29"/>
    <mergeCell ref="A30:B30"/>
    <mergeCell ref="A31:B31"/>
    <mergeCell ref="A32:B32"/>
    <mergeCell ref="A33:B33"/>
  </mergeCells>
  <phoneticPr fontId="4"/>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D9E63-3F24-4186-BEBD-11AB4B6DC336}">
  <dimension ref="A1:Z145"/>
  <sheetViews>
    <sheetView zoomScale="160" zoomScaleNormal="160" workbookViewId="0">
      <selection activeCell="R15" sqref="R15"/>
    </sheetView>
  </sheetViews>
  <sheetFormatPr defaultColWidth="9.33203125" defaultRowHeight="12.75" x14ac:dyDescent="0.2"/>
  <cols>
    <col min="1" max="2" width="9.33203125" style="1"/>
    <col min="3" max="7" width="10.1640625" style="1" customWidth="1"/>
    <col min="8" max="8" width="9.33203125" style="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921</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922</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27" customFormat="1" ht="15" customHeight="1" x14ac:dyDescent="0.2">
      <c r="A6" s="574" t="s">
        <v>923</v>
      </c>
      <c r="N6" s="113"/>
      <c r="O6" s="113"/>
      <c r="P6" s="2"/>
      <c r="Q6" s="2"/>
      <c r="R6" s="113"/>
      <c r="S6" s="113"/>
    </row>
    <row r="7" spans="1:25" s="227" customFormat="1" ht="15.95" customHeight="1" x14ac:dyDescent="0.2">
      <c r="A7" s="227" t="s">
        <v>924</v>
      </c>
      <c r="N7" s="113"/>
      <c r="O7" s="113"/>
      <c r="P7" s="2"/>
      <c r="Q7" s="2"/>
      <c r="R7" s="113"/>
      <c r="S7" s="113"/>
    </row>
    <row r="8" spans="1:25" s="227" customFormat="1" ht="15.95" customHeight="1" x14ac:dyDescent="0.2">
      <c r="A8" s="227" t="s">
        <v>925</v>
      </c>
      <c r="N8" s="113"/>
      <c r="O8" s="113"/>
      <c r="P8" s="2"/>
      <c r="Q8" s="2"/>
      <c r="R8" s="113"/>
      <c r="S8" s="113"/>
    </row>
    <row r="9" spans="1:25" s="227" customFormat="1" ht="15" customHeight="1" x14ac:dyDescent="0.2">
      <c r="A9" s="852" t="s">
        <v>926</v>
      </c>
      <c r="N9" s="113"/>
      <c r="O9" s="113"/>
      <c r="P9" s="2"/>
      <c r="Q9" s="2"/>
      <c r="R9" s="113"/>
      <c r="S9" s="113"/>
    </row>
    <row r="10" spans="1:25" s="227" customFormat="1" ht="15" customHeight="1" x14ac:dyDescent="0.2">
      <c r="A10" s="574" t="s">
        <v>927</v>
      </c>
      <c r="N10" s="113"/>
      <c r="O10" s="113"/>
      <c r="P10" s="1"/>
      <c r="Q10" s="1"/>
      <c r="R10" s="113"/>
      <c r="S10" s="113"/>
    </row>
    <row r="11" spans="1:25" s="227" customFormat="1" ht="15" customHeight="1" x14ac:dyDescent="0.2">
      <c r="A11" s="853" t="s">
        <v>928</v>
      </c>
      <c r="N11" s="113"/>
      <c r="O11" s="113"/>
      <c r="P11" s="1"/>
      <c r="Q11" s="1"/>
      <c r="R11" s="113"/>
      <c r="S11" s="113"/>
    </row>
    <row r="12" spans="1:25" s="227" customFormat="1" ht="15" customHeight="1" x14ac:dyDescent="0.2">
      <c r="A12" s="227" t="s">
        <v>929</v>
      </c>
      <c r="N12" s="113"/>
      <c r="O12" s="113"/>
      <c r="P12" s="1"/>
      <c r="Q12" s="1"/>
      <c r="R12" s="113"/>
      <c r="S12" s="113"/>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
        <v>197</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12</v>
      </c>
      <c r="N16" s="104" t="s">
        <v>1058</v>
      </c>
      <c r="O16" s="104" t="s">
        <v>100</v>
      </c>
      <c r="P16" s="6" t="s">
        <v>105</v>
      </c>
      <c r="Q16" s="6" t="s">
        <v>106</v>
      </c>
      <c r="R16" s="104" t="s">
        <v>1051</v>
      </c>
      <c r="S16" s="104" t="s">
        <v>1052</v>
      </c>
      <c r="T16" s="147" t="s">
        <v>80</v>
      </c>
      <c r="U16" s="147" t="s">
        <v>81</v>
      </c>
      <c r="V16" s="5" t="s">
        <v>101</v>
      </c>
      <c r="W16" s="5" t="s">
        <v>102</v>
      </c>
      <c r="X16" s="112" t="s">
        <v>103</v>
      </c>
      <c r="Y16" s="112" t="s">
        <v>104</v>
      </c>
    </row>
    <row r="17" spans="1:25" x14ac:dyDescent="0.2">
      <c r="A17" s="213" t="str">
        <f>A36</f>
        <v>KRISS</v>
      </c>
      <c r="B17" s="213" t="str">
        <f>B36</f>
        <v>D 929248</v>
      </c>
      <c r="C17" s="219">
        <f t="shared" ref="C17:H17" si="0">C36*0.001</f>
        <v>1.7975999999999999</v>
      </c>
      <c r="D17" s="219">
        <f t="shared" si="0"/>
        <v>6.8999999999999997E-4</v>
      </c>
      <c r="E17" s="219">
        <f t="shared" si="0"/>
        <v>1.7970999999999999</v>
      </c>
      <c r="F17" s="219">
        <f t="shared" si="0"/>
        <v>5.0000000000000001E-4</v>
      </c>
      <c r="G17" s="219">
        <f t="shared" si="0"/>
        <v>-5.0000000000000001E-4</v>
      </c>
      <c r="H17" s="219">
        <f t="shared" si="0"/>
        <v>8.4999999999999995E-4</v>
      </c>
      <c r="I17" s="155">
        <f t="shared" ref="I17:I32" si="1">IF(ABS(G17)&gt;ABS(H17), 1, 0)</f>
        <v>0</v>
      </c>
      <c r="J17" s="155">
        <f t="shared" ref="J17:J32" si="2">I17*ABS(C17-E17)</f>
        <v>0</v>
      </c>
      <c r="K17" s="155">
        <f t="shared" ref="K17:K32" si="3">SQRT(SUMSQ(F17,J17))*2</f>
        <v>1E-3</v>
      </c>
      <c r="L17" s="155">
        <f t="shared" ref="L17:L32" si="4">IF(C17&lt;$K$2, C17, $K$1)</f>
        <v>10</v>
      </c>
      <c r="M17" s="156">
        <f t="shared" ref="M17:M32" si="5">IF(AND(C17&lt;$K$1,C17&gt; $K$2), K17/L17*100, K17/C17*100)</f>
        <v>0.01</v>
      </c>
      <c r="N17" s="157">
        <f t="shared" ref="N17" si="6">M17*L17/100</f>
        <v>1E-3</v>
      </c>
      <c r="O17" s="155">
        <f t="shared" ref="O17" si="7">N17/(M17*L17/100)*100</f>
        <v>100</v>
      </c>
      <c r="P17" s="250">
        <v>1</v>
      </c>
      <c r="Q17" s="250">
        <v>1000</v>
      </c>
      <c r="R17" s="148">
        <f>IF( IF(P17&lt;L17, M17*L17/P17, M17)&gt;100, "ERROR",  IF(P17&lt;L17, M17*L17/P17, M17))</f>
        <v>0.1</v>
      </c>
      <c r="S17" s="148">
        <f>IF(IF(Q17&lt;L17, M17*L17/Q17, M17)&gt;100, "ERROR", IF(Q17&lt;L17, M17*L17/Q17, M17))</f>
        <v>0.01</v>
      </c>
      <c r="T17" s="148">
        <f>R17*P17*0.01</f>
        <v>1E-3</v>
      </c>
      <c r="U17" s="148">
        <f>S17*Q17*0.01</f>
        <v>0.1</v>
      </c>
      <c r="V17" s="7">
        <f>P17*1000</f>
        <v>1000</v>
      </c>
      <c r="W17" s="7">
        <f>Q17*1000</f>
        <v>1000000</v>
      </c>
      <c r="X17" s="1345">
        <f>T17*1000</f>
        <v>1</v>
      </c>
      <c r="Y17" s="1345">
        <f>U17*1000</f>
        <v>100</v>
      </c>
    </row>
    <row r="18" spans="1:25" x14ac:dyDescent="0.2">
      <c r="A18" s="213" t="str">
        <f t="shared" ref="A18:B18" si="8">A37</f>
        <v>KRISS</v>
      </c>
      <c r="B18" s="213" t="str">
        <f t="shared" si="8"/>
        <v>D 985705</v>
      </c>
      <c r="C18" s="219">
        <f t="shared" ref="C18:H18" si="9">C37*0.001</f>
        <v>2.2021999999999999</v>
      </c>
      <c r="D18" s="219">
        <f t="shared" si="9"/>
        <v>7.1000000000000002E-4</v>
      </c>
      <c r="E18" s="219">
        <f t="shared" si="9"/>
        <v>2.2009000000000003</v>
      </c>
      <c r="F18" s="219">
        <f t="shared" si="9"/>
        <v>5.9999999999999995E-4</v>
      </c>
      <c r="G18" s="219">
        <f t="shared" si="9"/>
        <v>-1.3000000000000002E-3</v>
      </c>
      <c r="H18" s="219">
        <f t="shared" si="9"/>
        <v>9.3000000000000005E-4</v>
      </c>
      <c r="I18" s="155">
        <f t="shared" si="1"/>
        <v>1</v>
      </c>
      <c r="J18" s="155">
        <f t="shared" si="2"/>
        <v>1.2999999999996348E-3</v>
      </c>
      <c r="K18" s="155">
        <f t="shared" si="3"/>
        <v>2.8635642126546073E-3</v>
      </c>
      <c r="L18" s="155">
        <f t="shared" si="4"/>
        <v>10</v>
      </c>
      <c r="M18" s="156">
        <f t="shared" si="5"/>
        <v>2.8635642126546075E-2</v>
      </c>
      <c r="N18" s="157">
        <f t="shared" ref="N18:N32" si="10">M18*L18/100</f>
        <v>2.8635642126546073E-3</v>
      </c>
      <c r="O18" s="155">
        <f t="shared" ref="O18:O32" si="11">N18/(M18*L18/100)*100</f>
        <v>100</v>
      </c>
      <c r="P18" s="250">
        <v>1</v>
      </c>
      <c r="Q18" s="250">
        <v>1000</v>
      </c>
      <c r="R18" s="148">
        <f t="shared" ref="R18:R32" si="12">IF( IF(P18&lt;L18, M18*L18/P18, M18)&gt;100, "ERROR",  IF(P18&lt;L18, M18*L18/P18, M18))</f>
        <v>0.28635642126546074</v>
      </c>
      <c r="S18" s="148">
        <f t="shared" ref="S18:S32" si="13">IF(IF(Q18&lt;L18, M18*L18/Q18, M18)&gt;100, "ERROR", IF(Q18&lt;L18, M18*L18/Q18, M18))</f>
        <v>2.8635642126546075E-2</v>
      </c>
      <c r="T18" s="148">
        <f t="shared" ref="T18:U32" si="14">R18*P18*0.01</f>
        <v>2.8635642126546073E-3</v>
      </c>
      <c r="U18" s="148">
        <f t="shared" si="14"/>
        <v>0.28635642126546074</v>
      </c>
      <c r="V18" s="7">
        <f t="shared" ref="V18:W32" si="15">P18*1000</f>
        <v>1000</v>
      </c>
      <c r="W18" s="7">
        <f t="shared" si="15"/>
        <v>1000000</v>
      </c>
      <c r="X18" s="1345">
        <f t="shared" ref="X18:Y32" si="16">T18*1000</f>
        <v>2.8635642126546075</v>
      </c>
      <c r="Y18" s="1345">
        <f t="shared" si="16"/>
        <v>286.35642126546071</v>
      </c>
    </row>
    <row r="19" spans="1:25" x14ac:dyDescent="0.2">
      <c r="A19" s="213" t="str">
        <f t="shared" ref="A19:B19" si="17">A38</f>
        <v>NIM</v>
      </c>
      <c r="B19" s="213" t="str">
        <f t="shared" si="17"/>
        <v>CAL017763</v>
      </c>
      <c r="C19" s="219">
        <f t="shared" ref="C19:H19" si="18">C38*0.001</f>
        <v>1.8255999999999999</v>
      </c>
      <c r="D19" s="219">
        <f t="shared" si="18"/>
        <v>6.7000000000000002E-4</v>
      </c>
      <c r="E19" s="219">
        <f t="shared" si="18"/>
        <v>1.8252000000000002</v>
      </c>
      <c r="F19" s="219">
        <f t="shared" si="18"/>
        <v>8.4999999999999995E-4</v>
      </c>
      <c r="G19" s="219">
        <f t="shared" si="18"/>
        <v>-4.0000000000000002E-4</v>
      </c>
      <c r="H19" s="219">
        <f t="shared" si="18"/>
        <v>1.08E-3</v>
      </c>
      <c r="I19" s="155">
        <f t="shared" si="1"/>
        <v>0</v>
      </c>
      <c r="J19" s="155">
        <f t="shared" si="2"/>
        <v>0</v>
      </c>
      <c r="K19" s="155">
        <f t="shared" si="3"/>
        <v>1.6999999999999999E-3</v>
      </c>
      <c r="L19" s="155">
        <f t="shared" si="4"/>
        <v>10</v>
      </c>
      <c r="M19" s="156">
        <f t="shared" si="5"/>
        <v>1.6999999999999998E-2</v>
      </c>
      <c r="N19" s="157">
        <f t="shared" si="10"/>
        <v>1.6999999999999999E-3</v>
      </c>
      <c r="O19" s="155">
        <f t="shared" si="11"/>
        <v>100</v>
      </c>
      <c r="P19" s="250">
        <v>1</v>
      </c>
      <c r="Q19" s="250">
        <v>1000</v>
      </c>
      <c r="R19" s="148">
        <f t="shared" si="12"/>
        <v>0.16999999999999998</v>
      </c>
      <c r="S19" s="148">
        <f t="shared" si="13"/>
        <v>1.6999999999999998E-2</v>
      </c>
      <c r="T19" s="148">
        <f t="shared" si="14"/>
        <v>1.6999999999999999E-3</v>
      </c>
      <c r="U19" s="148">
        <f t="shared" si="14"/>
        <v>0.16999999999999996</v>
      </c>
      <c r="V19" s="7">
        <f t="shared" si="15"/>
        <v>1000</v>
      </c>
      <c r="W19" s="7">
        <f t="shared" si="15"/>
        <v>1000000</v>
      </c>
      <c r="X19" s="1345">
        <f t="shared" si="16"/>
        <v>1.7</v>
      </c>
      <c r="Y19" s="1345">
        <f t="shared" si="16"/>
        <v>169.99999999999994</v>
      </c>
    </row>
    <row r="20" spans="1:25" x14ac:dyDescent="0.2">
      <c r="A20" s="213" t="str">
        <f t="shared" ref="A20:B20" si="19">A39</f>
        <v>NIM</v>
      </c>
      <c r="B20" s="213" t="str">
        <f t="shared" si="19"/>
        <v>CAL017790</v>
      </c>
      <c r="C20" s="219">
        <f t="shared" ref="C20:H20" si="20">C39*0.001</f>
        <v>2.194</v>
      </c>
      <c r="D20" s="219">
        <f t="shared" si="20"/>
        <v>6.9999999999999999E-4</v>
      </c>
      <c r="E20" s="219">
        <f t="shared" si="20"/>
        <v>2.1938000000000004</v>
      </c>
      <c r="F20" s="219">
        <f t="shared" si="20"/>
        <v>1E-3</v>
      </c>
      <c r="G20" s="219">
        <f t="shared" si="20"/>
        <v>-2.0000000000000001E-4</v>
      </c>
      <c r="H20" s="219">
        <f t="shared" si="20"/>
        <v>1.2199999999999999E-3</v>
      </c>
      <c r="I20" s="155">
        <f t="shared" si="1"/>
        <v>0</v>
      </c>
      <c r="J20" s="155">
        <f t="shared" si="2"/>
        <v>0</v>
      </c>
      <c r="K20" s="155">
        <f t="shared" si="3"/>
        <v>2E-3</v>
      </c>
      <c r="L20" s="155">
        <f t="shared" si="4"/>
        <v>10</v>
      </c>
      <c r="M20" s="156">
        <f t="shared" si="5"/>
        <v>0.02</v>
      </c>
      <c r="N20" s="157">
        <f t="shared" si="10"/>
        <v>2E-3</v>
      </c>
      <c r="O20" s="155">
        <f t="shared" si="11"/>
        <v>100</v>
      </c>
      <c r="P20" s="250">
        <v>1</v>
      </c>
      <c r="Q20" s="250">
        <v>1000</v>
      </c>
      <c r="R20" s="148">
        <f t="shared" si="12"/>
        <v>0.2</v>
      </c>
      <c r="S20" s="148">
        <f t="shared" si="13"/>
        <v>0.02</v>
      </c>
      <c r="T20" s="148">
        <f t="shared" si="14"/>
        <v>2E-3</v>
      </c>
      <c r="U20" s="148">
        <f t="shared" si="14"/>
        <v>0.2</v>
      </c>
      <c r="V20" s="7">
        <f t="shared" si="15"/>
        <v>1000</v>
      </c>
      <c r="W20" s="7">
        <f t="shared" si="15"/>
        <v>1000000</v>
      </c>
      <c r="X20" s="1345">
        <f t="shared" si="16"/>
        <v>2</v>
      </c>
      <c r="Y20" s="1345">
        <f t="shared" si="16"/>
        <v>200</v>
      </c>
    </row>
    <row r="21" spans="1:25" x14ac:dyDescent="0.2">
      <c r="A21" s="213" t="str">
        <f t="shared" ref="A21:B21" si="21">A40</f>
        <v>NIST</v>
      </c>
      <c r="B21" s="213" t="str">
        <f t="shared" si="21"/>
        <v>FB03569</v>
      </c>
      <c r="C21" s="219">
        <f t="shared" ref="C21:H21" si="22">C40*0.001</f>
        <v>1.7968</v>
      </c>
      <c r="D21" s="219">
        <f t="shared" si="22"/>
        <v>6.8999999999999997E-4</v>
      </c>
      <c r="E21" s="219">
        <f t="shared" si="22"/>
        <v>1.7967600000000001</v>
      </c>
      <c r="F21" s="219">
        <f t="shared" si="22"/>
        <v>8.4999999999999995E-4</v>
      </c>
      <c r="G21" s="219">
        <f t="shared" si="22"/>
        <v>-4.0000000000000003E-5</v>
      </c>
      <c r="H21" s="219">
        <f t="shared" si="22"/>
        <v>1.09E-3</v>
      </c>
      <c r="I21" s="155">
        <f t="shared" si="1"/>
        <v>0</v>
      </c>
      <c r="J21" s="155">
        <f t="shared" si="2"/>
        <v>0</v>
      </c>
      <c r="K21" s="155">
        <f t="shared" si="3"/>
        <v>1.6999999999999999E-3</v>
      </c>
      <c r="L21" s="155">
        <f t="shared" si="4"/>
        <v>10</v>
      </c>
      <c r="M21" s="156">
        <f t="shared" si="5"/>
        <v>1.6999999999999998E-2</v>
      </c>
      <c r="N21" s="157">
        <f t="shared" si="10"/>
        <v>1.6999999999999999E-3</v>
      </c>
      <c r="O21" s="155">
        <f t="shared" si="11"/>
        <v>100</v>
      </c>
      <c r="P21" s="250">
        <v>1</v>
      </c>
      <c r="Q21" s="250">
        <v>1000</v>
      </c>
      <c r="R21" s="148">
        <f t="shared" si="12"/>
        <v>0.16999999999999998</v>
      </c>
      <c r="S21" s="148">
        <f t="shared" si="13"/>
        <v>1.6999999999999998E-2</v>
      </c>
      <c r="T21" s="148">
        <f t="shared" si="14"/>
        <v>1.6999999999999999E-3</v>
      </c>
      <c r="U21" s="148">
        <f t="shared" si="14"/>
        <v>0.16999999999999996</v>
      </c>
      <c r="V21" s="7">
        <f t="shared" si="15"/>
        <v>1000</v>
      </c>
      <c r="W21" s="7">
        <f t="shared" si="15"/>
        <v>1000000</v>
      </c>
      <c r="X21" s="1345">
        <f t="shared" si="16"/>
        <v>1.7</v>
      </c>
      <c r="Y21" s="1345">
        <f t="shared" si="16"/>
        <v>169.99999999999994</v>
      </c>
    </row>
    <row r="22" spans="1:25" x14ac:dyDescent="0.2">
      <c r="A22" s="213" t="str">
        <f t="shared" ref="A22:B22" si="23">A41</f>
        <v>NIST</v>
      </c>
      <c r="B22" s="213" t="str">
        <f t="shared" si="23"/>
        <v>FB03587</v>
      </c>
      <c r="C22" s="219">
        <f t="shared" ref="C22:H22" si="24">C41*0.001</f>
        <v>2.1945999999999999</v>
      </c>
      <c r="D22" s="219">
        <f t="shared" si="24"/>
        <v>6.9999999999999999E-4</v>
      </c>
      <c r="E22" s="219">
        <f t="shared" si="24"/>
        <v>2.1959599999999999</v>
      </c>
      <c r="F22" s="219">
        <f t="shared" si="24"/>
        <v>8.4000000000000003E-4</v>
      </c>
      <c r="G22" s="219">
        <f t="shared" si="24"/>
        <v>1.3600000000000001E-3</v>
      </c>
      <c r="H22" s="219">
        <f t="shared" si="24"/>
        <v>1.09E-3</v>
      </c>
      <c r="I22" s="155">
        <f t="shared" si="1"/>
        <v>1</v>
      </c>
      <c r="J22" s="155">
        <f t="shared" si="2"/>
        <v>1.3600000000000279E-3</v>
      </c>
      <c r="K22" s="155">
        <f t="shared" si="3"/>
        <v>3.1969985924301413E-3</v>
      </c>
      <c r="L22" s="155">
        <f t="shared" si="4"/>
        <v>10</v>
      </c>
      <c r="M22" s="156">
        <f t="shared" si="5"/>
        <v>3.1969985924301413E-2</v>
      </c>
      <c r="N22" s="157">
        <f t="shared" si="10"/>
        <v>3.1969985924301413E-3</v>
      </c>
      <c r="O22" s="155">
        <f t="shared" si="11"/>
        <v>100</v>
      </c>
      <c r="P22" s="250">
        <v>1</v>
      </c>
      <c r="Q22" s="250">
        <v>1000</v>
      </c>
      <c r="R22" s="148">
        <f t="shared" si="12"/>
        <v>0.31969985924301414</v>
      </c>
      <c r="S22" s="148">
        <f t="shared" si="13"/>
        <v>3.1969985924301413E-2</v>
      </c>
      <c r="T22" s="148">
        <f t="shared" si="14"/>
        <v>3.1969985924301413E-3</v>
      </c>
      <c r="U22" s="148">
        <f t="shared" si="14"/>
        <v>0.31969985924301414</v>
      </c>
      <c r="V22" s="7">
        <f t="shared" si="15"/>
        <v>1000</v>
      </c>
      <c r="W22" s="7">
        <f t="shared" si="15"/>
        <v>1000000</v>
      </c>
      <c r="X22" s="1345">
        <f t="shared" si="16"/>
        <v>3.1969985924301412</v>
      </c>
      <c r="Y22" s="1345">
        <f t="shared" si="16"/>
        <v>319.69985924301415</v>
      </c>
    </row>
    <row r="23" spans="1:25" x14ac:dyDescent="0.2">
      <c r="A23" s="213" t="str">
        <f t="shared" ref="A23:B23" si="25">A42</f>
        <v>NMIJ</v>
      </c>
      <c r="B23" s="213" t="str">
        <f t="shared" si="25"/>
        <v>CPB-28035</v>
      </c>
      <c r="C23" s="219">
        <f t="shared" ref="C23:H23" si="26">C42*0.001</f>
        <v>1.7964000000000002</v>
      </c>
      <c r="D23" s="219">
        <f t="shared" si="26"/>
        <v>6.8999999999999997E-4</v>
      </c>
      <c r="E23" s="219">
        <f t="shared" si="26"/>
        <v>1.7972999999999999</v>
      </c>
      <c r="F23" s="219">
        <f t="shared" si="26"/>
        <v>6.5000000000000008E-4</v>
      </c>
      <c r="G23" s="219">
        <f t="shared" si="26"/>
        <v>9.0000000000000008E-4</v>
      </c>
      <c r="H23" s="219">
        <f t="shared" si="26"/>
        <v>9.5E-4</v>
      </c>
      <c r="I23" s="155">
        <f t="shared" si="1"/>
        <v>0</v>
      </c>
      <c r="J23" s="155">
        <f t="shared" si="2"/>
        <v>0</v>
      </c>
      <c r="K23" s="155">
        <f t="shared" si="3"/>
        <v>1.3000000000000002E-3</v>
      </c>
      <c r="L23" s="155">
        <f t="shared" si="4"/>
        <v>10</v>
      </c>
      <c r="M23" s="156">
        <f t="shared" si="5"/>
        <v>1.3000000000000001E-2</v>
      </c>
      <c r="N23" s="157">
        <f t="shared" si="10"/>
        <v>1.2999999999999999E-3</v>
      </c>
      <c r="O23" s="155">
        <f t="shared" si="11"/>
        <v>100</v>
      </c>
      <c r="P23" s="250">
        <v>1</v>
      </c>
      <c r="Q23" s="250">
        <v>1000</v>
      </c>
      <c r="R23" s="148">
        <f t="shared" si="12"/>
        <v>0.13</v>
      </c>
      <c r="S23" s="148">
        <f t="shared" si="13"/>
        <v>1.3000000000000001E-2</v>
      </c>
      <c r="T23" s="148">
        <f t="shared" si="14"/>
        <v>1.3000000000000002E-3</v>
      </c>
      <c r="U23" s="148">
        <f t="shared" si="14"/>
        <v>0.13000000000000003</v>
      </c>
      <c r="V23" s="7">
        <f t="shared" si="15"/>
        <v>1000</v>
      </c>
      <c r="W23" s="7">
        <f t="shared" si="15"/>
        <v>1000000</v>
      </c>
      <c r="X23" s="1345">
        <f t="shared" si="16"/>
        <v>1.3000000000000003</v>
      </c>
      <c r="Y23" s="1345">
        <f t="shared" si="16"/>
        <v>130.00000000000003</v>
      </c>
    </row>
    <row r="24" spans="1:25" x14ac:dyDescent="0.2">
      <c r="A24" s="213" t="str">
        <f t="shared" ref="A24:B24" si="27">A43</f>
        <v>NMIJ</v>
      </c>
      <c r="B24" s="213" t="str">
        <f t="shared" si="27"/>
        <v>CPB-28219</v>
      </c>
      <c r="C24" s="219">
        <f t="shared" ref="C24:H24" si="28">C43*0.001</f>
        <v>2.1975000000000002</v>
      </c>
      <c r="D24" s="219">
        <f t="shared" si="28"/>
        <v>6.9999999999999999E-4</v>
      </c>
      <c r="E24" s="219">
        <f t="shared" si="28"/>
        <v>2.1983000000000001</v>
      </c>
      <c r="F24" s="219">
        <f t="shared" si="28"/>
        <v>6.5000000000000008E-4</v>
      </c>
      <c r="G24" s="219">
        <f t="shared" si="28"/>
        <v>8.0000000000000004E-4</v>
      </c>
      <c r="H24" s="219">
        <f t="shared" si="28"/>
        <v>9.6000000000000002E-4</v>
      </c>
      <c r="I24" s="155">
        <f t="shared" si="1"/>
        <v>0</v>
      </c>
      <c r="J24" s="155">
        <f t="shared" si="2"/>
        <v>0</v>
      </c>
      <c r="K24" s="155">
        <f t="shared" si="3"/>
        <v>1.3000000000000002E-3</v>
      </c>
      <c r="L24" s="155">
        <f t="shared" si="4"/>
        <v>10</v>
      </c>
      <c r="M24" s="156">
        <f t="shared" si="5"/>
        <v>1.3000000000000001E-2</v>
      </c>
      <c r="N24" s="157">
        <f t="shared" si="10"/>
        <v>1.2999999999999999E-3</v>
      </c>
      <c r="O24" s="155">
        <f t="shared" si="11"/>
        <v>100</v>
      </c>
      <c r="P24" s="250">
        <v>1</v>
      </c>
      <c r="Q24" s="250">
        <v>1000</v>
      </c>
      <c r="R24" s="148">
        <f t="shared" si="12"/>
        <v>0.13</v>
      </c>
      <c r="S24" s="148">
        <f t="shared" si="13"/>
        <v>1.3000000000000001E-2</v>
      </c>
      <c r="T24" s="148">
        <f t="shared" si="14"/>
        <v>1.3000000000000002E-3</v>
      </c>
      <c r="U24" s="148">
        <f t="shared" si="14"/>
        <v>0.13000000000000003</v>
      </c>
      <c r="V24" s="7">
        <f t="shared" si="15"/>
        <v>1000</v>
      </c>
      <c r="W24" s="7">
        <f t="shared" si="15"/>
        <v>1000000</v>
      </c>
      <c r="X24" s="1345">
        <f t="shared" si="16"/>
        <v>1.3000000000000003</v>
      </c>
      <c r="Y24" s="1345">
        <f t="shared" si="16"/>
        <v>130.00000000000003</v>
      </c>
    </row>
    <row r="25" spans="1:25" x14ac:dyDescent="0.2">
      <c r="A25" s="213" t="str">
        <f t="shared" ref="A25:B25" si="29">A44</f>
        <v>NOAA</v>
      </c>
      <c r="B25" s="213" t="str">
        <f t="shared" si="29"/>
        <v>FB03578</v>
      </c>
      <c r="C25" s="219">
        <f t="shared" ref="C25:H25" si="30">C44*0.001</f>
        <v>1.8143</v>
      </c>
      <c r="D25" s="219">
        <f t="shared" si="30"/>
        <v>6.8000000000000005E-4</v>
      </c>
      <c r="E25" s="219">
        <f t="shared" si="30"/>
        <v>1.8121</v>
      </c>
      <c r="F25" s="219">
        <f t="shared" si="30"/>
        <v>1.3000000000000002E-3</v>
      </c>
      <c r="G25" s="219">
        <f t="shared" si="30"/>
        <v>-2.2000000000000001E-3</v>
      </c>
      <c r="H25" s="219">
        <f t="shared" si="30"/>
        <v>1.47E-3</v>
      </c>
      <c r="I25" s="155">
        <f t="shared" si="1"/>
        <v>1</v>
      </c>
      <c r="J25" s="155">
        <f t="shared" si="2"/>
        <v>2.1999999999999797E-3</v>
      </c>
      <c r="K25" s="155">
        <f t="shared" si="3"/>
        <v>5.1107729356722207E-3</v>
      </c>
      <c r="L25" s="155">
        <f t="shared" si="4"/>
        <v>10</v>
      </c>
      <c r="M25" s="156">
        <f t="shared" si="5"/>
        <v>5.1107729356722205E-2</v>
      </c>
      <c r="N25" s="157">
        <f t="shared" si="10"/>
        <v>5.1107729356722207E-3</v>
      </c>
      <c r="O25" s="155">
        <f t="shared" si="11"/>
        <v>100</v>
      </c>
      <c r="P25" s="250">
        <v>1</v>
      </c>
      <c r="Q25" s="250">
        <v>1000</v>
      </c>
      <c r="R25" s="148">
        <f t="shared" si="12"/>
        <v>0.51107729356722209</v>
      </c>
      <c r="S25" s="148">
        <f t="shared" si="13"/>
        <v>5.1107729356722205E-2</v>
      </c>
      <c r="T25" s="148">
        <f t="shared" si="14"/>
        <v>5.1107729356722207E-3</v>
      </c>
      <c r="U25" s="148">
        <f t="shared" si="14"/>
        <v>0.51107729356722209</v>
      </c>
      <c r="V25" s="7">
        <f t="shared" si="15"/>
        <v>1000</v>
      </c>
      <c r="W25" s="7">
        <f t="shared" si="15"/>
        <v>1000000</v>
      </c>
      <c r="X25" s="1345">
        <f t="shared" si="16"/>
        <v>5.1107729356722205</v>
      </c>
      <c r="Y25" s="1345">
        <f t="shared" si="16"/>
        <v>511.07729356722211</v>
      </c>
    </row>
    <row r="26" spans="1:25" x14ac:dyDescent="0.2">
      <c r="A26" s="213" t="str">
        <f t="shared" ref="A26:B26" si="31">A45</f>
        <v>NOAA</v>
      </c>
      <c r="B26" s="213" t="str">
        <f t="shared" si="31"/>
        <v>FB03593</v>
      </c>
      <c r="C26" s="219">
        <f t="shared" ref="C26:H26" si="32">C45*0.001</f>
        <v>2.2138000000000004</v>
      </c>
      <c r="D26" s="219">
        <f t="shared" si="32"/>
        <v>7.1000000000000002E-4</v>
      </c>
      <c r="E26" s="219">
        <f t="shared" si="32"/>
        <v>2.2089000000000003</v>
      </c>
      <c r="F26" s="219">
        <f t="shared" si="32"/>
        <v>1.4E-3</v>
      </c>
      <c r="G26" s="219">
        <f t="shared" si="32"/>
        <v>-4.9000000000000007E-3</v>
      </c>
      <c r="H26" s="219">
        <f t="shared" si="32"/>
        <v>1.57E-3</v>
      </c>
      <c r="I26" s="155">
        <f t="shared" si="1"/>
        <v>1</v>
      </c>
      <c r="J26" s="155">
        <f t="shared" si="2"/>
        <v>4.9000000000001265E-3</v>
      </c>
      <c r="K26" s="155">
        <f t="shared" si="3"/>
        <v>1.0192153844992969E-2</v>
      </c>
      <c r="L26" s="155">
        <f t="shared" si="4"/>
        <v>10</v>
      </c>
      <c r="M26" s="156">
        <f t="shared" si="5"/>
        <v>0.1019215384499297</v>
      </c>
      <c r="N26" s="157">
        <f t="shared" si="10"/>
        <v>1.019215384499297E-2</v>
      </c>
      <c r="O26" s="155">
        <f t="shared" si="11"/>
        <v>100</v>
      </c>
      <c r="P26" s="250">
        <v>1</v>
      </c>
      <c r="Q26" s="250">
        <v>1000</v>
      </c>
      <c r="R26" s="148">
        <f t="shared" si="12"/>
        <v>1.0192153844992971</v>
      </c>
      <c r="S26" s="148">
        <f t="shared" si="13"/>
        <v>0.1019215384499297</v>
      </c>
      <c r="T26" s="148">
        <f t="shared" si="14"/>
        <v>1.019215384499297E-2</v>
      </c>
      <c r="U26" s="148">
        <f t="shared" si="14"/>
        <v>1.0192153844992971</v>
      </c>
      <c r="V26" s="7">
        <f t="shared" si="15"/>
        <v>1000</v>
      </c>
      <c r="W26" s="7">
        <f t="shared" si="15"/>
        <v>1000000</v>
      </c>
      <c r="X26" s="1345">
        <f t="shared" si="16"/>
        <v>10.192153844992971</v>
      </c>
      <c r="Y26" s="1345">
        <f t="shared" si="16"/>
        <v>1019.2153844992971</v>
      </c>
    </row>
    <row r="27" spans="1:25" x14ac:dyDescent="0.2">
      <c r="A27" s="213" t="str">
        <f t="shared" ref="A27:B27" si="33">A46</f>
        <v>NPL</v>
      </c>
      <c r="B27" s="213">
        <f t="shared" si="33"/>
        <v>221727</v>
      </c>
      <c r="C27" s="219">
        <f t="shared" ref="C27:H27" si="34">C46*0.001</f>
        <v>1.8006</v>
      </c>
      <c r="D27" s="219">
        <f t="shared" si="34"/>
        <v>6.8999999999999997E-4</v>
      </c>
      <c r="E27" s="219">
        <f t="shared" si="34"/>
        <v>1.7994000000000001</v>
      </c>
      <c r="F27" s="219">
        <f t="shared" si="34"/>
        <v>1.8000000000000002E-3</v>
      </c>
      <c r="G27" s="219">
        <f t="shared" si="34"/>
        <v>-1.1999999999999999E-3</v>
      </c>
      <c r="H27" s="219">
        <f t="shared" si="34"/>
        <v>1.9300000000000001E-3</v>
      </c>
      <c r="I27" s="155">
        <f t="shared" si="1"/>
        <v>0</v>
      </c>
      <c r="J27" s="155">
        <f t="shared" si="2"/>
        <v>0</v>
      </c>
      <c r="K27" s="155">
        <f t="shared" si="3"/>
        <v>3.6000000000000003E-3</v>
      </c>
      <c r="L27" s="155">
        <f t="shared" si="4"/>
        <v>10</v>
      </c>
      <c r="M27" s="156">
        <f t="shared" si="5"/>
        <v>3.6000000000000004E-2</v>
      </c>
      <c r="N27" s="157">
        <f t="shared" si="10"/>
        <v>3.6000000000000003E-3</v>
      </c>
      <c r="O27" s="155">
        <f t="shared" si="11"/>
        <v>100</v>
      </c>
      <c r="P27" s="250">
        <v>1</v>
      </c>
      <c r="Q27" s="250">
        <v>1000</v>
      </c>
      <c r="R27" s="148">
        <f t="shared" si="12"/>
        <v>0.36000000000000004</v>
      </c>
      <c r="S27" s="148">
        <f t="shared" si="13"/>
        <v>3.6000000000000004E-2</v>
      </c>
      <c r="T27" s="148">
        <f t="shared" si="14"/>
        <v>3.6000000000000003E-3</v>
      </c>
      <c r="U27" s="148">
        <f t="shared" si="14"/>
        <v>0.3600000000000001</v>
      </c>
      <c r="V27" s="7">
        <f t="shared" si="15"/>
        <v>1000</v>
      </c>
      <c r="W27" s="7">
        <f t="shared" si="15"/>
        <v>1000000</v>
      </c>
      <c r="X27" s="1345">
        <f t="shared" si="16"/>
        <v>3.6000000000000005</v>
      </c>
      <c r="Y27" s="1345">
        <f t="shared" si="16"/>
        <v>360.00000000000011</v>
      </c>
    </row>
    <row r="28" spans="1:25" x14ac:dyDescent="0.2">
      <c r="A28" s="213" t="str">
        <f t="shared" ref="A28:B28" si="35">A47</f>
        <v>NPL</v>
      </c>
      <c r="B28" s="213">
        <f t="shared" si="35"/>
        <v>233097</v>
      </c>
      <c r="C28" s="219">
        <f t="shared" ref="C28:H28" si="36">C47*0.001</f>
        <v>2.2010999999999998</v>
      </c>
      <c r="D28" s="219">
        <f t="shared" si="36"/>
        <v>7.1000000000000002E-4</v>
      </c>
      <c r="E28" s="219">
        <f t="shared" si="36"/>
        <v>2.1995999999999998</v>
      </c>
      <c r="F28" s="219">
        <f t="shared" si="36"/>
        <v>2.2000000000000001E-3</v>
      </c>
      <c r="G28" s="219">
        <f t="shared" si="36"/>
        <v>-1.5E-3</v>
      </c>
      <c r="H28" s="219">
        <f t="shared" si="36"/>
        <v>2.31E-3</v>
      </c>
      <c r="I28" s="155">
        <f t="shared" si="1"/>
        <v>0</v>
      </c>
      <c r="J28" s="155">
        <f t="shared" si="2"/>
        <v>0</v>
      </c>
      <c r="K28" s="155">
        <f t="shared" si="3"/>
        <v>4.4000000000000003E-3</v>
      </c>
      <c r="L28" s="155">
        <f t="shared" si="4"/>
        <v>10</v>
      </c>
      <c r="M28" s="156">
        <f t="shared" si="5"/>
        <v>4.4000000000000004E-2</v>
      </c>
      <c r="N28" s="157">
        <f t="shared" si="10"/>
        <v>4.4000000000000003E-3</v>
      </c>
      <c r="O28" s="155">
        <f t="shared" si="11"/>
        <v>100</v>
      </c>
      <c r="P28" s="250">
        <v>1</v>
      </c>
      <c r="Q28" s="250">
        <v>1000</v>
      </c>
      <c r="R28" s="148">
        <f t="shared" si="12"/>
        <v>0.44000000000000006</v>
      </c>
      <c r="S28" s="148">
        <f t="shared" si="13"/>
        <v>4.4000000000000004E-2</v>
      </c>
      <c r="T28" s="148">
        <f t="shared" si="14"/>
        <v>4.4000000000000003E-3</v>
      </c>
      <c r="U28" s="148">
        <f t="shared" si="14"/>
        <v>0.44000000000000006</v>
      </c>
      <c r="V28" s="7">
        <f t="shared" si="15"/>
        <v>1000</v>
      </c>
      <c r="W28" s="7">
        <f t="shared" si="15"/>
        <v>1000000</v>
      </c>
      <c r="X28" s="1345">
        <f t="shared" si="16"/>
        <v>4.4000000000000004</v>
      </c>
      <c r="Y28" s="1345">
        <f t="shared" si="16"/>
        <v>440.00000000000006</v>
      </c>
    </row>
    <row r="29" spans="1:25" x14ac:dyDescent="0.2">
      <c r="A29" s="213" t="str">
        <f t="shared" ref="A29:B29" si="37">A48</f>
        <v>VNIIM</v>
      </c>
      <c r="B29" s="213" t="str">
        <f t="shared" si="37"/>
        <v>D 249682</v>
      </c>
      <c r="C29" s="219">
        <f t="shared" ref="C29:H29" si="38">C48*0.001</f>
        <v>1.8103</v>
      </c>
      <c r="D29" s="219">
        <f t="shared" si="38"/>
        <v>6.8000000000000005E-4</v>
      </c>
      <c r="E29" s="219">
        <f t="shared" si="38"/>
        <v>1.8129000000000002</v>
      </c>
      <c r="F29" s="219">
        <f t="shared" si="38"/>
        <v>1.3000000000000002E-3</v>
      </c>
      <c r="G29" s="219">
        <f t="shared" si="38"/>
        <v>2.6000000000000003E-3</v>
      </c>
      <c r="H29" s="219">
        <f t="shared" si="38"/>
        <v>1.47E-3</v>
      </c>
      <c r="I29" s="155">
        <f t="shared" si="1"/>
        <v>1</v>
      </c>
      <c r="J29" s="155">
        <f t="shared" si="2"/>
        <v>2.6000000000001577E-3</v>
      </c>
      <c r="K29" s="155">
        <f t="shared" si="3"/>
        <v>5.8137767414997354E-3</v>
      </c>
      <c r="L29" s="155">
        <f t="shared" si="4"/>
        <v>10</v>
      </c>
      <c r="M29" s="156">
        <f t="shared" si="5"/>
        <v>5.8137767414997356E-2</v>
      </c>
      <c r="N29" s="157">
        <f t="shared" si="10"/>
        <v>5.8137767414997354E-3</v>
      </c>
      <c r="O29" s="155">
        <f t="shared" si="11"/>
        <v>100</v>
      </c>
      <c r="P29" s="250">
        <v>1</v>
      </c>
      <c r="Q29" s="250">
        <v>1000</v>
      </c>
      <c r="R29" s="148">
        <f t="shared" si="12"/>
        <v>0.58137767414997354</v>
      </c>
      <c r="S29" s="148">
        <f t="shared" si="13"/>
        <v>5.8137767414997356E-2</v>
      </c>
      <c r="T29" s="148">
        <f t="shared" si="14"/>
        <v>5.8137767414997354E-3</v>
      </c>
      <c r="U29" s="148">
        <f t="shared" si="14"/>
        <v>0.58137767414997354</v>
      </c>
      <c r="V29" s="7">
        <f t="shared" si="15"/>
        <v>1000</v>
      </c>
      <c r="W29" s="7">
        <f t="shared" si="15"/>
        <v>1000000</v>
      </c>
      <c r="X29" s="1345">
        <f t="shared" si="16"/>
        <v>5.8137767414997352</v>
      </c>
      <c r="Y29" s="1345">
        <f t="shared" si="16"/>
        <v>581.37767414997359</v>
      </c>
    </row>
    <row r="30" spans="1:25" x14ac:dyDescent="0.2">
      <c r="A30" s="213" t="str">
        <f t="shared" ref="A30:B30" si="39">A49</f>
        <v>VNIIM</v>
      </c>
      <c r="B30" s="213" t="str">
        <f t="shared" si="39"/>
        <v>D 249845</v>
      </c>
      <c r="C30" s="219">
        <f t="shared" ref="C30:H30" si="40">C49*0.001</f>
        <v>2.2145999999999999</v>
      </c>
      <c r="D30" s="219">
        <f t="shared" si="40"/>
        <v>7.1000000000000002E-4</v>
      </c>
      <c r="E30" s="219">
        <f t="shared" si="40"/>
        <v>2.2145999999999999</v>
      </c>
      <c r="F30" s="219">
        <f t="shared" si="40"/>
        <v>1.25E-3</v>
      </c>
      <c r="G30" s="219">
        <f t="shared" si="40"/>
        <v>0</v>
      </c>
      <c r="H30" s="219">
        <f t="shared" si="40"/>
        <v>1.4399999999999999E-3</v>
      </c>
      <c r="I30" s="155">
        <f t="shared" si="1"/>
        <v>0</v>
      </c>
      <c r="J30" s="155">
        <f t="shared" si="2"/>
        <v>0</v>
      </c>
      <c r="K30" s="155">
        <f t="shared" si="3"/>
        <v>2.5000000000000001E-3</v>
      </c>
      <c r="L30" s="155">
        <f t="shared" si="4"/>
        <v>10</v>
      </c>
      <c r="M30" s="156">
        <f t="shared" si="5"/>
        <v>2.5000000000000001E-2</v>
      </c>
      <c r="N30" s="157">
        <f t="shared" si="10"/>
        <v>2.5000000000000001E-3</v>
      </c>
      <c r="O30" s="155">
        <f t="shared" si="11"/>
        <v>100</v>
      </c>
      <c r="P30" s="250">
        <v>1</v>
      </c>
      <c r="Q30" s="250">
        <v>1000</v>
      </c>
      <c r="R30" s="148">
        <f t="shared" si="12"/>
        <v>0.25</v>
      </c>
      <c r="S30" s="148">
        <f t="shared" si="13"/>
        <v>2.5000000000000001E-2</v>
      </c>
      <c r="T30" s="148">
        <f t="shared" si="14"/>
        <v>2.5000000000000001E-3</v>
      </c>
      <c r="U30" s="148">
        <f t="shared" si="14"/>
        <v>0.25</v>
      </c>
      <c r="V30" s="7">
        <f t="shared" si="15"/>
        <v>1000</v>
      </c>
      <c r="W30" s="7">
        <f t="shared" si="15"/>
        <v>1000000</v>
      </c>
      <c r="X30" s="1345">
        <f t="shared" si="16"/>
        <v>2.5</v>
      </c>
      <c r="Y30" s="1345">
        <f t="shared" si="16"/>
        <v>250</v>
      </c>
    </row>
    <row r="31" spans="1:25" x14ac:dyDescent="0.2">
      <c r="A31" s="213" t="str">
        <f t="shared" ref="A31:B31" si="41">A50</f>
        <v>VSL</v>
      </c>
      <c r="B31" s="213" t="str">
        <f t="shared" si="41"/>
        <v>D 249292</v>
      </c>
      <c r="C31" s="219">
        <f t="shared" ref="C31:H31" si="42">C50*0.001</f>
        <v>1.7978000000000001</v>
      </c>
      <c r="D31" s="219">
        <f t="shared" si="42"/>
        <v>6.8999999999999997E-4</v>
      </c>
      <c r="E31" s="219">
        <f t="shared" si="42"/>
        <v>1.7982899999999999</v>
      </c>
      <c r="F31" s="219">
        <f t="shared" si="42"/>
        <v>2E-3</v>
      </c>
      <c r="G31" s="219">
        <f t="shared" si="42"/>
        <v>4.8999999999999998E-4</v>
      </c>
      <c r="H31" s="219">
        <f t="shared" si="42"/>
        <v>2.1099999999999999E-3</v>
      </c>
      <c r="I31" s="155">
        <f t="shared" si="1"/>
        <v>0</v>
      </c>
      <c r="J31" s="155">
        <f t="shared" si="2"/>
        <v>0</v>
      </c>
      <c r="K31" s="155">
        <f t="shared" si="3"/>
        <v>4.0000000000000001E-3</v>
      </c>
      <c r="L31" s="155">
        <f t="shared" si="4"/>
        <v>10</v>
      </c>
      <c r="M31" s="156">
        <f t="shared" si="5"/>
        <v>0.04</v>
      </c>
      <c r="N31" s="157">
        <f t="shared" si="10"/>
        <v>4.0000000000000001E-3</v>
      </c>
      <c r="O31" s="155">
        <f t="shared" si="11"/>
        <v>100</v>
      </c>
      <c r="P31" s="250">
        <v>1</v>
      </c>
      <c r="Q31" s="250">
        <v>1000</v>
      </c>
      <c r="R31" s="148">
        <f t="shared" si="12"/>
        <v>0.4</v>
      </c>
      <c r="S31" s="148">
        <f t="shared" si="13"/>
        <v>0.04</v>
      </c>
      <c r="T31" s="148">
        <f t="shared" si="14"/>
        <v>4.0000000000000001E-3</v>
      </c>
      <c r="U31" s="148">
        <f t="shared" si="14"/>
        <v>0.4</v>
      </c>
      <c r="V31" s="7">
        <f t="shared" si="15"/>
        <v>1000</v>
      </c>
      <c r="W31" s="7">
        <f t="shared" si="15"/>
        <v>1000000</v>
      </c>
      <c r="X31" s="1345">
        <f t="shared" si="16"/>
        <v>4</v>
      </c>
      <c r="Y31" s="1345">
        <f t="shared" si="16"/>
        <v>400</v>
      </c>
    </row>
    <row r="32" spans="1:25" x14ac:dyDescent="0.2">
      <c r="A32" s="213" t="str">
        <f t="shared" ref="A32:B32" si="43">A51</f>
        <v>VSL</v>
      </c>
      <c r="B32" s="213" t="str">
        <f t="shared" si="43"/>
        <v>D 249289</v>
      </c>
      <c r="C32" s="219">
        <f t="shared" ref="C32:H32" si="44">C51*0.001</f>
        <v>2.1955999999999998</v>
      </c>
      <c r="D32" s="219">
        <f t="shared" si="44"/>
        <v>6.9999999999999999E-4</v>
      </c>
      <c r="E32" s="219">
        <f t="shared" si="44"/>
        <v>2.1963300000000001</v>
      </c>
      <c r="F32" s="219">
        <f t="shared" si="44"/>
        <v>2.3999999999999998E-3</v>
      </c>
      <c r="G32" s="219">
        <f t="shared" si="44"/>
        <v>7.2999999999999996E-4</v>
      </c>
      <c r="H32" s="219">
        <f t="shared" si="44"/>
        <v>2.5000000000000001E-3</v>
      </c>
      <c r="I32" s="155">
        <f t="shared" si="1"/>
        <v>0</v>
      </c>
      <c r="J32" s="155">
        <f t="shared" si="2"/>
        <v>0</v>
      </c>
      <c r="K32" s="155">
        <f t="shared" si="3"/>
        <v>4.7999999999999996E-3</v>
      </c>
      <c r="L32" s="155">
        <f t="shared" si="4"/>
        <v>10</v>
      </c>
      <c r="M32" s="156">
        <f t="shared" si="5"/>
        <v>4.7999999999999994E-2</v>
      </c>
      <c r="N32" s="157">
        <f t="shared" si="10"/>
        <v>4.7999999999999996E-3</v>
      </c>
      <c r="O32" s="155">
        <f t="shared" si="11"/>
        <v>100</v>
      </c>
      <c r="P32" s="250">
        <v>1</v>
      </c>
      <c r="Q32" s="250">
        <v>1000</v>
      </c>
      <c r="R32" s="148">
        <f t="shared" si="12"/>
        <v>0.47999999999999993</v>
      </c>
      <c r="S32" s="148">
        <f t="shared" si="13"/>
        <v>4.7999999999999994E-2</v>
      </c>
      <c r="T32" s="148">
        <f t="shared" si="14"/>
        <v>4.7999999999999996E-3</v>
      </c>
      <c r="U32" s="148">
        <f t="shared" si="14"/>
        <v>0.47999999999999993</v>
      </c>
      <c r="V32" s="7">
        <f t="shared" si="15"/>
        <v>1000</v>
      </c>
      <c r="W32" s="7">
        <f t="shared" si="15"/>
        <v>1000000</v>
      </c>
      <c r="X32" s="1345">
        <f t="shared" si="16"/>
        <v>4.8</v>
      </c>
      <c r="Y32" s="1345">
        <f t="shared" si="16"/>
        <v>479.99999999999994</v>
      </c>
    </row>
    <row r="33" spans="1:26" ht="14.25" x14ac:dyDescent="0.2">
      <c r="H33" s="9"/>
      <c r="U33" s="152"/>
      <c r="V33" s="21"/>
      <c r="W33" s="21"/>
      <c r="X33" s="21"/>
      <c r="Y33" s="21"/>
      <c r="Z33" s="21"/>
    </row>
    <row r="34" spans="1:26" ht="14.25" x14ac:dyDescent="0.2">
      <c r="H34" s="9"/>
      <c r="U34" s="152"/>
      <c r="V34" s="21"/>
      <c r="W34" s="21"/>
      <c r="X34" s="21"/>
      <c r="Y34" s="21"/>
      <c r="Z34" s="21"/>
    </row>
    <row r="35" spans="1:26" s="227" customFormat="1" ht="38.1" customHeight="1" x14ac:dyDescent="0.2">
      <c r="A35" s="595" t="s">
        <v>930</v>
      </c>
      <c r="B35" s="854" t="s">
        <v>931</v>
      </c>
      <c r="C35" s="855" t="s">
        <v>932</v>
      </c>
      <c r="D35" s="856" t="s">
        <v>933</v>
      </c>
      <c r="E35" s="678" t="s">
        <v>934</v>
      </c>
      <c r="F35" s="679" t="s">
        <v>935</v>
      </c>
      <c r="G35" s="679" t="s">
        <v>936</v>
      </c>
      <c r="H35" s="682" t="s">
        <v>937</v>
      </c>
      <c r="I35" s="857" t="s">
        <v>938</v>
      </c>
    </row>
    <row r="36" spans="1:26" s="227" customFormat="1" ht="12.95" customHeight="1" x14ac:dyDescent="0.2">
      <c r="A36" s="573" t="s">
        <v>609</v>
      </c>
      <c r="B36" s="573" t="s">
        <v>939</v>
      </c>
      <c r="C36" s="858">
        <v>1797.6</v>
      </c>
      <c r="D36" s="859">
        <v>0.69</v>
      </c>
      <c r="E36" s="860">
        <v>1797.1</v>
      </c>
      <c r="F36" s="860">
        <v>0.5</v>
      </c>
      <c r="G36" s="860">
        <v>-0.5</v>
      </c>
      <c r="H36" s="860">
        <v>0.85</v>
      </c>
      <c r="I36" s="860">
        <v>1.7</v>
      </c>
    </row>
    <row r="37" spans="1:26" s="227" customFormat="1" ht="12" customHeight="1" x14ac:dyDescent="0.2">
      <c r="A37" s="861" t="s">
        <v>609</v>
      </c>
      <c r="B37" s="861" t="s">
        <v>940</v>
      </c>
      <c r="C37" s="862">
        <v>2202.1999999999998</v>
      </c>
      <c r="D37" s="863">
        <v>0.71</v>
      </c>
      <c r="E37" s="864">
        <v>2200.9</v>
      </c>
      <c r="F37" s="864">
        <v>0.6</v>
      </c>
      <c r="G37" s="864">
        <v>-1.3</v>
      </c>
      <c r="H37" s="864">
        <v>0.93</v>
      </c>
      <c r="I37" s="864">
        <v>1.85</v>
      </c>
    </row>
    <row r="38" spans="1:26" s="227" customFormat="1" ht="12" customHeight="1" x14ac:dyDescent="0.2">
      <c r="A38" s="861" t="s">
        <v>572</v>
      </c>
      <c r="B38" s="861" t="s">
        <v>941</v>
      </c>
      <c r="C38" s="862">
        <v>1825.6</v>
      </c>
      <c r="D38" s="863">
        <v>0.67</v>
      </c>
      <c r="E38" s="864">
        <v>1825.2</v>
      </c>
      <c r="F38" s="864">
        <v>0.85</v>
      </c>
      <c r="G38" s="864">
        <v>-0.4</v>
      </c>
      <c r="H38" s="864">
        <v>1.08</v>
      </c>
      <c r="I38" s="864">
        <v>2.17</v>
      </c>
    </row>
    <row r="39" spans="1:26" s="227" customFormat="1" ht="12" customHeight="1" x14ac:dyDescent="0.2">
      <c r="A39" s="861" t="s">
        <v>572</v>
      </c>
      <c r="B39" s="861" t="s">
        <v>942</v>
      </c>
      <c r="C39" s="862">
        <v>2194</v>
      </c>
      <c r="D39" s="863">
        <v>0.7</v>
      </c>
      <c r="E39" s="864">
        <v>2193.8000000000002</v>
      </c>
      <c r="F39" s="864">
        <v>1</v>
      </c>
      <c r="G39" s="864">
        <v>-0.2</v>
      </c>
      <c r="H39" s="864">
        <v>1.22</v>
      </c>
      <c r="I39" s="864">
        <v>2.44</v>
      </c>
    </row>
    <row r="40" spans="1:26" s="227" customFormat="1" ht="12" customHeight="1" x14ac:dyDescent="0.2">
      <c r="A40" s="861" t="s">
        <v>638</v>
      </c>
      <c r="B40" s="861" t="s">
        <v>943</v>
      </c>
      <c r="C40" s="862">
        <v>1796.8</v>
      </c>
      <c r="D40" s="863">
        <v>0.69</v>
      </c>
      <c r="E40" s="864">
        <v>1796.76</v>
      </c>
      <c r="F40" s="864">
        <v>0.85</v>
      </c>
      <c r="G40" s="864">
        <v>-0.04</v>
      </c>
      <c r="H40" s="864">
        <v>1.0900000000000001</v>
      </c>
      <c r="I40" s="864">
        <v>2.19</v>
      </c>
    </row>
    <row r="41" spans="1:26" s="227" customFormat="1" ht="12" customHeight="1" x14ac:dyDescent="0.2">
      <c r="A41" s="861" t="s">
        <v>638</v>
      </c>
      <c r="B41" s="861" t="s">
        <v>944</v>
      </c>
      <c r="C41" s="862">
        <v>2194.6</v>
      </c>
      <c r="D41" s="863">
        <v>0.7</v>
      </c>
      <c r="E41" s="864">
        <v>2195.96</v>
      </c>
      <c r="F41" s="864">
        <v>0.84</v>
      </c>
      <c r="G41" s="864">
        <v>1.36</v>
      </c>
      <c r="H41" s="864">
        <v>1.0900000000000001</v>
      </c>
      <c r="I41" s="864">
        <v>2.19</v>
      </c>
    </row>
    <row r="42" spans="1:26" s="227" customFormat="1" ht="12" customHeight="1" x14ac:dyDescent="0.2">
      <c r="A42" s="861" t="s">
        <v>325</v>
      </c>
      <c r="B42" s="861" t="s">
        <v>945</v>
      </c>
      <c r="C42" s="862">
        <v>1796.4</v>
      </c>
      <c r="D42" s="863">
        <v>0.69</v>
      </c>
      <c r="E42" s="864">
        <v>1797.3</v>
      </c>
      <c r="F42" s="864">
        <v>0.65</v>
      </c>
      <c r="G42" s="864">
        <v>0.9</v>
      </c>
      <c r="H42" s="864">
        <v>0.95</v>
      </c>
      <c r="I42" s="864">
        <v>1.89</v>
      </c>
    </row>
    <row r="43" spans="1:26" s="227" customFormat="1" ht="12" customHeight="1" x14ac:dyDescent="0.2">
      <c r="A43" s="861" t="s">
        <v>325</v>
      </c>
      <c r="B43" s="861" t="s">
        <v>946</v>
      </c>
      <c r="C43" s="862">
        <v>2197.5</v>
      </c>
      <c r="D43" s="863">
        <v>0.7</v>
      </c>
      <c r="E43" s="864">
        <v>2198.3000000000002</v>
      </c>
      <c r="F43" s="864">
        <v>0.65</v>
      </c>
      <c r="G43" s="864">
        <v>0.8</v>
      </c>
      <c r="H43" s="864">
        <v>0.96</v>
      </c>
      <c r="I43" s="864">
        <v>1.91</v>
      </c>
    </row>
    <row r="44" spans="1:26" s="227" customFormat="1" ht="12" customHeight="1" x14ac:dyDescent="0.2">
      <c r="A44" s="861" t="s">
        <v>947</v>
      </c>
      <c r="B44" s="861" t="s">
        <v>948</v>
      </c>
      <c r="C44" s="862">
        <v>1814.3</v>
      </c>
      <c r="D44" s="863">
        <v>0.68</v>
      </c>
      <c r="E44" s="864">
        <v>1812.1</v>
      </c>
      <c r="F44" s="864">
        <v>1.3</v>
      </c>
      <c r="G44" s="864">
        <v>-2.2000000000000002</v>
      </c>
      <c r="H44" s="864">
        <v>1.47</v>
      </c>
      <c r="I44" s="864">
        <v>2.93</v>
      </c>
    </row>
    <row r="45" spans="1:26" s="227" customFormat="1" ht="12" customHeight="1" x14ac:dyDescent="0.2">
      <c r="A45" s="861" t="s">
        <v>947</v>
      </c>
      <c r="B45" s="861" t="s">
        <v>949</v>
      </c>
      <c r="C45" s="862">
        <v>2213.8000000000002</v>
      </c>
      <c r="D45" s="863">
        <v>0.71</v>
      </c>
      <c r="E45" s="864">
        <v>2208.9</v>
      </c>
      <c r="F45" s="864">
        <v>1.4</v>
      </c>
      <c r="G45" s="864">
        <v>-4.9000000000000004</v>
      </c>
      <c r="H45" s="864">
        <v>1.57</v>
      </c>
      <c r="I45" s="864">
        <v>3.14</v>
      </c>
    </row>
    <row r="46" spans="1:26" s="227" customFormat="1" ht="12" customHeight="1" x14ac:dyDescent="0.2">
      <c r="A46" s="861" t="s">
        <v>633</v>
      </c>
      <c r="B46" s="865">
        <v>221727</v>
      </c>
      <c r="C46" s="862">
        <v>1800.6</v>
      </c>
      <c r="D46" s="863">
        <v>0.69</v>
      </c>
      <c r="E46" s="864">
        <v>1799.4</v>
      </c>
      <c r="F46" s="864">
        <v>1.8</v>
      </c>
      <c r="G46" s="864">
        <v>-1.2</v>
      </c>
      <c r="H46" s="864">
        <v>1.93</v>
      </c>
      <c r="I46" s="864">
        <v>3.85</v>
      </c>
    </row>
    <row r="47" spans="1:26" s="227" customFormat="1" ht="12" customHeight="1" x14ac:dyDescent="0.2">
      <c r="A47" s="861" t="s">
        <v>633</v>
      </c>
      <c r="B47" s="865">
        <v>233097</v>
      </c>
      <c r="C47" s="862">
        <v>2201.1</v>
      </c>
      <c r="D47" s="863">
        <v>0.71</v>
      </c>
      <c r="E47" s="864">
        <v>2199.6</v>
      </c>
      <c r="F47" s="864">
        <v>2.2000000000000002</v>
      </c>
      <c r="G47" s="864">
        <v>-1.5</v>
      </c>
      <c r="H47" s="864">
        <v>2.31</v>
      </c>
      <c r="I47" s="864">
        <v>4.62</v>
      </c>
    </row>
    <row r="48" spans="1:26" s="227" customFormat="1" ht="12" customHeight="1" x14ac:dyDescent="0.2">
      <c r="A48" s="861" t="s">
        <v>623</v>
      </c>
      <c r="B48" s="861" t="s">
        <v>950</v>
      </c>
      <c r="C48" s="862">
        <v>1810.3</v>
      </c>
      <c r="D48" s="863">
        <v>0.68</v>
      </c>
      <c r="E48" s="864">
        <v>1812.9</v>
      </c>
      <c r="F48" s="864">
        <v>1.3</v>
      </c>
      <c r="G48" s="864">
        <v>2.6</v>
      </c>
      <c r="H48" s="864">
        <v>1.47</v>
      </c>
      <c r="I48" s="864">
        <v>2.93</v>
      </c>
    </row>
    <row r="49" spans="1:26" s="227" customFormat="1" ht="12" customHeight="1" x14ac:dyDescent="0.2">
      <c r="A49" s="861" t="s">
        <v>623</v>
      </c>
      <c r="B49" s="861" t="s">
        <v>951</v>
      </c>
      <c r="C49" s="862">
        <v>2214.6</v>
      </c>
      <c r="D49" s="863">
        <v>0.71</v>
      </c>
      <c r="E49" s="864">
        <v>2214.6</v>
      </c>
      <c r="F49" s="864">
        <v>1.25</v>
      </c>
      <c r="G49" s="864">
        <v>0</v>
      </c>
      <c r="H49" s="864">
        <v>1.44</v>
      </c>
      <c r="I49" s="864">
        <v>2.88</v>
      </c>
    </row>
    <row r="50" spans="1:26" s="227" customFormat="1" ht="12" customHeight="1" x14ac:dyDescent="0.2">
      <c r="A50" s="861" t="s">
        <v>684</v>
      </c>
      <c r="B50" s="861" t="s">
        <v>952</v>
      </c>
      <c r="C50" s="862">
        <v>1797.8</v>
      </c>
      <c r="D50" s="863">
        <v>0.69</v>
      </c>
      <c r="E50" s="864">
        <v>1798.29</v>
      </c>
      <c r="F50" s="864">
        <v>2</v>
      </c>
      <c r="G50" s="864">
        <v>0.49</v>
      </c>
      <c r="H50" s="864">
        <v>2.11</v>
      </c>
      <c r="I50" s="864">
        <v>4.2300000000000004</v>
      </c>
    </row>
    <row r="51" spans="1:26" s="227" customFormat="1" ht="12" customHeight="1" x14ac:dyDescent="0.2">
      <c r="A51" s="866" t="s">
        <v>684</v>
      </c>
      <c r="B51" s="867" t="s">
        <v>953</v>
      </c>
      <c r="C51" s="868">
        <v>2195.6</v>
      </c>
      <c r="D51" s="869">
        <v>0.7</v>
      </c>
      <c r="E51" s="870">
        <v>2196.33</v>
      </c>
      <c r="F51" s="871">
        <v>2.4</v>
      </c>
      <c r="G51" s="871">
        <v>0.73</v>
      </c>
      <c r="H51" s="871">
        <v>2.5</v>
      </c>
      <c r="I51" s="872">
        <v>5</v>
      </c>
    </row>
    <row r="52" spans="1:26" ht="14.25" x14ac:dyDescent="0.2">
      <c r="H52" s="9"/>
      <c r="X52" s="21"/>
      <c r="Y52" s="21"/>
      <c r="Z52" s="21"/>
    </row>
    <row r="53" spans="1:26" ht="14.25" x14ac:dyDescent="0.2">
      <c r="H53" s="9"/>
      <c r="X53" s="21"/>
      <c r="Y53" s="21"/>
      <c r="Z53" s="21"/>
    </row>
    <row r="54" spans="1:26" ht="14.25" x14ac:dyDescent="0.2">
      <c r="H54" s="9"/>
      <c r="X54" s="21"/>
      <c r="Y54" s="21"/>
      <c r="Z54" s="21"/>
    </row>
    <row r="55" spans="1:26" ht="14.25" x14ac:dyDescent="0.2">
      <c r="H55" s="9"/>
      <c r="X55" s="21"/>
      <c r="Y55" s="21"/>
      <c r="Z55" s="21"/>
    </row>
    <row r="56" spans="1:26" ht="14.25" x14ac:dyDescent="0.2">
      <c r="H56" s="9"/>
      <c r="X56" s="21"/>
      <c r="Y56" s="21"/>
      <c r="Z56" s="21"/>
    </row>
    <row r="57" spans="1:26" ht="14.25" x14ac:dyDescent="0.2">
      <c r="H57" s="9"/>
      <c r="X57" s="21"/>
      <c r="Y57" s="21"/>
      <c r="Z57" s="21"/>
    </row>
    <row r="58" spans="1:26" ht="14.25" x14ac:dyDescent="0.2">
      <c r="H58" s="9"/>
      <c r="X58" s="21"/>
      <c r="Y58" s="21"/>
      <c r="Z58" s="21"/>
    </row>
    <row r="59" spans="1:26" ht="14.25" x14ac:dyDescent="0.2">
      <c r="H59" s="9"/>
      <c r="X59" s="21"/>
      <c r="Y59" s="21"/>
      <c r="Z59" s="21"/>
    </row>
    <row r="60" spans="1:26" ht="14.25" x14ac:dyDescent="0.2">
      <c r="H60" s="9"/>
      <c r="X60" s="21"/>
      <c r="Y60" s="21"/>
      <c r="Z60" s="21"/>
    </row>
    <row r="61" spans="1:26" ht="14.25" x14ac:dyDescent="0.2">
      <c r="H61" s="9"/>
      <c r="X61" s="21"/>
      <c r="Y61" s="21"/>
      <c r="Z61" s="21"/>
    </row>
    <row r="62" spans="1:26" ht="14.25" x14ac:dyDescent="0.2">
      <c r="H62" s="9"/>
      <c r="U62" s="152"/>
      <c r="V62" s="21"/>
      <c r="W62" s="21"/>
      <c r="X62" s="21"/>
      <c r="Y62" s="21"/>
      <c r="Z62" s="21"/>
    </row>
    <row r="63" spans="1:26" ht="14.25" x14ac:dyDescent="0.2">
      <c r="H63" s="9"/>
      <c r="U63" s="152"/>
      <c r="V63" s="21"/>
      <c r="W63" s="21"/>
      <c r="X63" s="21"/>
      <c r="Y63" s="21"/>
      <c r="Z63" s="21"/>
    </row>
    <row r="64" spans="1:26" ht="14.25" x14ac:dyDescent="0.2">
      <c r="H64" s="9"/>
      <c r="U64" s="152"/>
      <c r="V64" s="21"/>
      <c r="W64" s="21"/>
      <c r="X64" s="21"/>
      <c r="Y64" s="21"/>
      <c r="Z64" s="21"/>
    </row>
    <row r="65" spans="8:26" ht="14.25" x14ac:dyDescent="0.2">
      <c r="H65" s="9"/>
      <c r="U65" s="152"/>
      <c r="V65" s="21"/>
      <c r="W65" s="21"/>
      <c r="X65" s="21"/>
      <c r="Y65" s="21"/>
      <c r="Z65" s="21"/>
    </row>
    <row r="66" spans="8:26" ht="14.25" x14ac:dyDescent="0.2">
      <c r="H66" s="9"/>
      <c r="U66" s="152"/>
      <c r="V66" s="21"/>
      <c r="W66" s="21"/>
      <c r="X66" s="21"/>
      <c r="Y66" s="21"/>
      <c r="Z66" s="21"/>
    </row>
    <row r="67" spans="8:26" ht="14.25" x14ac:dyDescent="0.2">
      <c r="H67" s="9"/>
      <c r="U67" s="152"/>
      <c r="V67" s="21"/>
      <c r="W67" s="21"/>
      <c r="X67" s="21"/>
      <c r="Y67" s="21"/>
      <c r="Z67" s="21"/>
    </row>
    <row r="68" spans="8:26" ht="14.25" x14ac:dyDescent="0.2">
      <c r="H68" s="9"/>
      <c r="U68" s="152"/>
      <c r="V68" s="21"/>
      <c r="W68" s="21"/>
      <c r="X68" s="21"/>
      <c r="Y68" s="21"/>
      <c r="Z68" s="21"/>
    </row>
    <row r="69" spans="8:26" ht="14.25" x14ac:dyDescent="0.2">
      <c r="H69" s="9"/>
      <c r="U69" s="152"/>
      <c r="V69" s="21"/>
      <c r="W69" s="21"/>
      <c r="X69" s="21"/>
      <c r="Y69" s="21"/>
      <c r="Z69" s="21"/>
    </row>
    <row r="70" spans="8:26" ht="14.25" x14ac:dyDescent="0.2">
      <c r="H70" s="9"/>
      <c r="U70" s="152"/>
      <c r="V70" s="21"/>
      <c r="W70" s="21"/>
      <c r="X70" s="21"/>
      <c r="Y70" s="21"/>
      <c r="Z70" s="21"/>
    </row>
    <row r="71" spans="8:26" ht="14.25" x14ac:dyDescent="0.2">
      <c r="H71" s="9"/>
      <c r="U71" s="152"/>
      <c r="V71" s="21"/>
      <c r="W71" s="21"/>
      <c r="X71" s="21"/>
      <c r="Y71" s="21"/>
      <c r="Z71" s="21"/>
    </row>
    <row r="72" spans="8:26" ht="14.25" x14ac:dyDescent="0.2">
      <c r="H72" s="9"/>
      <c r="U72" s="152"/>
      <c r="V72" s="21"/>
      <c r="W72" s="21"/>
      <c r="X72" s="21"/>
      <c r="Y72" s="21"/>
      <c r="Z72" s="21"/>
    </row>
    <row r="73" spans="8:26" ht="14.25" x14ac:dyDescent="0.2">
      <c r="H73" s="9"/>
      <c r="U73" s="152"/>
      <c r="V73" s="21"/>
      <c r="W73" s="21"/>
      <c r="X73" s="21"/>
      <c r="Y73" s="21"/>
      <c r="Z73" s="21"/>
    </row>
    <row r="74" spans="8:26" ht="14.25" x14ac:dyDescent="0.2">
      <c r="H74" s="9"/>
      <c r="U74" s="152"/>
      <c r="V74" s="21"/>
      <c r="W74" s="21"/>
      <c r="X74" s="21"/>
      <c r="Y74" s="21"/>
      <c r="Z74" s="21"/>
    </row>
    <row r="75" spans="8:26" ht="14.25" x14ac:dyDescent="0.2">
      <c r="H75" s="9"/>
      <c r="U75" s="152"/>
      <c r="V75" s="21"/>
      <c r="W75" s="21"/>
      <c r="X75" s="21"/>
      <c r="Y75" s="21"/>
      <c r="Z75" s="21"/>
    </row>
    <row r="76" spans="8:26" ht="14.25" x14ac:dyDescent="0.2">
      <c r="H76" s="9"/>
      <c r="U76" s="152"/>
      <c r="V76" s="21"/>
      <c r="W76" s="21"/>
      <c r="X76" s="21"/>
      <c r="Y76" s="21"/>
      <c r="Z76" s="21"/>
    </row>
    <row r="77" spans="8:26" ht="14.25" x14ac:dyDescent="0.2">
      <c r="H77" s="9"/>
      <c r="U77" s="152"/>
      <c r="V77" s="21"/>
      <c r="W77" s="21"/>
      <c r="X77" s="21"/>
      <c r="Y77" s="21"/>
      <c r="Z77" s="21"/>
    </row>
    <row r="78" spans="8:26" ht="14.25" x14ac:dyDescent="0.2">
      <c r="H78" s="9"/>
      <c r="U78" s="152"/>
      <c r="V78" s="21"/>
      <c r="W78" s="21"/>
      <c r="X78" s="21"/>
      <c r="Y78" s="21"/>
      <c r="Z78" s="21"/>
    </row>
    <row r="79" spans="8:26" ht="14.25" x14ac:dyDescent="0.2">
      <c r="H79" s="9"/>
      <c r="U79" s="152"/>
      <c r="V79" s="21"/>
      <c r="W79" s="21"/>
      <c r="X79" s="21"/>
      <c r="Y79" s="21"/>
      <c r="Z79" s="21"/>
    </row>
    <row r="80" spans="8:26" ht="14.25" x14ac:dyDescent="0.2">
      <c r="U80" s="152"/>
      <c r="V80" s="21"/>
      <c r="W80" s="21"/>
      <c r="X80" s="21"/>
      <c r="Y80" s="21"/>
      <c r="Z80" s="21"/>
    </row>
    <row r="81" spans="1:26" ht="14.25" x14ac:dyDescent="0.2">
      <c r="H81" s="9"/>
      <c r="U81" s="152"/>
      <c r="V81" s="21"/>
      <c r="W81" s="21"/>
      <c r="X81" s="21"/>
      <c r="Y81" s="21"/>
      <c r="Z81" s="21"/>
    </row>
    <row r="82" spans="1:26" ht="14.25" x14ac:dyDescent="0.2">
      <c r="H82" s="9"/>
      <c r="U82" s="152"/>
      <c r="V82" s="21"/>
      <c r="W82" s="21"/>
      <c r="X82" s="21"/>
      <c r="Y82" s="21"/>
      <c r="Z82" s="21"/>
    </row>
    <row r="83" spans="1:26" ht="14.25" x14ac:dyDescent="0.2">
      <c r="H83" s="9"/>
      <c r="U83" s="152"/>
      <c r="V83" s="21"/>
      <c r="W83" s="21"/>
      <c r="X83" s="21"/>
      <c r="Y83" s="21"/>
      <c r="Z83" s="21"/>
    </row>
    <row r="84" spans="1:26" ht="14.25" x14ac:dyDescent="0.2">
      <c r="H84" s="9"/>
      <c r="U84" s="152"/>
      <c r="V84" s="21"/>
      <c r="W84" s="21"/>
      <c r="X84" s="21"/>
      <c r="Y84" s="21"/>
      <c r="Z84" s="21"/>
    </row>
    <row r="85" spans="1:26" ht="14.25" x14ac:dyDescent="0.2">
      <c r="H85" s="9"/>
      <c r="U85" s="152"/>
      <c r="V85" s="21"/>
      <c r="W85" s="21"/>
      <c r="X85" s="21"/>
      <c r="Y85" s="21"/>
      <c r="Z85" s="21"/>
    </row>
    <row r="86" spans="1:26" ht="14.25" x14ac:dyDescent="0.2">
      <c r="H86" s="9"/>
      <c r="U86" s="152"/>
      <c r="V86" s="21"/>
      <c r="W86" s="21"/>
      <c r="X86" s="21"/>
      <c r="Y86" s="21"/>
      <c r="Z86" s="21"/>
    </row>
    <row r="87" spans="1:26" ht="14.25" x14ac:dyDescent="0.2">
      <c r="U87" s="152"/>
      <c r="V87" s="21"/>
      <c r="W87" s="21"/>
      <c r="X87" s="21"/>
      <c r="Y87" s="21"/>
      <c r="Z87" s="21"/>
    </row>
    <row r="88" spans="1:26" ht="14.25" x14ac:dyDescent="0.2">
      <c r="U88" s="152"/>
      <c r="V88" s="21"/>
      <c r="W88" s="21"/>
      <c r="X88" s="21"/>
      <c r="Y88" s="21"/>
      <c r="Z88" s="21"/>
    </row>
    <row r="89" spans="1:26" ht="14.25" x14ac:dyDescent="0.2">
      <c r="U89" s="152"/>
      <c r="V89" s="21"/>
      <c r="W89" s="21"/>
      <c r="X89" s="21"/>
      <c r="Y89" s="21"/>
      <c r="Z89" s="21"/>
    </row>
    <row r="90" spans="1:26" ht="14.25" x14ac:dyDescent="0.2">
      <c r="U90" s="152"/>
      <c r="V90" s="21"/>
      <c r="W90" s="21"/>
      <c r="X90" s="21"/>
      <c r="Y90" s="21"/>
      <c r="Z90" s="21"/>
    </row>
    <row r="91" spans="1:26" ht="14.25" x14ac:dyDescent="0.2">
      <c r="U91" s="152"/>
      <c r="V91" s="21"/>
      <c r="W91" s="21"/>
      <c r="X91" s="21"/>
      <c r="Y91" s="21"/>
      <c r="Z91" s="21"/>
    </row>
    <row r="92" spans="1:26" ht="14.25" x14ac:dyDescent="0.2">
      <c r="U92" s="152"/>
      <c r="V92" s="21"/>
      <c r="W92" s="21"/>
      <c r="X92" s="21"/>
      <c r="Y92" s="21"/>
      <c r="Z92" s="21"/>
    </row>
    <row r="93" spans="1:26" ht="14.25" x14ac:dyDescent="0.2">
      <c r="A93" s="23"/>
      <c r="B93" s="23"/>
      <c r="C93" s="23"/>
      <c r="D93" s="23"/>
      <c r="T93" s="151"/>
      <c r="U93" s="152"/>
      <c r="V93" s="21"/>
      <c r="W93" s="21"/>
      <c r="X93" s="21"/>
      <c r="Y93" s="21"/>
      <c r="Z93" s="21"/>
    </row>
    <row r="94" spans="1:26" ht="14.25" x14ac:dyDescent="0.2">
      <c r="T94" s="151"/>
      <c r="U94" s="152"/>
      <c r="V94" s="21"/>
      <c r="W94" s="21"/>
      <c r="X94" s="21"/>
      <c r="Y94" s="21"/>
      <c r="Z94" s="21"/>
    </row>
    <row r="95" spans="1:26" ht="14.25" x14ac:dyDescent="0.2">
      <c r="T95" s="151"/>
      <c r="U95" s="152"/>
      <c r="V95" s="21"/>
      <c r="W95" s="21"/>
      <c r="X95" s="21"/>
      <c r="Y95" s="21"/>
      <c r="Z95" s="21"/>
    </row>
    <row r="96" spans="1:26" ht="14.25" x14ac:dyDescent="0.2">
      <c r="T96" s="151"/>
      <c r="U96" s="152"/>
      <c r="V96" s="21"/>
      <c r="W96" s="21"/>
      <c r="X96" s="21"/>
      <c r="Y96" s="21"/>
      <c r="Z96" s="21"/>
    </row>
    <row r="97" spans="1:26" ht="14.25" x14ac:dyDescent="0.2">
      <c r="T97" s="151"/>
      <c r="U97" s="152"/>
      <c r="V97" s="21"/>
      <c r="W97" s="21"/>
      <c r="X97" s="21"/>
      <c r="Y97" s="21"/>
      <c r="Z97" s="21"/>
    </row>
    <row r="98" spans="1:26" ht="14.25" x14ac:dyDescent="0.2">
      <c r="T98" s="151"/>
      <c r="U98" s="152"/>
      <c r="V98" s="21"/>
      <c r="W98" s="21"/>
      <c r="X98" s="21"/>
      <c r="Y98" s="21"/>
      <c r="Z98" s="21"/>
    </row>
    <row r="99" spans="1:26" ht="14.25" x14ac:dyDescent="0.2">
      <c r="T99" s="151"/>
      <c r="U99" s="152"/>
      <c r="V99" s="21"/>
      <c r="W99" s="21"/>
      <c r="X99" s="21"/>
      <c r="Y99" s="21"/>
      <c r="Z99" s="21"/>
    </row>
    <row r="100" spans="1:26" ht="14.25" x14ac:dyDescent="0.2">
      <c r="T100" s="151"/>
      <c r="U100" s="152"/>
      <c r="V100" s="21"/>
      <c r="W100" s="21"/>
      <c r="X100" s="21"/>
      <c r="Y100" s="21"/>
      <c r="Z100" s="21"/>
    </row>
    <row r="101" spans="1:26" ht="14.25" x14ac:dyDescent="0.2">
      <c r="T101" s="151"/>
      <c r="U101" s="152"/>
      <c r="V101" s="21"/>
      <c r="W101" s="21"/>
      <c r="X101" s="21"/>
      <c r="Y101" s="21"/>
      <c r="Z101" s="21"/>
    </row>
    <row r="102" spans="1:26" ht="14.25" x14ac:dyDescent="0.2">
      <c r="T102" s="151"/>
      <c r="U102" s="152"/>
      <c r="V102" s="21"/>
      <c r="W102" s="21"/>
      <c r="X102" s="21"/>
      <c r="Y102" s="21"/>
      <c r="Z102" s="21"/>
    </row>
    <row r="103" spans="1:26" ht="14.25" x14ac:dyDescent="0.2">
      <c r="T103" s="151"/>
      <c r="U103" s="152"/>
      <c r="V103" s="21"/>
      <c r="W103" s="21"/>
      <c r="X103" s="21"/>
      <c r="Y103" s="21"/>
      <c r="Z103" s="21"/>
    </row>
    <row r="104" spans="1:26" ht="14.25" x14ac:dyDescent="0.2">
      <c r="T104" s="151"/>
      <c r="U104" s="152"/>
      <c r="V104" s="21"/>
      <c r="W104" s="21"/>
      <c r="X104" s="21"/>
      <c r="Y104" s="21"/>
      <c r="Z104" s="21"/>
    </row>
    <row r="105" spans="1:26" ht="14.25" x14ac:dyDescent="0.2">
      <c r="T105" s="151"/>
      <c r="U105" s="152"/>
      <c r="V105" s="21"/>
      <c r="W105" s="21"/>
      <c r="X105" s="21"/>
      <c r="Y105" s="21"/>
      <c r="Z105" s="21"/>
    </row>
    <row r="106" spans="1:26" ht="14.25" x14ac:dyDescent="0.2">
      <c r="A106" s="23"/>
      <c r="B106" s="23"/>
      <c r="C106" s="23"/>
      <c r="D106" s="23"/>
      <c r="T106" s="151"/>
      <c r="U106" s="152"/>
      <c r="V106" s="21"/>
      <c r="W106" s="21"/>
      <c r="X106" s="21"/>
      <c r="Y106" s="21"/>
      <c r="Z106" s="21"/>
    </row>
    <row r="107" spans="1:26" ht="14.25" x14ac:dyDescent="0.2">
      <c r="A107" s="23"/>
      <c r="B107" s="23"/>
      <c r="C107" s="23"/>
      <c r="D107" s="23"/>
      <c r="T107" s="151"/>
      <c r="U107" s="152"/>
      <c r="V107" s="21"/>
      <c r="W107" s="21"/>
      <c r="X107" s="21"/>
      <c r="Y107" s="21"/>
      <c r="Z107" s="21"/>
    </row>
    <row r="108" spans="1:26" ht="14.25" x14ac:dyDescent="0.2">
      <c r="A108" s="23"/>
      <c r="B108" s="23"/>
      <c r="C108" s="23"/>
      <c r="D108" s="23"/>
      <c r="T108" s="151"/>
      <c r="U108" s="152"/>
      <c r="V108" s="21"/>
      <c r="W108" s="21"/>
      <c r="X108" s="21"/>
      <c r="Y108" s="21"/>
      <c r="Z108" s="21"/>
    </row>
    <row r="109" spans="1:26" ht="14.25" x14ac:dyDescent="0.2">
      <c r="A109" s="23"/>
      <c r="B109" s="23"/>
      <c r="C109" s="23"/>
      <c r="D109" s="23"/>
      <c r="T109" s="151"/>
      <c r="U109" s="152"/>
      <c r="V109" s="21"/>
      <c r="W109" s="21"/>
      <c r="X109" s="21"/>
      <c r="Y109" s="21"/>
      <c r="Z109" s="21"/>
    </row>
    <row r="110" spans="1:26" ht="14.25" x14ac:dyDescent="0.2">
      <c r="A110" s="23"/>
      <c r="B110" s="23"/>
      <c r="C110" s="23"/>
      <c r="D110" s="23"/>
      <c r="T110" s="151"/>
      <c r="U110" s="152"/>
      <c r="V110" s="21"/>
      <c r="W110" s="21"/>
      <c r="X110" s="21"/>
      <c r="Y110" s="21"/>
      <c r="Z110" s="21"/>
    </row>
    <row r="111" spans="1:26" ht="14.25" x14ac:dyDescent="0.2">
      <c r="A111" s="23"/>
      <c r="B111" s="23"/>
      <c r="C111" s="23"/>
      <c r="D111" s="23"/>
      <c r="T111" s="151"/>
      <c r="U111" s="152"/>
      <c r="V111" s="21"/>
      <c r="W111" s="21"/>
      <c r="X111" s="21"/>
      <c r="Y111" s="21"/>
      <c r="Z111" s="21"/>
    </row>
    <row r="112" spans="1:26" ht="14.25" x14ac:dyDescent="0.2">
      <c r="A112" s="23"/>
      <c r="B112" s="23"/>
      <c r="C112" s="23"/>
      <c r="D112" s="23"/>
      <c r="T112" s="151"/>
      <c r="U112" s="152"/>
      <c r="V112" s="21"/>
      <c r="W112" s="21"/>
      <c r="X112" s="21"/>
      <c r="Y112" s="21"/>
      <c r="Z112" s="21"/>
    </row>
    <row r="113" spans="1:26" ht="14.25" x14ac:dyDescent="0.2">
      <c r="A113" s="23"/>
      <c r="B113" s="23"/>
      <c r="C113" s="23"/>
      <c r="D113" s="23"/>
      <c r="T113" s="151"/>
      <c r="U113" s="152"/>
      <c r="V113" s="21"/>
      <c r="W113" s="21"/>
      <c r="X113" s="21"/>
      <c r="Y113" s="21"/>
      <c r="Z113" s="21"/>
    </row>
    <row r="114" spans="1:26" ht="14.25" x14ac:dyDescent="0.2">
      <c r="A114" s="23"/>
      <c r="B114" s="23"/>
      <c r="C114" s="23"/>
      <c r="D114" s="23"/>
      <c r="T114" s="151"/>
      <c r="U114" s="152"/>
      <c r="V114" s="21"/>
      <c r="W114" s="21"/>
      <c r="X114" s="21"/>
      <c r="Y114" s="21"/>
      <c r="Z114" s="21"/>
    </row>
    <row r="115" spans="1:26" ht="14.25" x14ac:dyDescent="0.2">
      <c r="A115" s="23"/>
      <c r="B115" s="23"/>
      <c r="C115" s="23"/>
      <c r="D115" s="23"/>
      <c r="T115" s="151"/>
      <c r="U115" s="152"/>
      <c r="V115" s="21"/>
      <c r="W115" s="21"/>
      <c r="X115" s="21"/>
      <c r="Y115" s="21"/>
      <c r="Z115" s="21"/>
    </row>
    <row r="116" spans="1:26" ht="14.25" x14ac:dyDescent="0.2">
      <c r="A116" s="23"/>
      <c r="B116" s="23"/>
      <c r="C116" s="23"/>
      <c r="D116" s="23"/>
      <c r="T116" s="151"/>
      <c r="U116" s="152"/>
      <c r="V116" s="21"/>
      <c r="W116" s="21"/>
      <c r="X116" s="21"/>
      <c r="Y116" s="21"/>
      <c r="Z116" s="21"/>
    </row>
    <row r="117" spans="1:26" ht="14.25" x14ac:dyDescent="0.2">
      <c r="A117" s="23"/>
      <c r="B117" s="23"/>
      <c r="C117" s="23"/>
      <c r="D117" s="23"/>
      <c r="T117" s="151"/>
      <c r="U117" s="152"/>
      <c r="V117" s="21"/>
      <c r="W117" s="21"/>
      <c r="X117" s="21"/>
      <c r="Y117" s="21"/>
      <c r="Z117" s="21"/>
    </row>
    <row r="118" spans="1:26" ht="14.25" x14ac:dyDescent="0.2">
      <c r="A118" s="23"/>
      <c r="B118" s="23"/>
      <c r="C118" s="23"/>
      <c r="D118" s="23"/>
      <c r="T118" s="151"/>
      <c r="U118" s="152"/>
      <c r="V118" s="21"/>
      <c r="W118" s="21"/>
      <c r="X118" s="21"/>
      <c r="Y118" s="21"/>
      <c r="Z118" s="21"/>
    </row>
    <row r="119" spans="1:26" ht="14.25" x14ac:dyDescent="0.2">
      <c r="A119" s="23"/>
      <c r="B119" s="23"/>
      <c r="C119" s="23"/>
      <c r="D119" s="23"/>
      <c r="T119" s="151"/>
      <c r="U119" s="152"/>
      <c r="V119" s="21"/>
      <c r="W119" s="21"/>
      <c r="X119" s="21"/>
      <c r="Y119" s="21"/>
      <c r="Z119" s="21"/>
    </row>
    <row r="120" spans="1:26" ht="13.5" x14ac:dyDescent="0.2">
      <c r="A120" s="24"/>
      <c r="B120" s="24"/>
      <c r="T120" s="153"/>
      <c r="V120" s="21"/>
      <c r="W120" s="21"/>
      <c r="X120" s="21"/>
      <c r="Y120" s="21"/>
      <c r="Z120" s="21"/>
    </row>
    <row r="134" spans="1:26" ht="16.899999999999999" customHeight="1" x14ac:dyDescent="0.2">
      <c r="A134" s="25"/>
    </row>
    <row r="135" spans="1:26" ht="12" customHeight="1" x14ac:dyDescent="0.2">
      <c r="A135" s="4"/>
    </row>
    <row r="136" spans="1:26" ht="13.15" customHeight="1" x14ac:dyDescent="0.2"/>
    <row r="137" spans="1:26" ht="13.15" customHeight="1" x14ac:dyDescent="0.2"/>
    <row r="138" spans="1:26" ht="13.15" customHeight="1" x14ac:dyDescent="0.2"/>
    <row r="139" spans="1:26" s="149" customFormat="1" ht="13.15" customHeight="1" x14ac:dyDescent="0.2">
      <c r="A139" s="1"/>
      <c r="B139" s="1"/>
      <c r="C139" s="1"/>
      <c r="D139" s="1"/>
      <c r="E139" s="1"/>
      <c r="F139" s="1"/>
      <c r="G139" s="1"/>
      <c r="H139" s="1"/>
      <c r="P139" s="1"/>
      <c r="Q139" s="1"/>
      <c r="T139" s="150"/>
      <c r="U139" s="150"/>
      <c r="V139" s="1"/>
      <c r="W139" s="1"/>
      <c r="X139" s="1"/>
      <c r="Y139" s="1"/>
      <c r="Z139" s="1"/>
    </row>
    <row r="140" spans="1:26" s="149" customFormat="1" ht="13.15" customHeight="1" x14ac:dyDescent="0.2">
      <c r="A140" s="1"/>
      <c r="B140" s="1"/>
      <c r="C140" s="1"/>
      <c r="D140" s="1"/>
      <c r="E140" s="1"/>
      <c r="F140" s="1"/>
      <c r="G140" s="1"/>
      <c r="H140" s="1"/>
      <c r="P140" s="1"/>
      <c r="Q140" s="1"/>
      <c r="T140" s="150"/>
      <c r="U140" s="150"/>
      <c r="V140" s="1"/>
      <c r="W140" s="1"/>
      <c r="X140" s="1"/>
      <c r="Y140" s="1"/>
      <c r="Z140" s="1"/>
    </row>
    <row r="141" spans="1:26" s="149" customFormat="1" ht="13.15" customHeight="1" x14ac:dyDescent="0.2">
      <c r="A141" s="1"/>
      <c r="B141" s="1"/>
      <c r="C141" s="1"/>
      <c r="D141" s="1"/>
      <c r="E141" s="1"/>
      <c r="F141" s="1"/>
      <c r="G141" s="1"/>
      <c r="H141" s="1"/>
      <c r="P141" s="1"/>
      <c r="Q141" s="1"/>
      <c r="T141" s="150"/>
      <c r="U141" s="150"/>
      <c r="V141" s="1"/>
      <c r="W141" s="1"/>
      <c r="X141" s="1"/>
      <c r="Y141" s="1"/>
      <c r="Z141" s="1"/>
    </row>
    <row r="142" spans="1:26" s="149" customFormat="1" ht="12" customHeight="1" x14ac:dyDescent="0.2">
      <c r="A142" s="1"/>
      <c r="B142" s="1"/>
      <c r="C142" s="1"/>
      <c r="D142" s="1"/>
      <c r="E142" s="1"/>
      <c r="F142" s="1"/>
      <c r="G142" s="1"/>
      <c r="H142" s="1"/>
      <c r="P142" s="1"/>
      <c r="Q142" s="1"/>
      <c r="T142" s="150"/>
      <c r="U142" s="150"/>
      <c r="V142" s="1"/>
      <c r="W142" s="1"/>
      <c r="X142" s="1"/>
      <c r="Y142" s="1"/>
      <c r="Z142" s="1"/>
    </row>
    <row r="143" spans="1:26" s="149" customFormat="1" ht="12" customHeight="1" x14ac:dyDescent="0.2">
      <c r="A143" s="1"/>
      <c r="B143" s="1"/>
      <c r="C143" s="1"/>
      <c r="D143" s="1"/>
      <c r="E143" s="1"/>
      <c r="F143" s="1"/>
      <c r="G143" s="1"/>
      <c r="H143" s="1"/>
      <c r="P143" s="1"/>
      <c r="Q143" s="1"/>
      <c r="T143" s="150"/>
      <c r="U143" s="150"/>
      <c r="V143" s="1"/>
      <c r="W143" s="1"/>
      <c r="X143" s="1"/>
      <c r="Y143" s="1"/>
      <c r="Z143" s="1"/>
    </row>
    <row r="144" spans="1:26" s="149" customFormat="1" ht="15" customHeight="1" x14ac:dyDescent="0.2">
      <c r="A144" s="1"/>
      <c r="B144" s="1"/>
      <c r="C144" s="1"/>
      <c r="D144" s="1"/>
      <c r="E144" s="1"/>
      <c r="F144" s="1"/>
      <c r="G144" s="1"/>
      <c r="H144" s="1"/>
      <c r="P144" s="1"/>
      <c r="Q144" s="1"/>
      <c r="T144" s="150"/>
      <c r="U144" s="150"/>
      <c r="V144" s="1"/>
      <c r="W144" s="1"/>
      <c r="X144" s="1"/>
      <c r="Y144" s="1"/>
      <c r="Z144" s="1"/>
    </row>
    <row r="145" spans="1:26" s="149" customFormat="1" ht="15" customHeight="1" x14ac:dyDescent="0.2">
      <c r="A145" s="1"/>
      <c r="B145" s="1"/>
      <c r="C145" s="1"/>
      <c r="D145" s="1"/>
      <c r="E145" s="1"/>
      <c r="F145" s="1"/>
      <c r="G145" s="1"/>
      <c r="H145" s="1"/>
      <c r="P145" s="1"/>
      <c r="Q145" s="1"/>
      <c r="T145" s="150"/>
      <c r="U145" s="150"/>
      <c r="V145" s="1"/>
      <c r="W145" s="1"/>
      <c r="X145" s="1"/>
      <c r="Y145" s="1"/>
      <c r="Z145" s="1"/>
    </row>
  </sheetData>
  <sheetProtection sheet="1" formatCells="0" formatColumns="0" formatRows="0"/>
  <phoneticPr fontId="4"/>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92928-B774-4ADF-BE78-B361A6ADEAD5}">
  <dimension ref="A1:C5"/>
  <sheetViews>
    <sheetView workbookViewId="0">
      <selection activeCell="C16" sqref="C16"/>
    </sheetView>
  </sheetViews>
  <sheetFormatPr defaultRowHeight="12.75" x14ac:dyDescent="0.2"/>
  <cols>
    <col min="1" max="1" width="14.33203125" customWidth="1"/>
    <col min="2" max="2" width="11.5" bestFit="1" customWidth="1"/>
  </cols>
  <sheetData>
    <row r="1" spans="1:3" x14ac:dyDescent="0.2">
      <c r="A1" s="953" t="s">
        <v>1061</v>
      </c>
    </row>
    <row r="3" spans="1:3" x14ac:dyDescent="0.2">
      <c r="A3" s="953" t="s">
        <v>1063</v>
      </c>
      <c r="B3" s="954">
        <v>44370</v>
      </c>
      <c r="C3" s="953" t="s">
        <v>1062</v>
      </c>
    </row>
    <row r="4" spans="1:3" x14ac:dyDescent="0.2">
      <c r="A4" s="953" t="s">
        <v>1064</v>
      </c>
      <c r="B4" s="954">
        <v>44552</v>
      </c>
      <c r="C4" s="113" t="s">
        <v>1060</v>
      </c>
    </row>
    <row r="5" spans="1:3" x14ac:dyDescent="0.2">
      <c r="C5" s="113"/>
    </row>
  </sheetData>
  <phoneticPr fontId="4"/>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41B76-32B7-4828-88B0-50A0F4D911E7}">
  <dimension ref="A1:Z139"/>
  <sheetViews>
    <sheetView zoomScale="160" zoomScaleNormal="160" workbookViewId="0">
      <selection activeCell="P16" sqref="P16"/>
    </sheetView>
  </sheetViews>
  <sheetFormatPr defaultColWidth="9.33203125" defaultRowHeight="12.75" x14ac:dyDescent="0.2"/>
  <cols>
    <col min="1" max="2" width="9.33203125" style="1"/>
    <col min="3" max="7" width="10.1640625" style="1" customWidth="1"/>
    <col min="8" max="8" width="10.33203125" style="1" bestFit="1" customWidth="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954</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955</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27" customFormat="1" ht="15.75" x14ac:dyDescent="0.2">
      <c r="A6" s="873" t="s">
        <v>956</v>
      </c>
      <c r="N6" s="113"/>
      <c r="O6" s="113"/>
      <c r="P6" s="2"/>
      <c r="Q6" s="2"/>
      <c r="R6" s="113"/>
      <c r="S6" s="113"/>
    </row>
    <row r="7" spans="1:25" s="227" customFormat="1" ht="15.75" x14ac:dyDescent="0.2">
      <c r="A7" s="873" t="s">
        <v>957</v>
      </c>
      <c r="N7" s="113"/>
      <c r="O7" s="113"/>
      <c r="P7" s="2"/>
      <c r="Q7" s="2"/>
      <c r="R7" s="113"/>
      <c r="S7" s="113"/>
    </row>
    <row r="8" spans="1:25" s="227" customFormat="1" ht="15.75" x14ac:dyDescent="0.2">
      <c r="A8" s="873" t="s">
        <v>958</v>
      </c>
      <c r="N8" s="113"/>
      <c r="O8" s="113"/>
      <c r="P8" s="2"/>
      <c r="Q8" s="2"/>
      <c r="R8" s="113"/>
      <c r="S8" s="113"/>
    </row>
    <row r="9" spans="1:25" s="227" customFormat="1" ht="15.75" x14ac:dyDescent="0.2">
      <c r="A9" s="874" t="s">
        <v>959</v>
      </c>
      <c r="N9" s="113"/>
      <c r="O9" s="113"/>
      <c r="P9" s="2"/>
      <c r="Q9" s="2"/>
      <c r="R9" s="113"/>
      <c r="S9" s="113"/>
    </row>
    <row r="10" spans="1:25" x14ac:dyDescent="0.2">
      <c r="A10" s="102"/>
      <c r="B10" s="97"/>
      <c r="C10" s="97"/>
      <c r="D10" s="97"/>
      <c r="E10" s="97"/>
      <c r="F10" s="97"/>
      <c r="G10" s="97"/>
      <c r="H10" s="97"/>
      <c r="I10" s="113"/>
      <c r="J10" s="113"/>
      <c r="K10" s="113"/>
      <c r="L10" s="113"/>
      <c r="M10" s="113"/>
      <c r="N10" s="113"/>
      <c r="O10" s="113"/>
      <c r="R10" s="113"/>
      <c r="S10" s="113"/>
      <c r="T10" s="146"/>
      <c r="U10" s="146"/>
    </row>
    <row r="11" spans="1:25" x14ac:dyDescent="0.2">
      <c r="A11" s="97"/>
      <c r="B11" s="97"/>
      <c r="C11" s="97"/>
      <c r="D11" s="97"/>
      <c r="E11" s="97"/>
      <c r="F11" s="97"/>
      <c r="G11" s="97"/>
      <c r="H11" s="97"/>
      <c r="I11" s="113"/>
      <c r="J11" s="113"/>
      <c r="K11" s="113"/>
      <c r="L11" s="113"/>
      <c r="M11" s="113"/>
      <c r="N11" s="113"/>
      <c r="O11" s="113"/>
      <c r="R11" s="113"/>
      <c r="S11" s="113"/>
      <c r="T11" s="146"/>
      <c r="U11" s="146"/>
    </row>
    <row r="12" spans="1:25" x14ac:dyDescent="0.2">
      <c r="A12" s="97"/>
      <c r="B12" s="97"/>
      <c r="C12" s="97"/>
      <c r="D12" s="97"/>
      <c r="E12" s="97"/>
      <c r="F12" s="97"/>
      <c r="G12" s="97"/>
      <c r="H12" s="97"/>
      <c r="I12" s="113"/>
      <c r="J12" s="113"/>
      <c r="K12" s="113"/>
      <c r="L12" s="113"/>
      <c r="M12" s="113"/>
      <c r="N12" s="113"/>
      <c r="O12" s="113"/>
      <c r="R12" s="113"/>
      <c r="S12" s="113"/>
      <c r="T12" s="146"/>
      <c r="U12" s="146"/>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
        <v>321</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12</v>
      </c>
      <c r="N16" s="104" t="s">
        <v>1058</v>
      </c>
      <c r="O16" s="104" t="s">
        <v>100</v>
      </c>
      <c r="P16" s="6" t="s">
        <v>105</v>
      </c>
      <c r="Q16" s="6" t="s">
        <v>106</v>
      </c>
      <c r="R16" s="104" t="s">
        <v>1051</v>
      </c>
      <c r="S16" s="104" t="s">
        <v>1052</v>
      </c>
      <c r="T16" s="147" t="s">
        <v>80</v>
      </c>
      <c r="U16" s="147" t="s">
        <v>81</v>
      </c>
      <c r="V16" s="5" t="s">
        <v>101</v>
      </c>
      <c r="W16" s="5" t="s">
        <v>102</v>
      </c>
      <c r="X16" s="112" t="s">
        <v>103</v>
      </c>
      <c r="Y16" s="112" t="s">
        <v>104</v>
      </c>
    </row>
    <row r="17" spans="1:26" x14ac:dyDescent="0.2">
      <c r="A17" s="213" t="str">
        <f>A30</f>
        <v>LNE</v>
      </c>
      <c r="B17" s="213" t="str">
        <f>B30</f>
        <v>D015224</v>
      </c>
      <c r="C17" s="219">
        <f>C30*0.001</f>
        <v>0.35632999999999998</v>
      </c>
      <c r="D17" s="219">
        <f>D30*0.001</f>
        <v>3.7200000000000002E-3</v>
      </c>
      <c r="E17" s="219">
        <f>E30*0.001</f>
        <v>0.35660000000000003</v>
      </c>
      <c r="F17" s="219">
        <f t="shared" ref="F17:F26" si="0">F30/2*0.001</f>
        <v>5.5000000000000003E-4</v>
      </c>
      <c r="G17" s="219">
        <f>L30*0.001</f>
        <v>2.9999999999999997E-4</v>
      </c>
      <c r="H17" s="219">
        <f>M30*0.001</f>
        <v>7.4999999999999997E-3</v>
      </c>
      <c r="I17" s="155">
        <f t="shared" ref="I17:I26" si="1">IF(ABS(G17)&gt;ABS(H17), 1, 0)</f>
        <v>0</v>
      </c>
      <c r="J17" s="155">
        <f t="shared" ref="J17:J26" si="2">I17*ABS(C17-E17)</f>
        <v>0</v>
      </c>
      <c r="K17" s="155">
        <f t="shared" ref="K17:K26" si="3">SQRT(SUMSQ(F17,J17))*2</f>
        <v>1.1000000000000001E-3</v>
      </c>
      <c r="L17" s="155">
        <f t="shared" ref="L17:L26" si="4">IF(C17&lt;$K$2, C17, $K$1)</f>
        <v>0.35632999999999998</v>
      </c>
      <c r="M17" s="156">
        <f t="shared" ref="M17:M26" si="5">IF(AND(C17&lt;$K$1,C17&gt; $K$2), K17/L17*100, K17/C17*100)</f>
        <v>0.30870260713383663</v>
      </c>
      <c r="N17" s="157">
        <f t="shared" ref="N17" si="6">M17*L17/100</f>
        <v>1.1000000000000001E-3</v>
      </c>
      <c r="O17" s="155">
        <f t="shared" ref="O17" si="7">N17/(M17*L17/100)*100</f>
        <v>100</v>
      </c>
      <c r="P17" s="250">
        <v>1</v>
      </c>
      <c r="Q17" s="250">
        <v>1000</v>
      </c>
      <c r="R17" s="148">
        <f>IF( IF(P17&lt;L17, M17*L17/P17, M17)&gt;100, "ERROR",  IF(P17&lt;L17, M17*L17/P17, M17))</f>
        <v>0.30870260713383663</v>
      </c>
      <c r="S17" s="148">
        <f>IF(IF(Q17&lt;L17, M17*L17/Q17, M17)&gt;100, "ERROR", IF(Q17&lt;L17, M17*L17/Q17, M17))</f>
        <v>0.30870260713383663</v>
      </c>
      <c r="T17" s="148">
        <f>R17*P17*0.01</f>
        <v>3.0870260713383663E-3</v>
      </c>
      <c r="U17" s="148">
        <f>S17*Q17*0.01</f>
        <v>3.0870260713383666</v>
      </c>
      <c r="V17" s="7">
        <f>P17*1000</f>
        <v>1000</v>
      </c>
      <c r="W17" s="7">
        <f>Q17*1000</f>
        <v>1000000</v>
      </c>
      <c r="X17" s="1345">
        <f>T17*1000</f>
        <v>3.0870260713383662</v>
      </c>
      <c r="Y17" s="1345">
        <f>U17*1000</f>
        <v>3087.0260713383668</v>
      </c>
    </row>
    <row r="18" spans="1:26" x14ac:dyDescent="0.2">
      <c r="A18" s="213" t="str">
        <f t="shared" ref="A18:B18" si="8">A31</f>
        <v>NIST</v>
      </c>
      <c r="B18" s="213" t="str">
        <f t="shared" si="8"/>
        <v>D015230</v>
      </c>
      <c r="C18" s="219">
        <f t="shared" ref="C18:E18" si="9">C31*0.001</f>
        <v>0.35152</v>
      </c>
      <c r="D18" s="219">
        <f t="shared" si="9"/>
        <v>3.1200000000000004E-3</v>
      </c>
      <c r="E18" s="219">
        <f t="shared" si="9"/>
        <v>0.35860000000000003</v>
      </c>
      <c r="F18" s="219">
        <f t="shared" si="0"/>
        <v>1E-3</v>
      </c>
      <c r="G18" s="219">
        <f t="shared" ref="G18:H18" si="10">L31*0.001</f>
        <v>7.0999999999999995E-3</v>
      </c>
      <c r="H18" s="219">
        <f t="shared" si="10"/>
        <v>6.5000000000000006E-3</v>
      </c>
      <c r="I18" s="155">
        <f t="shared" si="1"/>
        <v>1</v>
      </c>
      <c r="J18" s="155">
        <f t="shared" si="2"/>
        <v>7.0800000000000307E-3</v>
      </c>
      <c r="K18" s="155">
        <f t="shared" si="3"/>
        <v>1.4300545444143092E-2</v>
      </c>
      <c r="L18" s="155">
        <f t="shared" si="4"/>
        <v>0.35152</v>
      </c>
      <c r="M18" s="156">
        <f t="shared" si="5"/>
        <v>4.0682025045923682</v>
      </c>
      <c r="N18" s="157">
        <f t="shared" ref="N18:N26" si="11">M18*L18/100</f>
        <v>1.4300545444143093E-2</v>
      </c>
      <c r="O18" s="155">
        <f t="shared" ref="O18:O26" si="12">N18/(M18*L18/100)*100</f>
        <v>100</v>
      </c>
      <c r="P18" s="250">
        <v>1</v>
      </c>
      <c r="Q18" s="250">
        <v>1000</v>
      </c>
      <c r="R18" s="148">
        <f t="shared" ref="R18:R26" si="13">IF( IF(P18&lt;L18, M18*L18/P18, M18)&gt;100, "ERROR",  IF(P18&lt;L18, M18*L18/P18, M18))</f>
        <v>4.0682025045923682</v>
      </c>
      <c r="S18" s="148">
        <f t="shared" ref="S18:S26" si="14">IF(IF(Q18&lt;L18, M18*L18/Q18, M18)&gt;100, "ERROR", IF(Q18&lt;L18, M18*L18/Q18, M18))</f>
        <v>4.0682025045923682</v>
      </c>
      <c r="T18" s="148">
        <f t="shared" ref="T18:U26" si="15">R18*P18*0.01</f>
        <v>4.0682025045923685E-2</v>
      </c>
      <c r="U18" s="148">
        <f t="shared" si="15"/>
        <v>40.682025045923687</v>
      </c>
      <c r="V18" s="7">
        <f t="shared" ref="V18:W26" si="16">P18*1000</f>
        <v>1000</v>
      </c>
      <c r="W18" s="7">
        <f t="shared" si="16"/>
        <v>1000000</v>
      </c>
      <c r="X18" s="1345">
        <f t="shared" ref="X18:Y26" si="17">T18*1000</f>
        <v>40.682025045923687</v>
      </c>
      <c r="Y18" s="1345">
        <f t="shared" si="17"/>
        <v>40682.025045923685</v>
      </c>
    </row>
    <row r="19" spans="1:26" x14ac:dyDescent="0.2">
      <c r="A19" s="213" t="str">
        <f t="shared" ref="A19:B19" si="18">A32</f>
        <v>NOAA</v>
      </c>
      <c r="B19" s="213" t="str">
        <f t="shared" si="18"/>
        <v>D015283</v>
      </c>
      <c r="C19" s="219">
        <f t="shared" ref="C19:E19" si="19">C32*0.001</f>
        <v>0.35081000000000001</v>
      </c>
      <c r="D19" s="219">
        <f t="shared" si="19"/>
        <v>1.8600000000000001E-3</v>
      </c>
      <c r="E19" s="219">
        <f t="shared" si="19"/>
        <v>0.34600000000000003</v>
      </c>
      <c r="F19" s="219">
        <f t="shared" si="0"/>
        <v>2.3500000000000001E-3</v>
      </c>
      <c r="G19" s="219">
        <f t="shared" ref="G19:H19" si="20">L32*0.001</f>
        <v>-4.7999999999999996E-3</v>
      </c>
      <c r="H19" s="219">
        <f t="shared" si="20"/>
        <v>6.0000000000000001E-3</v>
      </c>
      <c r="I19" s="155">
        <f t="shared" si="1"/>
        <v>0</v>
      </c>
      <c r="J19" s="155">
        <f t="shared" si="2"/>
        <v>0</v>
      </c>
      <c r="K19" s="155">
        <f t="shared" si="3"/>
        <v>4.7000000000000002E-3</v>
      </c>
      <c r="L19" s="155">
        <f t="shared" si="4"/>
        <v>0.35081000000000001</v>
      </c>
      <c r="M19" s="156">
        <f t="shared" si="5"/>
        <v>1.3397565633818875</v>
      </c>
      <c r="N19" s="157">
        <f t="shared" si="11"/>
        <v>4.6999999999999993E-3</v>
      </c>
      <c r="O19" s="155">
        <f t="shared" si="12"/>
        <v>100</v>
      </c>
      <c r="P19" s="250">
        <v>1</v>
      </c>
      <c r="Q19" s="250">
        <v>1000</v>
      </c>
      <c r="R19" s="148">
        <f t="shared" si="13"/>
        <v>1.3397565633818875</v>
      </c>
      <c r="S19" s="148">
        <f t="shared" si="14"/>
        <v>1.3397565633818875</v>
      </c>
      <c r="T19" s="148">
        <f t="shared" si="15"/>
        <v>1.3397565633818876E-2</v>
      </c>
      <c r="U19" s="148">
        <f t="shared" si="15"/>
        <v>13.397565633818877</v>
      </c>
      <c r="V19" s="7">
        <f t="shared" si="16"/>
        <v>1000</v>
      </c>
      <c r="W19" s="7">
        <f t="shared" si="16"/>
        <v>1000000</v>
      </c>
      <c r="X19" s="1345">
        <f t="shared" si="17"/>
        <v>13.397565633818877</v>
      </c>
      <c r="Y19" s="1345">
        <f t="shared" si="17"/>
        <v>13397.565633818876</v>
      </c>
    </row>
    <row r="20" spans="1:26" x14ac:dyDescent="0.2">
      <c r="A20" s="213" t="str">
        <f t="shared" ref="A20:B20" si="21">A33</f>
        <v>FMI</v>
      </c>
      <c r="B20" s="213" t="str">
        <f t="shared" si="21"/>
        <v>D015285</v>
      </c>
      <c r="C20" s="219">
        <f t="shared" ref="C20:E20" si="22">C33*0.001</f>
        <v>0.34886</v>
      </c>
      <c r="D20" s="219">
        <f t="shared" si="22"/>
        <v>1.6200000000000001E-3</v>
      </c>
      <c r="E20" s="219">
        <f t="shared" si="22"/>
        <v>0.35183999999999999</v>
      </c>
      <c r="F20" s="219">
        <f t="shared" si="0"/>
        <v>2.7599999999999999E-3</v>
      </c>
      <c r="G20" s="219">
        <f t="shared" ref="G20:H20" si="23">L33*0.001</f>
        <v>2.98E-3</v>
      </c>
      <c r="H20" s="219">
        <f t="shared" si="23"/>
        <v>6.4000000000000003E-3</v>
      </c>
      <c r="I20" s="155">
        <f t="shared" si="1"/>
        <v>0</v>
      </c>
      <c r="J20" s="155">
        <f t="shared" si="2"/>
        <v>0</v>
      </c>
      <c r="K20" s="155">
        <f t="shared" si="3"/>
        <v>5.5199999999999997E-3</v>
      </c>
      <c r="L20" s="155">
        <f t="shared" si="4"/>
        <v>0.34886</v>
      </c>
      <c r="M20" s="156">
        <f t="shared" si="5"/>
        <v>1.5822966232872784</v>
      </c>
      <c r="N20" s="157">
        <f t="shared" si="11"/>
        <v>5.5199999999999997E-3</v>
      </c>
      <c r="O20" s="155">
        <f t="shared" si="12"/>
        <v>100</v>
      </c>
      <c r="P20" s="250">
        <v>1</v>
      </c>
      <c r="Q20" s="250">
        <v>1000</v>
      </c>
      <c r="R20" s="148">
        <f t="shared" si="13"/>
        <v>1.5822966232872784</v>
      </c>
      <c r="S20" s="148">
        <f t="shared" si="14"/>
        <v>1.5822966232872784</v>
      </c>
      <c r="T20" s="148">
        <f t="shared" si="15"/>
        <v>1.5822966232872784E-2</v>
      </c>
      <c r="U20" s="148">
        <f t="shared" si="15"/>
        <v>15.822966232872785</v>
      </c>
      <c r="V20" s="7">
        <f t="shared" si="16"/>
        <v>1000</v>
      </c>
      <c r="W20" s="7">
        <f t="shared" si="16"/>
        <v>1000000</v>
      </c>
      <c r="X20" s="1345">
        <f t="shared" si="17"/>
        <v>15.822966232872785</v>
      </c>
      <c r="Y20" s="1345">
        <f t="shared" si="17"/>
        <v>15822.966232872785</v>
      </c>
    </row>
    <row r="21" spans="1:26" x14ac:dyDescent="0.2">
      <c r="A21" s="213" t="str">
        <f t="shared" ref="A21:B21" si="24">A34</f>
        <v>NPL</v>
      </c>
      <c r="B21" s="213" t="str">
        <f t="shared" si="24"/>
        <v>D015215</v>
      </c>
      <c r="C21" s="219">
        <f t="shared" ref="C21:E21" si="25">C34*0.001</f>
        <v>0.34997000000000006</v>
      </c>
      <c r="D21" s="219">
        <f t="shared" si="25"/>
        <v>1.65E-3</v>
      </c>
      <c r="E21" s="219">
        <f t="shared" si="25"/>
        <v>0.35539999999999999</v>
      </c>
      <c r="F21" s="219">
        <f t="shared" si="0"/>
        <v>3.5000000000000001E-3</v>
      </c>
      <c r="G21" s="219">
        <f t="shared" ref="G21:H21" si="26">L34*0.001</f>
        <v>5.4000000000000003E-3</v>
      </c>
      <c r="H21" s="219">
        <f t="shared" si="26"/>
        <v>7.7000000000000002E-3</v>
      </c>
      <c r="I21" s="155">
        <f t="shared" si="1"/>
        <v>0</v>
      </c>
      <c r="J21" s="155">
        <f t="shared" si="2"/>
        <v>0</v>
      </c>
      <c r="K21" s="155">
        <f t="shared" si="3"/>
        <v>7.0000000000000001E-3</v>
      </c>
      <c r="L21" s="155">
        <f t="shared" si="4"/>
        <v>0.34997000000000006</v>
      </c>
      <c r="M21" s="156">
        <f t="shared" si="5"/>
        <v>2.0001714432665652</v>
      </c>
      <c r="N21" s="157">
        <f t="shared" si="11"/>
        <v>6.9999999999999993E-3</v>
      </c>
      <c r="O21" s="155">
        <f t="shared" si="12"/>
        <v>100</v>
      </c>
      <c r="P21" s="250">
        <v>1</v>
      </c>
      <c r="Q21" s="250">
        <v>1000</v>
      </c>
      <c r="R21" s="148">
        <f t="shared" si="13"/>
        <v>2.0001714432665652</v>
      </c>
      <c r="S21" s="148">
        <f t="shared" si="14"/>
        <v>2.0001714432665652</v>
      </c>
      <c r="T21" s="148">
        <f t="shared" si="15"/>
        <v>2.0001714432665654E-2</v>
      </c>
      <c r="U21" s="148">
        <f t="shared" si="15"/>
        <v>20.001714432665651</v>
      </c>
      <c r="V21" s="7">
        <f t="shared" si="16"/>
        <v>1000</v>
      </c>
      <c r="W21" s="7">
        <f t="shared" si="16"/>
        <v>1000000</v>
      </c>
      <c r="X21" s="1345">
        <f t="shared" si="17"/>
        <v>20.001714432665654</v>
      </c>
      <c r="Y21" s="1345">
        <f t="shared" si="17"/>
        <v>20001.714432665649</v>
      </c>
    </row>
    <row r="22" spans="1:26" x14ac:dyDescent="0.2">
      <c r="A22" s="213" t="str">
        <f t="shared" ref="A22:B22" si="27">A35</f>
        <v>JRC</v>
      </c>
      <c r="B22" s="213" t="str">
        <f t="shared" si="27"/>
        <v>D015217</v>
      </c>
      <c r="C22" s="219">
        <f t="shared" ref="C22:E22" si="28">C35*0.001</f>
        <v>0.35082999999999998</v>
      </c>
      <c r="D22" s="219">
        <f t="shared" si="28"/>
        <v>1.6999999999999999E-3</v>
      </c>
      <c r="E22" s="219">
        <f t="shared" si="28"/>
        <v>0.35108999999999996</v>
      </c>
      <c r="F22" s="219">
        <f t="shared" si="0"/>
        <v>6.5500000000000003E-3</v>
      </c>
      <c r="G22" s="219">
        <f t="shared" ref="G22:H22" si="29">L35*0.001</f>
        <v>2.6000000000000003E-4</v>
      </c>
      <c r="H22" s="219">
        <f t="shared" si="29"/>
        <v>1.353E-2</v>
      </c>
      <c r="I22" s="155">
        <f t="shared" si="1"/>
        <v>0</v>
      </c>
      <c r="J22" s="155">
        <f t="shared" si="2"/>
        <v>0</v>
      </c>
      <c r="K22" s="155">
        <f t="shared" si="3"/>
        <v>1.3100000000000001E-2</v>
      </c>
      <c r="L22" s="155">
        <f t="shared" si="4"/>
        <v>0.35082999999999998</v>
      </c>
      <c r="M22" s="156">
        <f t="shared" si="5"/>
        <v>3.7340022232990342</v>
      </c>
      <c r="N22" s="157">
        <f t="shared" si="11"/>
        <v>1.3100000000000001E-2</v>
      </c>
      <c r="O22" s="155">
        <f t="shared" si="12"/>
        <v>100</v>
      </c>
      <c r="P22" s="250">
        <v>1</v>
      </c>
      <c r="Q22" s="250">
        <v>1000</v>
      </c>
      <c r="R22" s="148">
        <f t="shared" si="13"/>
        <v>3.7340022232990342</v>
      </c>
      <c r="S22" s="148">
        <f t="shared" si="14"/>
        <v>3.7340022232990342</v>
      </c>
      <c r="T22" s="148">
        <f t="shared" si="15"/>
        <v>3.7340022232990343E-2</v>
      </c>
      <c r="U22" s="148">
        <f t="shared" si="15"/>
        <v>37.340022232990343</v>
      </c>
      <c r="V22" s="7">
        <f t="shared" si="16"/>
        <v>1000</v>
      </c>
      <c r="W22" s="7">
        <f t="shared" si="16"/>
        <v>1000000</v>
      </c>
      <c r="X22" s="1345">
        <f t="shared" si="17"/>
        <v>37.340022232990343</v>
      </c>
      <c r="Y22" s="1345">
        <f t="shared" si="17"/>
        <v>37340.022232990341</v>
      </c>
    </row>
    <row r="23" spans="1:26" x14ac:dyDescent="0.2">
      <c r="A23" s="213" t="str">
        <f t="shared" ref="A23:B23" si="30">A36</f>
        <v>NMIJ</v>
      </c>
      <c r="B23" s="213" t="str">
        <f t="shared" si="30"/>
        <v>D015275</v>
      </c>
      <c r="C23" s="219">
        <f t="shared" ref="C23:E23" si="31">C36*0.001</f>
        <v>0.34243000000000001</v>
      </c>
      <c r="D23" s="219">
        <f t="shared" si="31"/>
        <v>1.65E-3</v>
      </c>
      <c r="E23" s="219">
        <f t="shared" si="31"/>
        <v>0.34126000000000001</v>
      </c>
      <c r="F23" s="219">
        <f t="shared" si="0"/>
        <v>1.23E-3</v>
      </c>
      <c r="G23" s="219">
        <f t="shared" ref="G23:H23" si="32">L36*0.001</f>
        <v>-1.17E-3</v>
      </c>
      <c r="H23" s="219">
        <f t="shared" si="32"/>
        <v>4.1200000000000004E-3</v>
      </c>
      <c r="I23" s="155">
        <f t="shared" si="1"/>
        <v>0</v>
      </c>
      <c r="J23" s="155">
        <f t="shared" si="2"/>
        <v>0</v>
      </c>
      <c r="K23" s="155">
        <f t="shared" si="3"/>
        <v>2.4599999999999999E-3</v>
      </c>
      <c r="L23" s="155">
        <f t="shared" si="4"/>
        <v>0.34243000000000001</v>
      </c>
      <c r="M23" s="156">
        <f t="shared" si="5"/>
        <v>0.71839500043804572</v>
      </c>
      <c r="N23" s="157">
        <f t="shared" si="11"/>
        <v>2.4599999999999999E-3</v>
      </c>
      <c r="O23" s="155">
        <f t="shared" si="12"/>
        <v>100</v>
      </c>
      <c r="P23" s="250">
        <v>1</v>
      </c>
      <c r="Q23" s="250">
        <v>1000</v>
      </c>
      <c r="R23" s="148">
        <f t="shared" si="13"/>
        <v>0.71839500043804572</v>
      </c>
      <c r="S23" s="148">
        <f t="shared" si="14"/>
        <v>0.71839500043804572</v>
      </c>
      <c r="T23" s="148">
        <f t="shared" si="15"/>
        <v>7.1839500043804575E-3</v>
      </c>
      <c r="U23" s="148">
        <f t="shared" si="15"/>
        <v>7.1839500043804572</v>
      </c>
      <c r="V23" s="7">
        <f t="shared" si="16"/>
        <v>1000</v>
      </c>
      <c r="W23" s="7">
        <f t="shared" si="16"/>
        <v>1000000</v>
      </c>
      <c r="X23" s="1345">
        <f t="shared" si="17"/>
        <v>7.1839500043804572</v>
      </c>
      <c r="Y23" s="1345">
        <f t="shared" si="17"/>
        <v>7183.9500043804574</v>
      </c>
    </row>
    <row r="24" spans="1:26" x14ac:dyDescent="0.2">
      <c r="A24" s="213" t="str">
        <f t="shared" ref="A24:B24" si="33">A37</f>
        <v>KRISS</v>
      </c>
      <c r="B24" s="213" t="str">
        <f t="shared" si="33"/>
        <v>D015286</v>
      </c>
      <c r="C24" s="219">
        <f t="shared" ref="C24:E24" si="34">C37*0.001</f>
        <v>0.35326000000000002</v>
      </c>
      <c r="D24" s="219">
        <f t="shared" si="34"/>
        <v>1.8600000000000001E-3</v>
      </c>
      <c r="E24" s="219">
        <f t="shared" si="34"/>
        <v>0.35325000000000001</v>
      </c>
      <c r="F24" s="219">
        <f t="shared" si="0"/>
        <v>5.3000000000000009E-4</v>
      </c>
      <c r="G24" s="219">
        <f t="shared" ref="G24:H24" si="35">L37*0.001</f>
        <v>-1.0000000000000001E-5</v>
      </c>
      <c r="H24" s="219">
        <f t="shared" si="35"/>
        <v>3.8700000000000002E-3</v>
      </c>
      <c r="I24" s="155">
        <f t="shared" si="1"/>
        <v>0</v>
      </c>
      <c r="J24" s="155">
        <f t="shared" si="2"/>
        <v>0</v>
      </c>
      <c r="K24" s="155">
        <f t="shared" si="3"/>
        <v>1.0600000000000002E-3</v>
      </c>
      <c r="L24" s="155">
        <f t="shared" si="4"/>
        <v>0.35326000000000002</v>
      </c>
      <c r="M24" s="156">
        <f t="shared" si="5"/>
        <v>0.3000622770763744</v>
      </c>
      <c r="N24" s="157">
        <f t="shared" si="11"/>
        <v>1.0600000000000002E-3</v>
      </c>
      <c r="O24" s="155">
        <f t="shared" si="12"/>
        <v>100</v>
      </c>
      <c r="P24" s="250">
        <v>1</v>
      </c>
      <c r="Q24" s="250">
        <v>1000</v>
      </c>
      <c r="R24" s="148">
        <f t="shared" si="13"/>
        <v>0.3000622770763744</v>
      </c>
      <c r="S24" s="148">
        <f t="shared" si="14"/>
        <v>0.3000622770763744</v>
      </c>
      <c r="T24" s="148">
        <f t="shared" si="15"/>
        <v>3.0006227707637442E-3</v>
      </c>
      <c r="U24" s="148">
        <f t="shared" si="15"/>
        <v>3.0006227707637443</v>
      </c>
      <c r="V24" s="7">
        <f t="shared" si="16"/>
        <v>1000</v>
      </c>
      <c r="W24" s="7">
        <f t="shared" si="16"/>
        <v>1000000</v>
      </c>
      <c r="X24" s="1345">
        <f t="shared" si="17"/>
        <v>3.0006227707637443</v>
      </c>
      <c r="Y24" s="1345">
        <f t="shared" si="17"/>
        <v>3000.6227707637445</v>
      </c>
    </row>
    <row r="25" spans="1:26" x14ac:dyDescent="0.2">
      <c r="A25" s="213" t="str">
        <f t="shared" ref="A25:B25" si="36">A38</f>
        <v>NIM</v>
      </c>
      <c r="B25" s="213" t="str">
        <f t="shared" si="36"/>
        <v>D015220</v>
      </c>
      <c r="C25" s="219">
        <f t="shared" ref="C25:E25" si="37">C38*0.001</f>
        <v>0.35235000000000005</v>
      </c>
      <c r="D25" s="219">
        <f t="shared" si="37"/>
        <v>1.7900000000000001E-3</v>
      </c>
      <c r="E25" s="219">
        <f t="shared" si="37"/>
        <v>0.35549999999999998</v>
      </c>
      <c r="F25" s="219">
        <f t="shared" si="0"/>
        <v>1.5E-3</v>
      </c>
      <c r="G25" s="219">
        <f t="shared" ref="G25:H25" si="38">L38*0.001</f>
        <v>3.0000000000000001E-3</v>
      </c>
      <c r="H25" s="219">
        <f t="shared" si="38"/>
        <v>5.0000000000000001E-3</v>
      </c>
      <c r="I25" s="155">
        <f t="shared" si="1"/>
        <v>0</v>
      </c>
      <c r="J25" s="155">
        <f t="shared" si="2"/>
        <v>0</v>
      </c>
      <c r="K25" s="155">
        <f t="shared" si="3"/>
        <v>3.0000000000000001E-3</v>
      </c>
      <c r="L25" s="155">
        <f t="shared" si="4"/>
        <v>0.35235000000000005</v>
      </c>
      <c r="M25" s="156">
        <f t="shared" si="5"/>
        <v>0.85142613878246043</v>
      </c>
      <c r="N25" s="157">
        <f t="shared" si="11"/>
        <v>3.0000000000000001E-3</v>
      </c>
      <c r="O25" s="155">
        <f t="shared" si="12"/>
        <v>100</v>
      </c>
      <c r="P25" s="250">
        <v>1</v>
      </c>
      <c r="Q25" s="250">
        <v>1000</v>
      </c>
      <c r="R25" s="148">
        <f t="shared" si="13"/>
        <v>0.85142613878246043</v>
      </c>
      <c r="S25" s="148">
        <f t="shared" si="14"/>
        <v>0.85142613878246043</v>
      </c>
      <c r="T25" s="148">
        <f t="shared" si="15"/>
        <v>8.5142613878246044E-3</v>
      </c>
      <c r="U25" s="148">
        <f t="shared" si="15"/>
        <v>8.5142613878246038</v>
      </c>
      <c r="V25" s="7">
        <f t="shared" si="16"/>
        <v>1000</v>
      </c>
      <c r="W25" s="7">
        <f t="shared" si="16"/>
        <v>1000000</v>
      </c>
      <c r="X25" s="1345">
        <f t="shared" si="17"/>
        <v>8.5142613878246038</v>
      </c>
      <c r="Y25" s="1345">
        <f t="shared" si="17"/>
        <v>8514.2613878246048</v>
      </c>
    </row>
    <row r="26" spans="1:26" x14ac:dyDescent="0.2">
      <c r="A26" s="213" t="str">
        <f t="shared" ref="A26:B26" si="39">A39</f>
        <v>VNIIM</v>
      </c>
      <c r="B26" s="213" t="str">
        <f t="shared" si="39"/>
        <v>D015223</v>
      </c>
      <c r="C26" s="219">
        <f t="shared" ref="C26:E26" si="40">C39*0.001</f>
        <v>0.35135000000000005</v>
      </c>
      <c r="D26" s="219">
        <f t="shared" si="40"/>
        <v>1.67E-3</v>
      </c>
      <c r="E26" s="219">
        <f t="shared" si="40"/>
        <v>0.35399999999999998</v>
      </c>
      <c r="F26" s="219">
        <f t="shared" si="0"/>
        <v>2.5000000000000001E-3</v>
      </c>
      <c r="G26" s="219">
        <f t="shared" ref="G26:H26" si="41">L39*0.001</f>
        <v>3.0000000000000001E-3</v>
      </c>
      <c r="H26" s="219">
        <f t="shared" si="41"/>
        <v>6.0000000000000001E-3</v>
      </c>
      <c r="I26" s="155">
        <f t="shared" si="1"/>
        <v>0</v>
      </c>
      <c r="J26" s="155">
        <f t="shared" si="2"/>
        <v>0</v>
      </c>
      <c r="K26" s="155">
        <f t="shared" si="3"/>
        <v>5.0000000000000001E-3</v>
      </c>
      <c r="L26" s="155">
        <f t="shared" si="4"/>
        <v>0.35135000000000005</v>
      </c>
      <c r="M26" s="156">
        <f t="shared" si="5"/>
        <v>1.4230823964707555</v>
      </c>
      <c r="N26" s="157">
        <f t="shared" si="11"/>
        <v>5.0000000000000001E-3</v>
      </c>
      <c r="O26" s="155">
        <f t="shared" si="12"/>
        <v>100</v>
      </c>
      <c r="P26" s="250">
        <v>1</v>
      </c>
      <c r="Q26" s="250">
        <v>1000</v>
      </c>
      <c r="R26" s="148">
        <f t="shared" si="13"/>
        <v>1.4230823964707555</v>
      </c>
      <c r="S26" s="148">
        <f t="shared" si="14"/>
        <v>1.4230823964707555</v>
      </c>
      <c r="T26" s="148">
        <f t="shared" si="15"/>
        <v>1.4230823964707555E-2</v>
      </c>
      <c r="U26" s="148">
        <f t="shared" si="15"/>
        <v>14.230823964707556</v>
      </c>
      <c r="V26" s="7">
        <f t="shared" si="16"/>
        <v>1000</v>
      </c>
      <c r="W26" s="7">
        <f t="shared" si="16"/>
        <v>1000000</v>
      </c>
      <c r="X26" s="1345">
        <f t="shared" si="17"/>
        <v>14.230823964707556</v>
      </c>
      <c r="Y26" s="1345">
        <f t="shared" si="17"/>
        <v>14230.823964707555</v>
      </c>
    </row>
    <row r="27" spans="1:26" ht="14.25" x14ac:dyDescent="0.2">
      <c r="H27" s="9"/>
      <c r="U27" s="152"/>
      <c r="V27" s="21"/>
      <c r="W27" s="21"/>
      <c r="X27" s="21"/>
      <c r="Y27" s="21"/>
      <c r="Z27" s="21"/>
    </row>
    <row r="28" spans="1:26" ht="14.25" x14ac:dyDescent="0.2">
      <c r="H28" s="9"/>
      <c r="U28" s="152"/>
      <c r="V28" s="21"/>
      <c r="W28" s="21"/>
      <c r="X28" s="21"/>
      <c r="Y28" s="21"/>
      <c r="Z28" s="21"/>
    </row>
    <row r="29" spans="1:26" s="227" customFormat="1" ht="47.1" customHeight="1" x14ac:dyDescent="0.2">
      <c r="A29" s="637" t="s">
        <v>960</v>
      </c>
      <c r="B29" s="875" t="s">
        <v>961</v>
      </c>
      <c r="C29" s="876" t="s">
        <v>962</v>
      </c>
      <c r="D29" s="876" t="s">
        <v>963</v>
      </c>
      <c r="E29" s="876" t="s">
        <v>964</v>
      </c>
      <c r="F29" s="876" t="s">
        <v>965</v>
      </c>
      <c r="G29" s="679" t="s">
        <v>966</v>
      </c>
      <c r="H29" s="855" t="s">
        <v>967</v>
      </c>
      <c r="J29" s="637" t="s">
        <v>960</v>
      </c>
      <c r="K29" s="637" t="s">
        <v>961</v>
      </c>
      <c r="L29" s="876" t="s">
        <v>981</v>
      </c>
      <c r="M29" s="876" t="s">
        <v>982</v>
      </c>
    </row>
    <row r="30" spans="1:26" s="227" customFormat="1" ht="15" customHeight="1" x14ac:dyDescent="0.2">
      <c r="A30" s="641" t="s">
        <v>636</v>
      </c>
      <c r="B30" s="877" t="s">
        <v>968</v>
      </c>
      <c r="C30" s="878">
        <v>356.33</v>
      </c>
      <c r="D30" s="879">
        <v>3.72</v>
      </c>
      <c r="E30" s="880">
        <v>356.6</v>
      </c>
      <c r="F30" s="880">
        <v>1.1000000000000001</v>
      </c>
      <c r="G30" s="880">
        <v>0.3</v>
      </c>
      <c r="H30" s="880">
        <v>3.8</v>
      </c>
      <c r="J30" s="641" t="s">
        <v>636</v>
      </c>
      <c r="K30" s="641" t="s">
        <v>968</v>
      </c>
      <c r="L30" s="880">
        <v>0.3</v>
      </c>
      <c r="M30" s="880">
        <v>7.5</v>
      </c>
    </row>
    <row r="31" spans="1:26" s="227" customFormat="1" ht="15" customHeight="1" x14ac:dyDescent="0.2">
      <c r="A31" s="647" t="s">
        <v>604</v>
      </c>
      <c r="B31" s="881" t="s">
        <v>969</v>
      </c>
      <c r="C31" s="623">
        <v>351.52</v>
      </c>
      <c r="D31" s="882">
        <v>3.12</v>
      </c>
      <c r="E31" s="624">
        <v>358.6</v>
      </c>
      <c r="F31" s="624">
        <v>2</v>
      </c>
      <c r="G31" s="624">
        <v>7.1</v>
      </c>
      <c r="H31" s="624">
        <v>3.3</v>
      </c>
      <c r="J31" s="647" t="s">
        <v>604</v>
      </c>
      <c r="K31" s="647" t="s">
        <v>969</v>
      </c>
      <c r="L31" s="624">
        <v>7.1</v>
      </c>
      <c r="M31" s="624">
        <v>6.5</v>
      </c>
    </row>
    <row r="32" spans="1:26" s="227" customFormat="1" ht="15" customHeight="1" x14ac:dyDescent="0.2">
      <c r="A32" s="647" t="s">
        <v>970</v>
      </c>
      <c r="B32" s="881" t="s">
        <v>971</v>
      </c>
      <c r="C32" s="623">
        <v>350.81</v>
      </c>
      <c r="D32" s="882">
        <v>1.86</v>
      </c>
      <c r="E32" s="624">
        <v>346</v>
      </c>
      <c r="F32" s="624">
        <v>4.7</v>
      </c>
      <c r="G32" s="624">
        <v>-4.8</v>
      </c>
      <c r="H32" s="624">
        <v>3</v>
      </c>
      <c r="J32" s="647" t="s">
        <v>970</v>
      </c>
      <c r="K32" s="647" t="s">
        <v>971</v>
      </c>
      <c r="L32" s="624">
        <v>-4.8</v>
      </c>
      <c r="M32" s="603">
        <v>6</v>
      </c>
    </row>
    <row r="33" spans="1:13" s="227" customFormat="1" ht="15" customHeight="1" x14ac:dyDescent="0.2">
      <c r="A33" s="647" t="s">
        <v>972</v>
      </c>
      <c r="B33" s="881" t="s">
        <v>973</v>
      </c>
      <c r="C33" s="623">
        <v>348.86</v>
      </c>
      <c r="D33" s="882">
        <v>1.62</v>
      </c>
      <c r="E33" s="623">
        <v>351.84</v>
      </c>
      <c r="F33" s="623">
        <v>5.52</v>
      </c>
      <c r="G33" s="623">
        <v>2.98</v>
      </c>
      <c r="H33" s="623">
        <v>3.2</v>
      </c>
      <c r="J33" s="647" t="s">
        <v>972</v>
      </c>
      <c r="K33" s="647" t="s">
        <v>973</v>
      </c>
      <c r="L33" s="623">
        <v>2.98</v>
      </c>
      <c r="M33" s="624">
        <v>6.4</v>
      </c>
    </row>
    <row r="34" spans="1:13" s="227" customFormat="1" ht="15" customHeight="1" x14ac:dyDescent="0.2">
      <c r="A34" s="647" t="s">
        <v>575</v>
      </c>
      <c r="B34" s="881" t="s">
        <v>974</v>
      </c>
      <c r="C34" s="623">
        <v>349.97</v>
      </c>
      <c r="D34" s="882">
        <v>1.65</v>
      </c>
      <c r="E34" s="624">
        <v>355.4</v>
      </c>
      <c r="F34" s="624">
        <v>7</v>
      </c>
      <c r="G34" s="624">
        <v>5.4</v>
      </c>
      <c r="H34" s="624">
        <v>3.9</v>
      </c>
      <c r="J34" s="647" t="s">
        <v>575</v>
      </c>
      <c r="K34" s="647" t="s">
        <v>974</v>
      </c>
      <c r="L34" s="624">
        <v>5.4</v>
      </c>
      <c r="M34" s="624">
        <v>7.7</v>
      </c>
    </row>
    <row r="35" spans="1:13" s="227" customFormat="1" ht="15" customHeight="1" x14ac:dyDescent="0.2">
      <c r="A35" s="647" t="s">
        <v>975</v>
      </c>
      <c r="B35" s="881" t="s">
        <v>976</v>
      </c>
      <c r="C35" s="623">
        <v>350.83</v>
      </c>
      <c r="D35" s="883">
        <v>1.7</v>
      </c>
      <c r="E35" s="623">
        <v>351.09</v>
      </c>
      <c r="F35" s="623">
        <v>13.1</v>
      </c>
      <c r="G35" s="623">
        <v>0.26</v>
      </c>
      <c r="H35" s="623">
        <v>6.77</v>
      </c>
      <c r="J35" s="647" t="s">
        <v>975</v>
      </c>
      <c r="K35" s="647" t="s">
        <v>976</v>
      </c>
      <c r="L35" s="623">
        <v>0.26</v>
      </c>
      <c r="M35" s="623">
        <v>13.53</v>
      </c>
    </row>
    <row r="36" spans="1:13" s="227" customFormat="1" ht="15" customHeight="1" x14ac:dyDescent="0.2">
      <c r="A36" s="647" t="s">
        <v>585</v>
      </c>
      <c r="B36" s="881" t="s">
        <v>977</v>
      </c>
      <c r="C36" s="623">
        <v>342.43</v>
      </c>
      <c r="D36" s="882">
        <v>1.65</v>
      </c>
      <c r="E36" s="623">
        <v>341.26</v>
      </c>
      <c r="F36" s="623">
        <v>2.46</v>
      </c>
      <c r="G36" s="623">
        <v>-1.17</v>
      </c>
      <c r="H36" s="623">
        <v>2.06</v>
      </c>
      <c r="J36" s="647" t="s">
        <v>585</v>
      </c>
      <c r="K36" s="647" t="s">
        <v>977</v>
      </c>
      <c r="L36" s="623">
        <v>-1.17</v>
      </c>
      <c r="M36" s="623">
        <v>4.12</v>
      </c>
    </row>
    <row r="37" spans="1:13" s="227" customFormat="1" ht="15" customHeight="1" x14ac:dyDescent="0.2">
      <c r="A37" s="647" t="s">
        <v>648</v>
      </c>
      <c r="B37" s="881" t="s">
        <v>978</v>
      </c>
      <c r="C37" s="623">
        <v>353.26</v>
      </c>
      <c r="D37" s="882">
        <v>1.86</v>
      </c>
      <c r="E37" s="623">
        <v>353.25</v>
      </c>
      <c r="F37" s="623">
        <v>1.06</v>
      </c>
      <c r="G37" s="623">
        <v>-0.01</v>
      </c>
      <c r="H37" s="623">
        <v>1.94</v>
      </c>
      <c r="J37" s="647" t="s">
        <v>648</v>
      </c>
      <c r="K37" s="647" t="s">
        <v>978</v>
      </c>
      <c r="L37" s="623">
        <v>-0.01</v>
      </c>
      <c r="M37" s="623">
        <v>3.87</v>
      </c>
    </row>
    <row r="38" spans="1:13" s="227" customFormat="1" ht="15" customHeight="1" x14ac:dyDescent="0.2">
      <c r="A38" s="647" t="s">
        <v>641</v>
      </c>
      <c r="B38" s="881" t="s">
        <v>979</v>
      </c>
      <c r="C38" s="623">
        <v>352.35</v>
      </c>
      <c r="D38" s="882">
        <v>1.79</v>
      </c>
      <c r="E38" s="624">
        <v>355.5</v>
      </c>
      <c r="F38" s="603">
        <v>3</v>
      </c>
      <c r="G38" s="603">
        <v>3</v>
      </c>
      <c r="H38" s="603">
        <v>3</v>
      </c>
      <c r="J38" s="647" t="s">
        <v>641</v>
      </c>
      <c r="K38" s="647" t="s">
        <v>979</v>
      </c>
      <c r="L38" s="603">
        <v>3</v>
      </c>
      <c r="M38" s="603">
        <v>5</v>
      </c>
    </row>
    <row r="39" spans="1:13" s="227" customFormat="1" ht="15" customHeight="1" x14ac:dyDescent="0.2">
      <c r="A39" s="656" t="s">
        <v>631</v>
      </c>
      <c r="B39" s="884" t="s">
        <v>980</v>
      </c>
      <c r="C39" s="885">
        <v>351.35</v>
      </c>
      <c r="D39" s="886">
        <v>1.67</v>
      </c>
      <c r="E39" s="620">
        <v>354</v>
      </c>
      <c r="F39" s="620">
        <v>5</v>
      </c>
      <c r="G39" s="620">
        <v>3</v>
      </c>
      <c r="H39" s="620">
        <v>3</v>
      </c>
      <c r="J39" s="656" t="s">
        <v>631</v>
      </c>
      <c r="K39" s="656" t="s">
        <v>980</v>
      </c>
      <c r="L39" s="620">
        <v>3</v>
      </c>
      <c r="M39" s="620">
        <v>6</v>
      </c>
    </row>
    <row r="40" spans="1:13" s="227" customFormat="1" x14ac:dyDescent="0.2"/>
    <row r="41" spans="1:13" s="227" customFormat="1" x14ac:dyDescent="0.2"/>
    <row r="42" spans="1:13" s="227" customFormat="1" ht="30.95" customHeight="1" x14ac:dyDescent="0.2"/>
    <row r="43" spans="1:13" s="227" customFormat="1" ht="15" customHeight="1" x14ac:dyDescent="0.2"/>
    <row r="44" spans="1:13" s="227" customFormat="1" ht="15" customHeight="1" x14ac:dyDescent="0.2"/>
    <row r="45" spans="1:13" s="227" customFormat="1" ht="15" customHeight="1" x14ac:dyDescent="0.2"/>
    <row r="46" spans="1:13" s="227" customFormat="1" ht="15" customHeight="1" x14ac:dyDescent="0.2"/>
    <row r="47" spans="1:13" s="227" customFormat="1" ht="15" customHeight="1" x14ac:dyDescent="0.2"/>
    <row r="48" spans="1:13" s="227" customFormat="1" ht="15" customHeight="1" x14ac:dyDescent="0.2"/>
    <row r="49" spans="8:26" s="227" customFormat="1" ht="15" customHeight="1" x14ac:dyDescent="0.2"/>
    <row r="50" spans="8:26" s="227" customFormat="1" ht="15" customHeight="1" x14ac:dyDescent="0.2"/>
    <row r="51" spans="8:26" s="227" customFormat="1" ht="15" customHeight="1" x14ac:dyDescent="0.2"/>
    <row r="52" spans="8:26" s="227" customFormat="1" ht="15" customHeight="1" x14ac:dyDescent="0.2"/>
    <row r="53" spans="8:26" ht="14.25" x14ac:dyDescent="0.2">
      <c r="H53" s="9"/>
      <c r="X53" s="21"/>
      <c r="Y53" s="21"/>
      <c r="Z53" s="21"/>
    </row>
    <row r="54" spans="8:26" ht="14.25" x14ac:dyDescent="0.2">
      <c r="H54" s="9"/>
      <c r="X54" s="21"/>
      <c r="Y54" s="21"/>
      <c r="Z54" s="21"/>
    </row>
    <row r="55" spans="8:26" ht="14.25" x14ac:dyDescent="0.2">
      <c r="H55" s="9"/>
      <c r="X55" s="21"/>
      <c r="Y55" s="21"/>
      <c r="Z55" s="21"/>
    </row>
    <row r="56" spans="8:26" ht="14.25" x14ac:dyDescent="0.2">
      <c r="H56" s="9"/>
      <c r="U56" s="152"/>
      <c r="V56" s="21"/>
      <c r="W56" s="21"/>
      <c r="X56" s="21"/>
      <c r="Y56" s="21"/>
      <c r="Z56" s="21"/>
    </row>
    <row r="57" spans="8:26" ht="14.25" x14ac:dyDescent="0.2">
      <c r="H57" s="9"/>
      <c r="U57" s="152"/>
      <c r="V57" s="21"/>
      <c r="W57" s="21"/>
      <c r="X57" s="21"/>
      <c r="Y57" s="21"/>
      <c r="Z57" s="21"/>
    </row>
    <row r="58" spans="8:26" ht="14.25" x14ac:dyDescent="0.2">
      <c r="H58" s="9"/>
      <c r="U58" s="152"/>
      <c r="V58" s="21"/>
      <c r="W58" s="21"/>
      <c r="X58" s="21"/>
      <c r="Y58" s="21"/>
      <c r="Z58" s="21"/>
    </row>
    <row r="59" spans="8:26" ht="14.25" x14ac:dyDescent="0.2">
      <c r="H59" s="9"/>
      <c r="U59" s="152"/>
      <c r="V59" s="21"/>
      <c r="W59" s="21"/>
      <c r="X59" s="21"/>
      <c r="Y59" s="21"/>
      <c r="Z59" s="21"/>
    </row>
    <row r="60" spans="8:26" ht="14.25" x14ac:dyDescent="0.2">
      <c r="H60" s="9"/>
      <c r="U60" s="152"/>
      <c r="V60" s="21"/>
      <c r="W60" s="21"/>
      <c r="X60" s="21"/>
      <c r="Y60" s="21"/>
      <c r="Z60" s="21"/>
    </row>
    <row r="61" spans="8:26" ht="14.25" x14ac:dyDescent="0.2">
      <c r="H61" s="9"/>
      <c r="U61" s="152"/>
      <c r="V61" s="21"/>
      <c r="W61" s="21"/>
      <c r="X61" s="21"/>
      <c r="Y61" s="21"/>
      <c r="Z61" s="21"/>
    </row>
    <row r="62" spans="8:26" ht="14.25" x14ac:dyDescent="0.2">
      <c r="H62" s="9"/>
      <c r="U62" s="152"/>
      <c r="V62" s="21"/>
      <c r="W62" s="21"/>
      <c r="X62" s="21"/>
      <c r="Y62" s="21"/>
      <c r="Z62" s="21"/>
    </row>
    <row r="63" spans="8:26" ht="14.25" x14ac:dyDescent="0.2">
      <c r="H63" s="9"/>
      <c r="U63" s="152"/>
      <c r="V63" s="21"/>
      <c r="W63" s="21"/>
      <c r="X63" s="21"/>
      <c r="Y63" s="21"/>
      <c r="Z63" s="21"/>
    </row>
    <row r="64" spans="8:26" ht="14.25" x14ac:dyDescent="0.2">
      <c r="H64" s="9"/>
      <c r="U64" s="152"/>
      <c r="V64" s="21"/>
      <c r="W64" s="21"/>
      <c r="X64" s="21"/>
      <c r="Y64" s="21"/>
      <c r="Z64" s="21"/>
    </row>
    <row r="65" spans="8:26" ht="14.25" x14ac:dyDescent="0.2">
      <c r="H65" s="9"/>
      <c r="U65" s="152"/>
      <c r="V65" s="21"/>
      <c r="W65" s="21"/>
      <c r="X65" s="21"/>
      <c r="Y65" s="21"/>
      <c r="Z65" s="21"/>
    </row>
    <row r="66" spans="8:26" ht="14.25" x14ac:dyDescent="0.2">
      <c r="H66" s="9"/>
      <c r="U66" s="152"/>
      <c r="V66" s="21"/>
      <c r="W66" s="21"/>
      <c r="X66" s="21"/>
      <c r="Y66" s="21"/>
      <c r="Z66" s="21"/>
    </row>
    <row r="67" spans="8:26" ht="14.25" x14ac:dyDescent="0.2">
      <c r="H67" s="9"/>
      <c r="U67" s="152"/>
      <c r="V67" s="21"/>
      <c r="W67" s="21"/>
      <c r="X67" s="21"/>
      <c r="Y67" s="21"/>
      <c r="Z67" s="21"/>
    </row>
    <row r="68" spans="8:26" ht="14.25" x14ac:dyDescent="0.2">
      <c r="H68" s="9"/>
      <c r="U68" s="152"/>
      <c r="V68" s="21"/>
      <c r="W68" s="21"/>
      <c r="X68" s="21"/>
      <c r="Y68" s="21"/>
      <c r="Z68" s="21"/>
    </row>
    <row r="69" spans="8:26" ht="14.25" x14ac:dyDescent="0.2">
      <c r="H69" s="9"/>
      <c r="U69" s="152"/>
      <c r="V69" s="21"/>
      <c r="W69" s="21"/>
      <c r="X69" s="21"/>
      <c r="Y69" s="21"/>
      <c r="Z69" s="21"/>
    </row>
    <row r="70" spans="8:26" ht="14.25" x14ac:dyDescent="0.2">
      <c r="H70" s="9"/>
      <c r="U70" s="152"/>
      <c r="V70" s="21"/>
      <c r="W70" s="21"/>
      <c r="X70" s="21"/>
      <c r="Y70" s="21"/>
      <c r="Z70" s="21"/>
    </row>
    <row r="71" spans="8:26" ht="14.25" x14ac:dyDescent="0.2">
      <c r="H71" s="9"/>
      <c r="U71" s="152"/>
      <c r="V71" s="21"/>
      <c r="W71" s="21"/>
      <c r="X71" s="21"/>
      <c r="Y71" s="21"/>
      <c r="Z71" s="21"/>
    </row>
    <row r="72" spans="8:26" ht="14.25" x14ac:dyDescent="0.2">
      <c r="H72" s="9"/>
      <c r="U72" s="152"/>
      <c r="V72" s="21"/>
      <c r="W72" s="21"/>
      <c r="X72" s="21"/>
      <c r="Y72" s="21"/>
      <c r="Z72" s="21"/>
    </row>
    <row r="73" spans="8:26" ht="14.25" x14ac:dyDescent="0.2">
      <c r="H73" s="9"/>
      <c r="U73" s="152"/>
      <c r="V73" s="21"/>
      <c r="W73" s="21"/>
      <c r="X73" s="21"/>
      <c r="Y73" s="21"/>
      <c r="Z73" s="21"/>
    </row>
    <row r="74" spans="8:26" ht="14.25" x14ac:dyDescent="0.2">
      <c r="U74" s="152"/>
      <c r="V74" s="21"/>
      <c r="W74" s="21"/>
      <c r="X74" s="21"/>
      <c r="Y74" s="21"/>
      <c r="Z74" s="21"/>
    </row>
    <row r="75" spans="8:26" ht="14.25" x14ac:dyDescent="0.2">
      <c r="H75" s="9"/>
      <c r="U75" s="152"/>
      <c r="V75" s="21"/>
      <c r="W75" s="21"/>
      <c r="X75" s="21"/>
      <c r="Y75" s="21"/>
      <c r="Z75" s="21"/>
    </row>
    <row r="76" spans="8:26" ht="14.25" x14ac:dyDescent="0.2">
      <c r="H76" s="9"/>
      <c r="U76" s="152"/>
      <c r="V76" s="21"/>
      <c r="W76" s="21"/>
      <c r="X76" s="21"/>
      <c r="Y76" s="21"/>
      <c r="Z76" s="21"/>
    </row>
    <row r="77" spans="8:26" ht="14.25" x14ac:dyDescent="0.2">
      <c r="H77" s="9"/>
      <c r="U77" s="152"/>
      <c r="V77" s="21"/>
      <c r="W77" s="21"/>
      <c r="X77" s="21"/>
      <c r="Y77" s="21"/>
      <c r="Z77" s="21"/>
    </row>
    <row r="78" spans="8:26" ht="14.25" x14ac:dyDescent="0.2">
      <c r="H78" s="9"/>
      <c r="U78" s="152"/>
      <c r="V78" s="21"/>
      <c r="W78" s="21"/>
      <c r="X78" s="21"/>
      <c r="Y78" s="21"/>
      <c r="Z78" s="21"/>
    </row>
    <row r="79" spans="8:26" ht="14.25" x14ac:dyDescent="0.2">
      <c r="H79" s="9"/>
      <c r="U79" s="152"/>
      <c r="V79" s="21"/>
      <c r="W79" s="21"/>
      <c r="X79" s="21"/>
      <c r="Y79" s="21"/>
      <c r="Z79" s="21"/>
    </row>
    <row r="80" spans="8:26" ht="14.25" x14ac:dyDescent="0.2">
      <c r="H80" s="9"/>
      <c r="U80" s="152"/>
      <c r="V80" s="21"/>
      <c r="W80" s="21"/>
      <c r="X80" s="21"/>
      <c r="Y80" s="21"/>
      <c r="Z80" s="21"/>
    </row>
    <row r="81" spans="1:26" ht="14.25" x14ac:dyDescent="0.2">
      <c r="U81" s="152"/>
      <c r="V81" s="21"/>
      <c r="W81" s="21"/>
      <c r="X81" s="21"/>
      <c r="Y81" s="21"/>
      <c r="Z81" s="21"/>
    </row>
    <row r="82" spans="1:26" ht="14.25" x14ac:dyDescent="0.2">
      <c r="U82" s="152"/>
      <c r="V82" s="21"/>
      <c r="W82" s="21"/>
      <c r="X82" s="21"/>
      <c r="Y82" s="21"/>
      <c r="Z82" s="21"/>
    </row>
    <row r="83" spans="1:26" ht="14.25" x14ac:dyDescent="0.2">
      <c r="U83" s="152"/>
      <c r="V83" s="21"/>
      <c r="W83" s="21"/>
      <c r="X83" s="21"/>
      <c r="Y83" s="21"/>
      <c r="Z83" s="21"/>
    </row>
    <row r="84" spans="1:26" ht="14.25" x14ac:dyDescent="0.2">
      <c r="U84" s="152"/>
      <c r="V84" s="21"/>
      <c r="W84" s="21"/>
      <c r="X84" s="21"/>
      <c r="Y84" s="21"/>
      <c r="Z84" s="21"/>
    </row>
    <row r="85" spans="1:26" ht="14.25" x14ac:dyDescent="0.2">
      <c r="U85" s="152"/>
      <c r="V85" s="21"/>
      <c r="W85" s="21"/>
      <c r="X85" s="21"/>
      <c r="Y85" s="21"/>
      <c r="Z85" s="21"/>
    </row>
    <row r="86" spans="1:26" ht="14.25" x14ac:dyDescent="0.2">
      <c r="U86" s="152"/>
      <c r="V86" s="21"/>
      <c r="W86" s="21"/>
      <c r="X86" s="21"/>
      <c r="Y86" s="21"/>
      <c r="Z86" s="21"/>
    </row>
    <row r="87" spans="1:26" ht="14.25" x14ac:dyDescent="0.2">
      <c r="A87" s="23"/>
      <c r="B87" s="23"/>
      <c r="C87" s="23"/>
      <c r="D87" s="23"/>
      <c r="T87" s="151"/>
      <c r="U87" s="152"/>
      <c r="V87" s="21"/>
      <c r="W87" s="21"/>
      <c r="X87" s="21"/>
      <c r="Y87" s="21"/>
      <c r="Z87" s="21"/>
    </row>
    <row r="88" spans="1:26" ht="14.25" x14ac:dyDescent="0.2">
      <c r="T88" s="151"/>
      <c r="U88" s="152"/>
      <c r="V88" s="21"/>
      <c r="W88" s="21"/>
      <c r="X88" s="21"/>
      <c r="Y88" s="21"/>
      <c r="Z88" s="21"/>
    </row>
    <row r="89" spans="1:26" ht="14.25" x14ac:dyDescent="0.2">
      <c r="T89" s="151"/>
      <c r="U89" s="152"/>
      <c r="V89" s="21"/>
      <c r="W89" s="21"/>
      <c r="X89" s="21"/>
      <c r="Y89" s="21"/>
      <c r="Z89" s="21"/>
    </row>
    <row r="90" spans="1:26" ht="14.25" x14ac:dyDescent="0.2">
      <c r="T90" s="151"/>
      <c r="U90" s="152"/>
      <c r="V90" s="21"/>
      <c r="W90" s="21"/>
      <c r="X90" s="21"/>
      <c r="Y90" s="21"/>
      <c r="Z90" s="21"/>
    </row>
    <row r="91" spans="1:26" ht="14.25" x14ac:dyDescent="0.2">
      <c r="T91" s="151"/>
      <c r="U91" s="152"/>
      <c r="V91" s="21"/>
      <c r="W91" s="21"/>
      <c r="X91" s="21"/>
      <c r="Y91" s="21"/>
      <c r="Z91" s="21"/>
    </row>
    <row r="92" spans="1:26" ht="14.25" x14ac:dyDescent="0.2">
      <c r="T92" s="151"/>
      <c r="U92" s="152"/>
      <c r="V92" s="21"/>
      <c r="W92" s="21"/>
      <c r="X92" s="21"/>
      <c r="Y92" s="21"/>
      <c r="Z92" s="21"/>
    </row>
    <row r="93" spans="1:26" ht="14.25" x14ac:dyDescent="0.2">
      <c r="T93" s="151"/>
      <c r="U93" s="152"/>
      <c r="V93" s="21"/>
      <c r="W93" s="21"/>
      <c r="X93" s="21"/>
      <c r="Y93" s="21"/>
      <c r="Z93" s="21"/>
    </row>
    <row r="94" spans="1:26" ht="14.25" x14ac:dyDescent="0.2">
      <c r="T94" s="151"/>
      <c r="U94" s="152"/>
      <c r="V94" s="21"/>
      <c r="W94" s="21"/>
      <c r="X94" s="21"/>
      <c r="Y94" s="21"/>
      <c r="Z94" s="21"/>
    </row>
    <row r="95" spans="1:26" ht="14.25" x14ac:dyDescent="0.2">
      <c r="T95" s="151"/>
      <c r="U95" s="152"/>
      <c r="V95" s="21"/>
      <c r="W95" s="21"/>
      <c r="X95" s="21"/>
      <c r="Y95" s="21"/>
      <c r="Z95" s="21"/>
    </row>
    <row r="96" spans="1:26" ht="14.25" x14ac:dyDescent="0.2">
      <c r="T96" s="151"/>
      <c r="U96" s="152"/>
      <c r="V96" s="21"/>
      <c r="W96" s="21"/>
      <c r="X96" s="21"/>
      <c r="Y96" s="21"/>
      <c r="Z96" s="21"/>
    </row>
    <row r="97" spans="1:26" ht="14.25" x14ac:dyDescent="0.2">
      <c r="T97" s="151"/>
      <c r="U97" s="152"/>
      <c r="V97" s="21"/>
      <c r="W97" s="21"/>
      <c r="X97" s="21"/>
      <c r="Y97" s="21"/>
      <c r="Z97" s="21"/>
    </row>
    <row r="98" spans="1:26" ht="14.25" x14ac:dyDescent="0.2">
      <c r="T98" s="151"/>
      <c r="U98" s="152"/>
      <c r="V98" s="21"/>
      <c r="W98" s="21"/>
      <c r="X98" s="21"/>
      <c r="Y98" s="21"/>
      <c r="Z98" s="21"/>
    </row>
    <row r="99" spans="1:26" ht="14.25" x14ac:dyDescent="0.2">
      <c r="T99" s="151"/>
      <c r="U99" s="152"/>
      <c r="V99" s="21"/>
      <c r="W99" s="21"/>
      <c r="X99" s="21"/>
      <c r="Y99" s="21"/>
      <c r="Z99" s="21"/>
    </row>
    <row r="100" spans="1:26" ht="14.25" x14ac:dyDescent="0.2">
      <c r="A100" s="23"/>
      <c r="B100" s="23"/>
      <c r="C100" s="23"/>
      <c r="D100" s="23"/>
      <c r="T100" s="151"/>
      <c r="U100" s="152"/>
      <c r="V100" s="21"/>
      <c r="W100" s="21"/>
      <c r="X100" s="21"/>
      <c r="Y100" s="21"/>
      <c r="Z100" s="21"/>
    </row>
    <row r="101" spans="1:26" ht="14.25" x14ac:dyDescent="0.2">
      <c r="A101" s="23"/>
      <c r="B101" s="23"/>
      <c r="C101" s="23"/>
      <c r="D101" s="23"/>
      <c r="T101" s="151"/>
      <c r="U101" s="152"/>
      <c r="V101" s="21"/>
      <c r="W101" s="21"/>
      <c r="X101" s="21"/>
      <c r="Y101" s="21"/>
      <c r="Z101" s="21"/>
    </row>
    <row r="102" spans="1:26" ht="14.25" x14ac:dyDescent="0.2">
      <c r="A102" s="23"/>
      <c r="B102" s="23"/>
      <c r="C102" s="23"/>
      <c r="D102" s="23"/>
      <c r="T102" s="151"/>
      <c r="U102" s="152"/>
      <c r="V102" s="21"/>
      <c r="W102" s="21"/>
      <c r="X102" s="21"/>
      <c r="Y102" s="21"/>
      <c r="Z102" s="21"/>
    </row>
    <row r="103" spans="1:26" ht="14.25" x14ac:dyDescent="0.2">
      <c r="A103" s="23"/>
      <c r="B103" s="23"/>
      <c r="C103" s="23"/>
      <c r="D103" s="23"/>
      <c r="T103" s="151"/>
      <c r="U103" s="152"/>
      <c r="V103" s="21"/>
      <c r="W103" s="21"/>
      <c r="X103" s="21"/>
      <c r="Y103" s="21"/>
      <c r="Z103" s="21"/>
    </row>
    <row r="104" spans="1:26" ht="14.25" x14ac:dyDescent="0.2">
      <c r="A104" s="23"/>
      <c r="B104" s="23"/>
      <c r="C104" s="23"/>
      <c r="D104" s="23"/>
      <c r="T104" s="151"/>
      <c r="U104" s="152"/>
      <c r="V104" s="21"/>
      <c r="W104" s="21"/>
      <c r="X104" s="21"/>
      <c r="Y104" s="21"/>
      <c r="Z104" s="21"/>
    </row>
    <row r="105" spans="1:26" ht="14.25" x14ac:dyDescent="0.2">
      <c r="A105" s="23"/>
      <c r="B105" s="23"/>
      <c r="C105" s="23"/>
      <c r="D105" s="23"/>
      <c r="T105" s="151"/>
      <c r="U105" s="152"/>
      <c r="V105" s="21"/>
      <c r="W105" s="21"/>
      <c r="X105" s="21"/>
      <c r="Y105" s="21"/>
      <c r="Z105" s="21"/>
    </row>
    <row r="106" spans="1:26" ht="14.25" x14ac:dyDescent="0.2">
      <c r="A106" s="23"/>
      <c r="B106" s="23"/>
      <c r="C106" s="23"/>
      <c r="D106" s="23"/>
      <c r="T106" s="151"/>
      <c r="U106" s="152"/>
      <c r="V106" s="21"/>
      <c r="W106" s="21"/>
      <c r="X106" s="21"/>
      <c r="Y106" s="21"/>
      <c r="Z106" s="21"/>
    </row>
    <row r="107" spans="1:26" ht="14.25" x14ac:dyDescent="0.2">
      <c r="A107" s="23"/>
      <c r="B107" s="23"/>
      <c r="C107" s="23"/>
      <c r="D107" s="23"/>
      <c r="T107" s="151"/>
      <c r="U107" s="152"/>
      <c r="V107" s="21"/>
      <c r="W107" s="21"/>
      <c r="X107" s="21"/>
      <c r="Y107" s="21"/>
      <c r="Z107" s="21"/>
    </row>
    <row r="108" spans="1:26" ht="14.25" x14ac:dyDescent="0.2">
      <c r="A108" s="23"/>
      <c r="B108" s="23"/>
      <c r="C108" s="23"/>
      <c r="D108" s="23"/>
      <c r="T108" s="151"/>
      <c r="U108" s="152"/>
      <c r="V108" s="21"/>
      <c r="W108" s="21"/>
      <c r="X108" s="21"/>
      <c r="Y108" s="21"/>
      <c r="Z108" s="21"/>
    </row>
    <row r="109" spans="1:26" ht="14.25" x14ac:dyDescent="0.2">
      <c r="A109" s="23"/>
      <c r="B109" s="23"/>
      <c r="C109" s="23"/>
      <c r="D109" s="23"/>
      <c r="T109" s="151"/>
      <c r="U109" s="152"/>
      <c r="V109" s="21"/>
      <c r="W109" s="21"/>
      <c r="X109" s="21"/>
      <c r="Y109" s="21"/>
      <c r="Z109" s="21"/>
    </row>
    <row r="110" spans="1:26" ht="14.25" x14ac:dyDescent="0.2">
      <c r="A110" s="23"/>
      <c r="B110" s="23"/>
      <c r="C110" s="23"/>
      <c r="D110" s="23"/>
      <c r="T110" s="151"/>
      <c r="U110" s="152"/>
      <c r="V110" s="21"/>
      <c r="W110" s="21"/>
      <c r="X110" s="21"/>
      <c r="Y110" s="21"/>
      <c r="Z110" s="21"/>
    </row>
    <row r="111" spans="1:26" ht="14.25" x14ac:dyDescent="0.2">
      <c r="A111" s="23"/>
      <c r="B111" s="23"/>
      <c r="C111" s="23"/>
      <c r="D111" s="23"/>
      <c r="T111" s="151"/>
      <c r="U111" s="152"/>
      <c r="V111" s="21"/>
      <c r="W111" s="21"/>
      <c r="X111" s="21"/>
      <c r="Y111" s="21"/>
      <c r="Z111" s="21"/>
    </row>
    <row r="112" spans="1:26" ht="14.25" x14ac:dyDescent="0.2">
      <c r="A112" s="23"/>
      <c r="B112" s="23"/>
      <c r="C112" s="23"/>
      <c r="D112" s="23"/>
      <c r="T112" s="151"/>
      <c r="U112" s="152"/>
      <c r="V112" s="21"/>
      <c r="W112" s="21"/>
      <c r="X112" s="21"/>
      <c r="Y112" s="21"/>
      <c r="Z112" s="21"/>
    </row>
    <row r="113" spans="1:26" ht="14.25" x14ac:dyDescent="0.2">
      <c r="A113" s="23"/>
      <c r="B113" s="23"/>
      <c r="C113" s="23"/>
      <c r="D113" s="23"/>
      <c r="T113" s="151"/>
      <c r="U113" s="152"/>
      <c r="V113" s="21"/>
      <c r="W113" s="21"/>
      <c r="X113" s="21"/>
      <c r="Y113" s="21"/>
      <c r="Z113" s="21"/>
    </row>
    <row r="114" spans="1:26" ht="13.5" x14ac:dyDescent="0.2">
      <c r="A114" s="24"/>
      <c r="B114" s="24"/>
      <c r="T114" s="153"/>
      <c r="V114" s="21"/>
      <c r="W114" s="21"/>
      <c r="X114" s="21"/>
      <c r="Y114" s="21"/>
      <c r="Z114" s="21"/>
    </row>
    <row r="128" spans="1:26" ht="16.899999999999999" customHeight="1" x14ac:dyDescent="0.2">
      <c r="A128" s="25"/>
    </row>
    <row r="129" spans="1:26" ht="12" customHeight="1" x14ac:dyDescent="0.2">
      <c r="A129" s="4"/>
    </row>
    <row r="130" spans="1:26" ht="13.15" customHeight="1" x14ac:dyDescent="0.2"/>
    <row r="131" spans="1:26" ht="13.15" customHeight="1" x14ac:dyDescent="0.2"/>
    <row r="132" spans="1:26" ht="13.15" customHeight="1" x14ac:dyDescent="0.2"/>
    <row r="133" spans="1:26" s="149" customFormat="1" ht="13.15" customHeight="1" x14ac:dyDescent="0.2">
      <c r="A133" s="1"/>
      <c r="B133" s="1"/>
      <c r="C133" s="1"/>
      <c r="D133" s="1"/>
      <c r="E133" s="1"/>
      <c r="F133" s="1"/>
      <c r="G133" s="1"/>
      <c r="H133" s="1"/>
      <c r="P133" s="1"/>
      <c r="Q133" s="1"/>
      <c r="T133" s="150"/>
      <c r="U133" s="150"/>
      <c r="V133" s="1"/>
      <c r="W133" s="1"/>
      <c r="X133" s="1"/>
      <c r="Y133" s="1"/>
      <c r="Z133" s="1"/>
    </row>
    <row r="134" spans="1:26" s="149" customFormat="1" ht="13.15" customHeight="1" x14ac:dyDescent="0.2">
      <c r="A134" s="1"/>
      <c r="B134" s="1"/>
      <c r="C134" s="1"/>
      <c r="D134" s="1"/>
      <c r="E134" s="1"/>
      <c r="F134" s="1"/>
      <c r="G134" s="1"/>
      <c r="H134" s="1"/>
      <c r="P134" s="1"/>
      <c r="Q134" s="1"/>
      <c r="T134" s="150"/>
      <c r="U134" s="150"/>
      <c r="V134" s="1"/>
      <c r="W134" s="1"/>
      <c r="X134" s="1"/>
      <c r="Y134" s="1"/>
      <c r="Z134" s="1"/>
    </row>
    <row r="135" spans="1:26" s="149" customFormat="1" ht="13.15" customHeight="1" x14ac:dyDescent="0.2">
      <c r="A135" s="1"/>
      <c r="B135" s="1"/>
      <c r="C135" s="1"/>
      <c r="D135" s="1"/>
      <c r="E135" s="1"/>
      <c r="F135" s="1"/>
      <c r="G135" s="1"/>
      <c r="H135" s="1"/>
      <c r="P135" s="1"/>
      <c r="Q135" s="1"/>
      <c r="T135" s="150"/>
      <c r="U135" s="150"/>
      <c r="V135" s="1"/>
      <c r="W135" s="1"/>
      <c r="X135" s="1"/>
      <c r="Y135" s="1"/>
      <c r="Z135" s="1"/>
    </row>
    <row r="136" spans="1:26" s="149" customFormat="1" ht="12" customHeight="1" x14ac:dyDescent="0.2">
      <c r="A136" s="1"/>
      <c r="B136" s="1"/>
      <c r="C136" s="1"/>
      <c r="D136" s="1"/>
      <c r="E136" s="1"/>
      <c r="F136" s="1"/>
      <c r="G136" s="1"/>
      <c r="H136" s="1"/>
      <c r="P136" s="1"/>
      <c r="Q136" s="1"/>
      <c r="T136" s="150"/>
      <c r="U136" s="150"/>
      <c r="V136" s="1"/>
      <c r="W136" s="1"/>
      <c r="X136" s="1"/>
      <c r="Y136" s="1"/>
      <c r="Z136" s="1"/>
    </row>
    <row r="137" spans="1:26" s="149" customFormat="1" ht="12" customHeight="1" x14ac:dyDescent="0.2">
      <c r="A137" s="1"/>
      <c r="B137" s="1"/>
      <c r="C137" s="1"/>
      <c r="D137" s="1"/>
      <c r="E137" s="1"/>
      <c r="F137" s="1"/>
      <c r="G137" s="1"/>
      <c r="H137" s="1"/>
      <c r="P137" s="1"/>
      <c r="Q137" s="1"/>
      <c r="T137" s="150"/>
      <c r="U137" s="150"/>
      <c r="V137" s="1"/>
      <c r="W137" s="1"/>
      <c r="X137" s="1"/>
      <c r="Y137" s="1"/>
      <c r="Z137" s="1"/>
    </row>
    <row r="138" spans="1:26" s="149" customFormat="1" ht="15" customHeight="1" x14ac:dyDescent="0.2">
      <c r="A138" s="1"/>
      <c r="B138" s="1"/>
      <c r="C138" s="1"/>
      <c r="D138" s="1"/>
      <c r="E138" s="1"/>
      <c r="F138" s="1"/>
      <c r="G138" s="1"/>
      <c r="H138" s="1"/>
      <c r="P138" s="1"/>
      <c r="Q138" s="1"/>
      <c r="T138" s="150"/>
      <c r="U138" s="150"/>
      <c r="V138" s="1"/>
      <c r="W138" s="1"/>
      <c r="X138" s="1"/>
      <c r="Y138" s="1"/>
      <c r="Z138" s="1"/>
    </row>
    <row r="139" spans="1:26" s="149" customFormat="1" ht="15" customHeight="1" x14ac:dyDescent="0.2">
      <c r="A139" s="1"/>
      <c r="B139" s="1"/>
      <c r="C139" s="1"/>
      <c r="D139" s="1"/>
      <c r="E139" s="1"/>
      <c r="F139" s="1"/>
      <c r="G139" s="1"/>
      <c r="H139" s="1"/>
      <c r="P139" s="1"/>
      <c r="Q139" s="1"/>
      <c r="T139" s="150"/>
      <c r="U139" s="150"/>
      <c r="V139" s="1"/>
      <c r="W139" s="1"/>
      <c r="X139" s="1"/>
      <c r="Y139" s="1"/>
      <c r="Z139" s="1"/>
    </row>
  </sheetData>
  <sheetProtection sheet="1" formatCells="0" formatColumns="0" formatRows="0"/>
  <phoneticPr fontId="4"/>
  <pageMargins left="0.7" right="0.7" top="0.75" bottom="0.75" header="0.3" footer="0.3"/>
  <pageSetup paperSize="9"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5DD19-177D-427E-82CF-7C7AE8AE87FA}">
  <dimension ref="A1:Z216"/>
  <sheetViews>
    <sheetView zoomScale="160" zoomScaleNormal="160" workbookViewId="0">
      <selection activeCell="P16" sqref="P16"/>
    </sheetView>
  </sheetViews>
  <sheetFormatPr defaultColWidth="9.33203125" defaultRowHeight="12.75" x14ac:dyDescent="0.2"/>
  <cols>
    <col min="1" max="2" width="9.33203125" style="1"/>
    <col min="3" max="7" width="10.1640625" style="1" customWidth="1"/>
    <col min="8" max="8" width="9.33203125" style="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195</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203</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 customFormat="1" x14ac:dyDescent="0.2">
      <c r="A6" s="113" t="s">
        <v>202</v>
      </c>
      <c r="B6" s="99"/>
      <c r="C6" s="99"/>
      <c r="D6" s="99"/>
      <c r="E6" s="99"/>
      <c r="F6" s="99"/>
      <c r="G6" s="99"/>
      <c r="H6" s="99"/>
      <c r="I6" s="113"/>
      <c r="J6" s="113"/>
      <c r="K6" s="113"/>
      <c r="L6" s="113"/>
      <c r="M6" s="113"/>
      <c r="N6" s="113"/>
      <c r="O6" s="113"/>
      <c r="R6" s="113"/>
      <c r="S6" s="113"/>
      <c r="T6" s="146"/>
      <c r="U6" s="146"/>
    </row>
    <row r="7" spans="1:25" s="2" customFormat="1" x14ac:dyDescent="0.2">
      <c r="A7" s="113"/>
      <c r="B7" s="99"/>
      <c r="C7" s="99"/>
      <c r="D7" s="99"/>
      <c r="E7" s="99"/>
      <c r="F7" s="99"/>
      <c r="G7" s="99"/>
      <c r="H7" s="99"/>
      <c r="I7" s="113"/>
      <c r="J7" s="113"/>
      <c r="K7" s="113"/>
      <c r="L7" s="113"/>
      <c r="M7" s="113"/>
      <c r="N7" s="113"/>
      <c r="O7" s="113"/>
      <c r="R7" s="113"/>
      <c r="S7" s="113"/>
      <c r="T7" s="146"/>
      <c r="U7" s="146"/>
    </row>
    <row r="8" spans="1:25" s="2" customFormat="1" x14ac:dyDescent="0.2">
      <c r="A8" s="99"/>
      <c r="B8" s="99"/>
      <c r="C8" s="99"/>
      <c r="D8" s="99"/>
      <c r="E8" s="99"/>
      <c r="F8" s="99"/>
      <c r="G8" s="99"/>
      <c r="H8" s="99"/>
      <c r="I8" s="113"/>
      <c r="J8" s="113"/>
      <c r="K8" s="113"/>
      <c r="L8" s="113"/>
      <c r="M8" s="113"/>
      <c r="N8" s="113"/>
      <c r="O8" s="113"/>
      <c r="R8" s="113"/>
      <c r="S8" s="113"/>
      <c r="T8" s="146"/>
      <c r="U8" s="146"/>
    </row>
    <row r="9" spans="1:25" s="2" customFormat="1" x14ac:dyDescent="0.2">
      <c r="A9" s="113"/>
      <c r="B9" s="99"/>
      <c r="C9" s="99"/>
      <c r="D9" s="99"/>
      <c r="E9" s="99"/>
      <c r="F9" s="99"/>
      <c r="G9" s="99"/>
      <c r="H9" s="99"/>
      <c r="I9" s="113"/>
      <c r="J9" s="113"/>
      <c r="K9" s="113"/>
      <c r="L9" s="113"/>
      <c r="M9" s="113"/>
      <c r="N9" s="113"/>
      <c r="O9" s="113"/>
      <c r="R9" s="113"/>
      <c r="S9" s="113"/>
      <c r="T9" s="146"/>
      <c r="U9" s="146"/>
    </row>
    <row r="10" spans="1:25" x14ac:dyDescent="0.2">
      <c r="A10" s="102"/>
      <c r="B10" s="97"/>
      <c r="C10" s="97"/>
      <c r="D10" s="97"/>
      <c r="E10" s="97"/>
      <c r="F10" s="97"/>
      <c r="G10" s="97"/>
      <c r="H10" s="97"/>
      <c r="I10" s="113"/>
      <c r="J10" s="113"/>
      <c r="K10" s="113"/>
      <c r="L10" s="113"/>
      <c r="M10" s="113"/>
      <c r="N10" s="113"/>
      <c r="O10" s="113"/>
      <c r="R10" s="113"/>
      <c r="S10" s="113"/>
      <c r="T10" s="146"/>
      <c r="U10" s="146"/>
    </row>
    <row r="11" spans="1:25" x14ac:dyDescent="0.2">
      <c r="A11" s="97"/>
      <c r="B11" s="97"/>
      <c r="C11" s="97"/>
      <c r="D11" s="97"/>
      <c r="E11" s="97"/>
      <c r="F11" s="97"/>
      <c r="G11" s="97"/>
      <c r="H11" s="97"/>
      <c r="I11" s="113"/>
      <c r="J11" s="113"/>
      <c r="K11" s="113"/>
      <c r="L11" s="113"/>
      <c r="M11" s="113"/>
      <c r="N11" s="113"/>
      <c r="O11" s="113"/>
      <c r="R11" s="113"/>
      <c r="S11" s="113"/>
      <c r="T11" s="146"/>
      <c r="U11" s="146"/>
    </row>
    <row r="12" spans="1:25" x14ac:dyDescent="0.2">
      <c r="A12" s="97"/>
      <c r="B12" s="97"/>
      <c r="C12" s="97"/>
      <c r="D12" s="97"/>
      <c r="E12" s="97"/>
      <c r="F12" s="97"/>
      <c r="G12" s="97"/>
      <c r="H12" s="97"/>
      <c r="I12" s="113"/>
      <c r="J12" s="113"/>
      <c r="K12" s="113"/>
      <c r="L12" s="113"/>
      <c r="M12" s="1236">
        <f>F17/10*200</f>
        <v>0.08</v>
      </c>
      <c r="N12" s="113"/>
      <c r="O12" s="113"/>
      <c r="R12" s="113"/>
      <c r="S12" s="113"/>
      <c r="T12" s="146"/>
      <c r="U12" s="146"/>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
        <v>219</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134</v>
      </c>
      <c r="E16" s="212" t="s">
        <v>135</v>
      </c>
      <c r="F16" s="212" t="s">
        <v>136</v>
      </c>
      <c r="G16" s="212" t="s">
        <v>137</v>
      </c>
      <c r="H16" s="212" t="s">
        <v>138</v>
      </c>
      <c r="I16" s="104" t="s">
        <v>8</v>
      </c>
      <c r="J16" s="104" t="s">
        <v>9</v>
      </c>
      <c r="K16" s="104" t="s">
        <v>107</v>
      </c>
      <c r="L16" s="104" t="s">
        <v>14</v>
      </c>
      <c r="M16" s="104" t="s">
        <v>12</v>
      </c>
      <c r="N16" s="104" t="s">
        <v>1058</v>
      </c>
      <c r="O16" s="104" t="s">
        <v>100</v>
      </c>
      <c r="P16" s="6" t="s">
        <v>105</v>
      </c>
      <c r="Q16" s="6" t="s">
        <v>106</v>
      </c>
      <c r="R16" s="104" t="s">
        <v>1051</v>
      </c>
      <c r="S16" s="104" t="s">
        <v>1052</v>
      </c>
      <c r="T16" s="147" t="s">
        <v>80</v>
      </c>
      <c r="U16" s="147" t="s">
        <v>81</v>
      </c>
      <c r="V16" s="5" t="s">
        <v>101</v>
      </c>
      <c r="W16" s="5" t="s">
        <v>102</v>
      </c>
      <c r="X16" s="112" t="s">
        <v>103</v>
      </c>
      <c r="Y16" s="112" t="s">
        <v>104</v>
      </c>
    </row>
    <row r="17" spans="1:26" x14ac:dyDescent="0.2">
      <c r="A17" s="213" t="str">
        <f>A31</f>
        <v>BIPM</v>
      </c>
      <c r="B17" s="213"/>
      <c r="C17" s="214">
        <f>B31</f>
        <v>1.96</v>
      </c>
      <c r="D17" s="214">
        <f t="shared" ref="D17:H17" si="0">C31</f>
        <v>4.0000000000000001E-3</v>
      </c>
      <c r="E17" s="214">
        <f t="shared" si="0"/>
        <v>1.9670000000000001</v>
      </c>
      <c r="F17" s="214">
        <f t="shared" si="0"/>
        <v>4.0000000000000001E-3</v>
      </c>
      <c r="G17" s="214">
        <f t="shared" si="0"/>
        <v>7.0000000000000001E-3</v>
      </c>
      <c r="H17" s="214">
        <f t="shared" si="0"/>
        <v>1.0999999999999999E-2</v>
      </c>
      <c r="I17" s="155">
        <f t="shared" ref="I17:I24" si="1">IF(ABS(G17)&gt;ABS(H17), 1, 0)</f>
        <v>0</v>
      </c>
      <c r="J17" s="155">
        <f t="shared" ref="J17:J24" si="2">I17*ABS(C17-E17)</f>
        <v>0</v>
      </c>
      <c r="K17" s="155">
        <f t="shared" ref="K17:K24" si="3">SQRT(SUMSQ(F17,J17))*2</f>
        <v>8.0000000000000002E-3</v>
      </c>
      <c r="L17" s="155">
        <f t="shared" ref="L17:L24" si="4">IF(C17&lt;$K$2, C17, $K$1)</f>
        <v>10</v>
      </c>
      <c r="M17" s="156">
        <f t="shared" ref="M17:M24" si="5">IF(AND(C17&lt;$K$1,C17&gt; $K$2), K17/L17*100, K17/C17*100)</f>
        <v>0.08</v>
      </c>
      <c r="N17" s="157">
        <f t="shared" ref="N17" si="6">M17*L17/100</f>
        <v>8.0000000000000002E-3</v>
      </c>
      <c r="O17" s="155">
        <f t="shared" ref="O17" si="7">N17/(M17*L17/100)*100</f>
        <v>100</v>
      </c>
      <c r="P17" s="250">
        <v>1</v>
      </c>
      <c r="Q17" s="250">
        <v>1000</v>
      </c>
      <c r="R17" s="148">
        <f>IF( IF(P17&lt;L17, M17*L17/P17, M17)&gt;100, "ERROR",  IF(P17&lt;L17, M17*L17/P17, M17))</f>
        <v>0.8</v>
      </c>
      <c r="S17" s="148">
        <f>IF(IF(Q17&lt;L17, M17*L17/Q17, M17)&gt;100, "ERROR", IF(Q17&lt;L17, M17*L17/Q17, M17))</f>
        <v>0.08</v>
      </c>
      <c r="T17" s="148">
        <f>R17*P17*0.01</f>
        <v>8.0000000000000002E-3</v>
      </c>
      <c r="U17" s="148">
        <f>S17*Q17*0.01</f>
        <v>0.8</v>
      </c>
      <c r="V17" s="7">
        <f>P17*1000</f>
        <v>1000</v>
      </c>
      <c r="W17" s="7">
        <f>Q17*1000</f>
        <v>1000000</v>
      </c>
      <c r="X17" s="1345">
        <f>T17*1000</f>
        <v>8</v>
      </c>
      <c r="Y17" s="1345">
        <f>U17*1000</f>
        <v>800</v>
      </c>
    </row>
    <row r="18" spans="1:26" x14ac:dyDescent="0.2">
      <c r="A18" s="213" t="str">
        <f t="shared" ref="A18:A24" si="8">A32</f>
        <v>KRISS</v>
      </c>
      <c r="B18" s="213"/>
      <c r="C18" s="214">
        <f t="shared" ref="C18:H18" si="9">B32</f>
        <v>2.0219999999999998</v>
      </c>
      <c r="D18" s="214">
        <f t="shared" si="9"/>
        <v>4.0000000000000001E-3</v>
      </c>
      <c r="E18" s="214">
        <f t="shared" si="9"/>
        <v>2.0289999999999999</v>
      </c>
      <c r="F18" s="214">
        <f t="shared" si="9"/>
        <v>1.2999999999999999E-2</v>
      </c>
      <c r="G18" s="214">
        <f t="shared" si="9"/>
        <v>7.0000000000000001E-3</v>
      </c>
      <c r="H18" s="214">
        <f t="shared" si="9"/>
        <v>2.5999999999999999E-2</v>
      </c>
      <c r="I18" s="155">
        <f t="shared" si="1"/>
        <v>0</v>
      </c>
      <c r="J18" s="155">
        <f t="shared" si="2"/>
        <v>0</v>
      </c>
      <c r="K18" s="155">
        <f t="shared" si="3"/>
        <v>2.5999999999999999E-2</v>
      </c>
      <c r="L18" s="155">
        <f t="shared" si="4"/>
        <v>10</v>
      </c>
      <c r="M18" s="156">
        <f t="shared" si="5"/>
        <v>0.26</v>
      </c>
      <c r="N18" s="157">
        <f t="shared" ref="N18:N24" si="10">M18*L18/100</f>
        <v>2.6000000000000002E-2</v>
      </c>
      <c r="O18" s="155">
        <f t="shared" ref="O18:O24" si="11">N18/(M18*L18/100)*100</f>
        <v>100</v>
      </c>
      <c r="P18" s="250">
        <v>1</v>
      </c>
      <c r="Q18" s="250">
        <v>1000</v>
      </c>
      <c r="R18" s="148">
        <f t="shared" ref="R18:R24" si="12">IF( IF(P18&lt;L18, M18*L18/P18, M18)&gt;100, "ERROR",  IF(P18&lt;L18, M18*L18/P18, M18))</f>
        <v>2.6</v>
      </c>
      <c r="S18" s="148">
        <f t="shared" ref="S18:S24" si="13">IF(IF(Q18&lt;L18, M18*L18/Q18, M18)&gt;100, "ERROR", IF(Q18&lt;L18, M18*L18/Q18, M18))</f>
        <v>0.26</v>
      </c>
      <c r="T18" s="148">
        <f t="shared" ref="T18:U24" si="14">R18*P18*0.01</f>
        <v>2.6000000000000002E-2</v>
      </c>
      <c r="U18" s="148">
        <f t="shared" si="14"/>
        <v>2.6</v>
      </c>
      <c r="V18" s="7">
        <f t="shared" ref="V18:W24" si="15">P18*1000</f>
        <v>1000</v>
      </c>
      <c r="W18" s="7">
        <f t="shared" si="15"/>
        <v>1000000</v>
      </c>
      <c r="X18" s="1345">
        <f t="shared" ref="X18:Y24" si="16">T18*1000</f>
        <v>26.000000000000004</v>
      </c>
      <c r="Y18" s="1345">
        <f t="shared" si="16"/>
        <v>2600</v>
      </c>
    </row>
    <row r="19" spans="1:26" x14ac:dyDescent="0.2">
      <c r="A19" s="213" t="str">
        <f t="shared" si="8"/>
        <v>LNE</v>
      </c>
      <c r="B19" s="213"/>
      <c r="C19" s="214">
        <f t="shared" ref="C19:H19" si="17">B33</f>
        <v>2.0590000000000002</v>
      </c>
      <c r="D19" s="214">
        <f t="shared" si="17"/>
        <v>4.0000000000000001E-3</v>
      </c>
      <c r="E19" s="214">
        <f t="shared" si="17"/>
        <v>2.097</v>
      </c>
      <c r="F19" s="214">
        <f t="shared" si="17"/>
        <v>1.4E-2</v>
      </c>
      <c r="G19" s="214">
        <f t="shared" si="17"/>
        <v>3.7999999999999999E-2</v>
      </c>
      <c r="H19" s="214">
        <f t="shared" si="17"/>
        <v>2.9000000000000001E-2</v>
      </c>
      <c r="I19" s="155">
        <f t="shared" si="1"/>
        <v>1</v>
      </c>
      <c r="J19" s="155">
        <f t="shared" si="2"/>
        <v>3.7999999999999812E-2</v>
      </c>
      <c r="K19" s="155">
        <f t="shared" si="3"/>
        <v>8.0993826925265994E-2</v>
      </c>
      <c r="L19" s="155">
        <f t="shared" si="4"/>
        <v>10</v>
      </c>
      <c r="M19" s="156">
        <f t="shared" si="5"/>
        <v>0.80993826925265988</v>
      </c>
      <c r="N19" s="157">
        <f t="shared" si="10"/>
        <v>8.099382692526598E-2</v>
      </c>
      <c r="O19" s="155">
        <f t="shared" si="11"/>
        <v>100</v>
      </c>
      <c r="P19" s="250">
        <v>1</v>
      </c>
      <c r="Q19" s="250">
        <v>1000</v>
      </c>
      <c r="R19" s="148">
        <f t="shared" si="12"/>
        <v>8.0993826925265981</v>
      </c>
      <c r="S19" s="148">
        <f t="shared" si="13"/>
        <v>0.80993826925265988</v>
      </c>
      <c r="T19" s="148">
        <f t="shared" si="14"/>
        <v>8.099382692526598E-2</v>
      </c>
      <c r="U19" s="148">
        <f t="shared" si="14"/>
        <v>8.0993826925265999</v>
      </c>
      <c r="V19" s="7">
        <f t="shared" si="15"/>
        <v>1000</v>
      </c>
      <c r="W19" s="7">
        <f t="shared" si="15"/>
        <v>1000000</v>
      </c>
      <c r="X19" s="1345">
        <f t="shared" si="16"/>
        <v>80.993826925265978</v>
      </c>
      <c r="Y19" s="1345">
        <f t="shared" si="16"/>
        <v>8099.3826925266003</v>
      </c>
    </row>
    <row r="20" spans="1:26" x14ac:dyDescent="0.2">
      <c r="A20" s="213" t="str">
        <f t="shared" si="8"/>
        <v>NIM</v>
      </c>
      <c r="B20" s="213"/>
      <c r="C20" s="214">
        <f t="shared" ref="C20:H20" si="18">B34</f>
        <v>2.0219999999999998</v>
      </c>
      <c r="D20" s="214">
        <f t="shared" si="18"/>
        <v>4.0000000000000001E-3</v>
      </c>
      <c r="E20" s="214">
        <f t="shared" si="18"/>
        <v>1.976</v>
      </c>
      <c r="F20" s="214">
        <f t="shared" si="18"/>
        <v>0.02</v>
      </c>
      <c r="G20" s="214">
        <f t="shared" si="18"/>
        <v>-4.5999999999999999E-2</v>
      </c>
      <c r="H20" s="214">
        <f t="shared" si="18"/>
        <v>4.1000000000000002E-2</v>
      </c>
      <c r="I20" s="155">
        <f t="shared" si="1"/>
        <v>1</v>
      </c>
      <c r="J20" s="155">
        <f t="shared" si="2"/>
        <v>4.5999999999999819E-2</v>
      </c>
      <c r="K20" s="155">
        <f t="shared" si="3"/>
        <v>0.10031948963187529</v>
      </c>
      <c r="L20" s="155">
        <f t="shared" si="4"/>
        <v>10</v>
      </c>
      <c r="M20" s="156">
        <f t="shared" si="5"/>
        <v>1.0031948963187529</v>
      </c>
      <c r="N20" s="157">
        <f t="shared" si="10"/>
        <v>0.1003194896318753</v>
      </c>
      <c r="O20" s="155">
        <f t="shared" si="11"/>
        <v>100</v>
      </c>
      <c r="P20" s="250">
        <v>1</v>
      </c>
      <c r="Q20" s="250">
        <v>1000</v>
      </c>
      <c r="R20" s="148">
        <f t="shared" si="12"/>
        <v>10.03194896318753</v>
      </c>
      <c r="S20" s="148">
        <f t="shared" si="13"/>
        <v>1.0031948963187529</v>
      </c>
      <c r="T20" s="148">
        <f t="shared" si="14"/>
        <v>0.1003194896318753</v>
      </c>
      <c r="U20" s="148">
        <f t="shared" si="14"/>
        <v>10.03194896318753</v>
      </c>
      <c r="V20" s="7">
        <f t="shared" si="15"/>
        <v>1000</v>
      </c>
      <c r="W20" s="7">
        <f t="shared" si="15"/>
        <v>1000000</v>
      </c>
      <c r="X20" s="1345">
        <f t="shared" si="16"/>
        <v>100.3194896318753</v>
      </c>
      <c r="Y20" s="1345">
        <f t="shared" si="16"/>
        <v>10031.948963187529</v>
      </c>
    </row>
    <row r="21" spans="1:26" x14ac:dyDescent="0.2">
      <c r="A21" s="213" t="str">
        <f t="shared" si="8"/>
        <v>NMIJ</v>
      </c>
      <c r="B21" s="213"/>
      <c r="C21" s="214">
        <f t="shared" ref="C21:H21" si="19">B35</f>
        <v>2.0579999999999998</v>
      </c>
      <c r="D21" s="214">
        <f t="shared" si="19"/>
        <v>4.0000000000000001E-3</v>
      </c>
      <c r="E21" s="214">
        <f t="shared" si="19"/>
        <v>2.0630000000000002</v>
      </c>
      <c r="F21" s="214">
        <f t="shared" si="19"/>
        <v>5.0000000000000001E-3</v>
      </c>
      <c r="G21" s="214">
        <f t="shared" si="19"/>
        <v>5.0000000000000001E-3</v>
      </c>
      <c r="H21" s="214">
        <f t="shared" si="19"/>
        <v>1.2E-2</v>
      </c>
      <c r="I21" s="155">
        <f t="shared" si="1"/>
        <v>0</v>
      </c>
      <c r="J21" s="155">
        <f t="shared" si="2"/>
        <v>0</v>
      </c>
      <c r="K21" s="155">
        <f t="shared" si="3"/>
        <v>0.01</v>
      </c>
      <c r="L21" s="155">
        <f t="shared" si="4"/>
        <v>10</v>
      </c>
      <c r="M21" s="156">
        <f t="shared" si="5"/>
        <v>0.1</v>
      </c>
      <c r="N21" s="157">
        <f t="shared" si="10"/>
        <v>0.01</v>
      </c>
      <c r="O21" s="155">
        <f t="shared" si="11"/>
        <v>100</v>
      </c>
      <c r="P21" s="250">
        <v>1</v>
      </c>
      <c r="Q21" s="250">
        <v>1000</v>
      </c>
      <c r="R21" s="148">
        <f t="shared" si="12"/>
        <v>1</v>
      </c>
      <c r="S21" s="148">
        <f t="shared" si="13"/>
        <v>0.1</v>
      </c>
      <c r="T21" s="148">
        <f t="shared" si="14"/>
        <v>0.01</v>
      </c>
      <c r="U21" s="148">
        <f t="shared" si="14"/>
        <v>1</v>
      </c>
      <c r="V21" s="7">
        <f t="shared" si="15"/>
        <v>1000</v>
      </c>
      <c r="W21" s="7">
        <f t="shared" si="15"/>
        <v>1000000</v>
      </c>
      <c r="X21" s="1345">
        <f t="shared" si="16"/>
        <v>10</v>
      </c>
      <c r="Y21" s="1345">
        <f t="shared" si="16"/>
        <v>1000</v>
      </c>
    </row>
    <row r="22" spans="1:26" x14ac:dyDescent="0.2">
      <c r="A22" s="213" t="str">
        <f t="shared" si="8"/>
        <v>NPL</v>
      </c>
      <c r="B22" s="213"/>
      <c r="C22" s="214">
        <f t="shared" ref="C22:H22" si="20">B36</f>
        <v>2.024</v>
      </c>
      <c r="D22" s="214">
        <f t="shared" si="20"/>
        <v>4.0000000000000001E-3</v>
      </c>
      <c r="E22" s="214">
        <f t="shared" si="20"/>
        <v>2.0880000000000001</v>
      </c>
      <c r="F22" s="214">
        <f t="shared" si="20"/>
        <v>2.5999999999999999E-2</v>
      </c>
      <c r="G22" s="214">
        <f t="shared" si="20"/>
        <v>6.4000000000000001E-2</v>
      </c>
      <c r="H22" s="214">
        <f t="shared" si="20"/>
        <v>5.2999999999999999E-2</v>
      </c>
      <c r="I22" s="155">
        <f t="shared" si="1"/>
        <v>1</v>
      </c>
      <c r="J22" s="155">
        <f t="shared" si="2"/>
        <v>6.4000000000000057E-2</v>
      </c>
      <c r="K22" s="155">
        <f t="shared" si="3"/>
        <v>0.13815932831336444</v>
      </c>
      <c r="L22" s="155">
        <f t="shared" si="4"/>
        <v>10</v>
      </c>
      <c r="M22" s="156">
        <f t="shared" si="5"/>
        <v>1.3815932831336444</v>
      </c>
      <c r="N22" s="157">
        <f t="shared" si="10"/>
        <v>0.13815932831336444</v>
      </c>
      <c r="O22" s="155">
        <f t="shared" si="11"/>
        <v>100</v>
      </c>
      <c r="P22" s="250">
        <v>1</v>
      </c>
      <c r="Q22" s="250">
        <v>1000</v>
      </c>
      <c r="R22" s="148">
        <f t="shared" si="12"/>
        <v>13.815932831336443</v>
      </c>
      <c r="S22" s="148">
        <f t="shared" si="13"/>
        <v>1.3815932831336444</v>
      </c>
      <c r="T22" s="148">
        <f t="shared" si="14"/>
        <v>0.13815932831336444</v>
      </c>
      <c r="U22" s="148">
        <f t="shared" si="14"/>
        <v>13.815932831336445</v>
      </c>
      <c r="V22" s="7">
        <f t="shared" si="15"/>
        <v>1000</v>
      </c>
      <c r="W22" s="7">
        <f t="shared" si="15"/>
        <v>1000000</v>
      </c>
      <c r="X22" s="1345">
        <f t="shared" si="16"/>
        <v>138.15932831336445</v>
      </c>
      <c r="Y22" s="1345">
        <f t="shared" si="16"/>
        <v>13815.932831336446</v>
      </c>
    </row>
    <row r="23" spans="1:26" x14ac:dyDescent="0.2">
      <c r="A23" s="213" t="str">
        <f t="shared" si="8"/>
        <v>VNIIM</v>
      </c>
      <c r="B23" s="213"/>
      <c r="C23" s="214">
        <f t="shared" ref="C23:H23" si="21">B37</f>
        <v>2.0539999999999998</v>
      </c>
      <c r="D23" s="214">
        <f t="shared" si="21"/>
        <v>4.0000000000000001E-3</v>
      </c>
      <c r="E23" s="214">
        <f t="shared" si="21"/>
        <v>2.15</v>
      </c>
      <c r="F23" s="214">
        <f t="shared" si="21"/>
        <v>0.03</v>
      </c>
      <c r="G23" s="214">
        <f t="shared" si="21"/>
        <v>9.6000000000000002E-2</v>
      </c>
      <c r="H23" s="214">
        <f t="shared" si="21"/>
        <v>6.0999999999999999E-2</v>
      </c>
      <c r="I23" s="155">
        <f t="shared" si="1"/>
        <v>1</v>
      </c>
      <c r="J23" s="155">
        <f t="shared" si="2"/>
        <v>9.6000000000000085E-2</v>
      </c>
      <c r="K23" s="155">
        <f t="shared" si="3"/>
        <v>0.20115665537088268</v>
      </c>
      <c r="L23" s="155">
        <f t="shared" si="4"/>
        <v>10</v>
      </c>
      <c r="M23" s="156">
        <f t="shared" si="5"/>
        <v>2.0115665537088265</v>
      </c>
      <c r="N23" s="157">
        <f t="shared" si="10"/>
        <v>0.20115665537088265</v>
      </c>
      <c r="O23" s="155">
        <f t="shared" si="11"/>
        <v>100</v>
      </c>
      <c r="P23" s="250">
        <v>1</v>
      </c>
      <c r="Q23" s="250">
        <v>1000</v>
      </c>
      <c r="R23" s="148">
        <f t="shared" si="12"/>
        <v>20.115665537088265</v>
      </c>
      <c r="S23" s="148">
        <f t="shared" si="13"/>
        <v>2.0115665537088265</v>
      </c>
      <c r="T23" s="148">
        <f t="shared" si="14"/>
        <v>0.20115665537088265</v>
      </c>
      <c r="U23" s="148">
        <f t="shared" si="14"/>
        <v>20.115665537088265</v>
      </c>
      <c r="V23" s="7">
        <f t="shared" si="15"/>
        <v>1000</v>
      </c>
      <c r="W23" s="7">
        <f t="shared" si="15"/>
        <v>1000000</v>
      </c>
      <c r="X23" s="1345">
        <f t="shared" si="16"/>
        <v>201.15665537088265</v>
      </c>
      <c r="Y23" s="1345">
        <f t="shared" si="16"/>
        <v>20115.665537088265</v>
      </c>
    </row>
    <row r="24" spans="1:26" x14ac:dyDescent="0.2">
      <c r="A24" s="213" t="str">
        <f t="shared" si="8"/>
        <v>VSL</v>
      </c>
      <c r="B24" s="213"/>
      <c r="C24" s="214">
        <f t="shared" ref="C24:H24" si="22">B38</f>
        <v>2.0310000000000001</v>
      </c>
      <c r="D24" s="214">
        <f t="shared" si="22"/>
        <v>5.0000000000000001E-3</v>
      </c>
      <c r="E24" s="214">
        <f t="shared" si="22"/>
        <v>1.96</v>
      </c>
      <c r="F24" s="214">
        <f t="shared" si="22"/>
        <v>3.5000000000000003E-2</v>
      </c>
      <c r="G24" s="214">
        <f t="shared" si="22"/>
        <v>-7.0999999999999994E-2</v>
      </c>
      <c r="H24" s="214">
        <f t="shared" si="22"/>
        <v>7.0999999999999994E-2</v>
      </c>
      <c r="I24" s="155">
        <f t="shared" si="1"/>
        <v>0</v>
      </c>
      <c r="J24" s="155">
        <f t="shared" si="2"/>
        <v>0</v>
      </c>
      <c r="K24" s="155">
        <f t="shared" si="3"/>
        <v>7.0000000000000007E-2</v>
      </c>
      <c r="L24" s="155">
        <f t="shared" si="4"/>
        <v>10</v>
      </c>
      <c r="M24" s="156">
        <f t="shared" si="5"/>
        <v>0.70000000000000007</v>
      </c>
      <c r="N24" s="157">
        <f t="shared" si="10"/>
        <v>7.0000000000000007E-2</v>
      </c>
      <c r="O24" s="155">
        <f t="shared" si="11"/>
        <v>100</v>
      </c>
      <c r="P24" s="250">
        <v>1</v>
      </c>
      <c r="Q24" s="250">
        <v>1000</v>
      </c>
      <c r="R24" s="148">
        <f t="shared" si="12"/>
        <v>7.0000000000000009</v>
      </c>
      <c r="S24" s="148">
        <f t="shared" si="13"/>
        <v>0.70000000000000007</v>
      </c>
      <c r="T24" s="148">
        <f t="shared" si="14"/>
        <v>7.0000000000000007E-2</v>
      </c>
      <c r="U24" s="148">
        <f t="shared" si="14"/>
        <v>7.0000000000000009</v>
      </c>
      <c r="V24" s="7">
        <f t="shared" si="15"/>
        <v>1000</v>
      </c>
      <c r="W24" s="7">
        <f t="shared" si="15"/>
        <v>1000000</v>
      </c>
      <c r="X24" s="1345">
        <f t="shared" si="16"/>
        <v>70</v>
      </c>
      <c r="Y24" s="1345">
        <f t="shared" si="16"/>
        <v>7000.0000000000009</v>
      </c>
    </row>
    <row r="25" spans="1:26" ht="14.25" x14ac:dyDescent="0.2">
      <c r="A25" s="8"/>
      <c r="B25" s="8"/>
    </row>
    <row r="26" spans="1:26" ht="14.25" x14ac:dyDescent="0.2">
      <c r="A26" s="8"/>
      <c r="B26" s="8"/>
    </row>
    <row r="28" spans="1:26" ht="14.25" x14ac:dyDescent="0.2">
      <c r="H28" s="9"/>
      <c r="T28" s="151"/>
      <c r="U28" s="152"/>
      <c r="V28" s="21"/>
      <c r="W28" s="21"/>
      <c r="X28" s="21"/>
      <c r="Y28" s="21"/>
      <c r="Z28" s="21"/>
    </row>
    <row r="29" spans="1:26" ht="14.25" x14ac:dyDescent="0.2">
      <c r="H29" s="9"/>
      <c r="T29" s="151"/>
      <c r="U29" s="152"/>
      <c r="V29" s="21"/>
      <c r="W29" s="21"/>
      <c r="X29" s="21"/>
      <c r="Y29" s="21"/>
      <c r="Z29" s="21"/>
    </row>
    <row r="30" spans="1:26" ht="18.75" x14ac:dyDescent="0.2">
      <c r="A30" s="294" t="s">
        <v>204</v>
      </c>
      <c r="B30" s="295" t="s">
        <v>205</v>
      </c>
      <c r="C30" s="296" t="s">
        <v>206</v>
      </c>
      <c r="D30" s="297" t="s">
        <v>207</v>
      </c>
      <c r="E30" s="296" t="s">
        <v>208</v>
      </c>
      <c r="F30" s="297" t="s">
        <v>209</v>
      </c>
      <c r="G30" s="296" t="s">
        <v>210</v>
      </c>
      <c r="H30" s="9"/>
      <c r="U30" s="152"/>
      <c r="V30" s="21"/>
      <c r="W30" s="21"/>
      <c r="X30" s="21"/>
      <c r="Y30" s="21"/>
      <c r="Z30" s="21"/>
    </row>
    <row r="31" spans="1:26" ht="15" x14ac:dyDescent="0.2">
      <c r="A31" s="298" t="s">
        <v>211</v>
      </c>
      <c r="B31" s="298">
        <v>1.96</v>
      </c>
      <c r="C31" s="299">
        <v>4.0000000000000001E-3</v>
      </c>
      <c r="D31" s="300">
        <v>1.9670000000000001</v>
      </c>
      <c r="E31" s="299">
        <v>4.0000000000000001E-3</v>
      </c>
      <c r="F31" s="300">
        <v>7.0000000000000001E-3</v>
      </c>
      <c r="G31" s="301">
        <v>1.0999999999999999E-2</v>
      </c>
      <c r="H31" s="9"/>
      <c r="U31" s="152"/>
      <c r="V31" s="21"/>
      <c r="W31" s="21"/>
      <c r="X31" s="21"/>
      <c r="Y31" s="21"/>
      <c r="Z31" s="21"/>
    </row>
    <row r="32" spans="1:26" ht="15" x14ac:dyDescent="0.2">
      <c r="A32" s="302" t="s">
        <v>212</v>
      </c>
      <c r="B32" s="303">
        <v>2.0219999999999998</v>
      </c>
      <c r="C32" s="304">
        <v>4.0000000000000001E-3</v>
      </c>
      <c r="D32" s="303">
        <v>2.0289999999999999</v>
      </c>
      <c r="E32" s="304">
        <v>1.2999999999999999E-2</v>
      </c>
      <c r="F32" s="303">
        <v>7.0000000000000001E-3</v>
      </c>
      <c r="G32" s="305">
        <v>2.5999999999999999E-2</v>
      </c>
      <c r="H32" s="9"/>
      <c r="U32" s="152"/>
      <c r="V32" s="21"/>
      <c r="W32" s="21"/>
      <c r="X32" s="21"/>
      <c r="Y32" s="21"/>
      <c r="Z32" s="21"/>
    </row>
    <row r="33" spans="1:26" ht="15" x14ac:dyDescent="0.2">
      <c r="A33" s="302" t="s">
        <v>213</v>
      </c>
      <c r="B33" s="303">
        <v>2.0590000000000002</v>
      </c>
      <c r="C33" s="304">
        <v>4.0000000000000001E-3</v>
      </c>
      <c r="D33" s="303">
        <v>2.097</v>
      </c>
      <c r="E33" s="304">
        <v>1.4E-2</v>
      </c>
      <c r="F33" s="303">
        <v>3.7999999999999999E-2</v>
      </c>
      <c r="G33" s="305">
        <v>2.9000000000000001E-2</v>
      </c>
      <c r="H33" s="9"/>
      <c r="U33" s="152"/>
      <c r="V33" s="21"/>
      <c r="W33" s="21"/>
      <c r="X33" s="21"/>
      <c r="Y33" s="21"/>
      <c r="Z33" s="21"/>
    </row>
    <row r="34" spans="1:26" ht="15" x14ac:dyDescent="0.2">
      <c r="A34" s="302" t="s">
        <v>214</v>
      </c>
      <c r="B34" s="303">
        <v>2.0219999999999998</v>
      </c>
      <c r="C34" s="304">
        <v>4.0000000000000001E-3</v>
      </c>
      <c r="D34" s="303">
        <v>1.976</v>
      </c>
      <c r="E34" s="304">
        <v>0.02</v>
      </c>
      <c r="F34" s="303">
        <v>-4.5999999999999999E-2</v>
      </c>
      <c r="G34" s="305">
        <v>4.1000000000000002E-2</v>
      </c>
      <c r="H34" s="9"/>
      <c r="U34" s="152"/>
      <c r="V34" s="21"/>
      <c r="W34" s="21"/>
      <c r="X34" s="21"/>
      <c r="Y34" s="21"/>
      <c r="Z34" s="21"/>
    </row>
    <row r="35" spans="1:26" ht="15" x14ac:dyDescent="0.2">
      <c r="A35" s="302" t="s">
        <v>215</v>
      </c>
      <c r="B35" s="303">
        <v>2.0579999999999998</v>
      </c>
      <c r="C35" s="304">
        <v>4.0000000000000001E-3</v>
      </c>
      <c r="D35" s="303">
        <v>2.0630000000000002</v>
      </c>
      <c r="E35" s="304">
        <v>5.0000000000000001E-3</v>
      </c>
      <c r="F35" s="303">
        <v>5.0000000000000001E-3</v>
      </c>
      <c r="G35" s="305">
        <v>1.2E-2</v>
      </c>
      <c r="H35" s="9"/>
      <c r="U35" s="152"/>
      <c r="V35" s="21"/>
      <c r="W35" s="21"/>
      <c r="X35" s="21"/>
      <c r="Y35" s="21"/>
      <c r="Z35" s="21"/>
    </row>
    <row r="36" spans="1:26" ht="15" x14ac:dyDescent="0.2">
      <c r="A36" s="302" t="s">
        <v>216</v>
      </c>
      <c r="B36" s="303">
        <v>2.024</v>
      </c>
      <c r="C36" s="304">
        <v>4.0000000000000001E-3</v>
      </c>
      <c r="D36" s="303">
        <v>2.0880000000000001</v>
      </c>
      <c r="E36" s="304">
        <v>2.5999999999999999E-2</v>
      </c>
      <c r="F36" s="303">
        <v>6.4000000000000001E-2</v>
      </c>
      <c r="G36" s="305">
        <v>5.2999999999999999E-2</v>
      </c>
      <c r="H36" s="9"/>
      <c r="V36" s="21"/>
      <c r="W36" s="21"/>
      <c r="X36" s="21"/>
      <c r="Y36" s="21"/>
      <c r="Z36" s="21"/>
    </row>
    <row r="37" spans="1:26" ht="15" x14ac:dyDescent="0.2">
      <c r="A37" s="306" t="s">
        <v>217</v>
      </c>
      <c r="B37" s="303">
        <v>2.0539999999999998</v>
      </c>
      <c r="C37" s="304">
        <v>4.0000000000000001E-3</v>
      </c>
      <c r="D37" s="303">
        <v>2.15</v>
      </c>
      <c r="E37" s="304">
        <v>0.03</v>
      </c>
      <c r="F37" s="303">
        <v>9.6000000000000002E-2</v>
      </c>
      <c r="G37" s="305">
        <v>6.0999999999999999E-2</v>
      </c>
      <c r="H37" s="9"/>
      <c r="X37" s="21"/>
      <c r="Y37" s="21"/>
      <c r="Z37" s="21"/>
    </row>
    <row r="38" spans="1:26" ht="15" x14ac:dyDescent="0.2">
      <c r="A38" s="307" t="s">
        <v>218</v>
      </c>
      <c r="B38" s="308">
        <v>2.0310000000000001</v>
      </c>
      <c r="C38" s="309">
        <v>5.0000000000000001E-3</v>
      </c>
      <c r="D38" s="308">
        <v>1.96</v>
      </c>
      <c r="E38" s="309">
        <v>3.5000000000000003E-2</v>
      </c>
      <c r="F38" s="308">
        <v>-7.0999999999999994E-2</v>
      </c>
      <c r="G38" s="310">
        <v>7.0999999999999994E-2</v>
      </c>
      <c r="H38" s="9"/>
      <c r="X38" s="21"/>
      <c r="Y38" s="21"/>
      <c r="Z38" s="21"/>
    </row>
    <row r="39" spans="1:26" ht="14.25" x14ac:dyDescent="0.2">
      <c r="H39" s="9"/>
      <c r="X39" s="21"/>
      <c r="Y39" s="21"/>
      <c r="Z39" s="21"/>
    </row>
    <row r="40" spans="1:26" ht="14.25" x14ac:dyDescent="0.2">
      <c r="H40" s="9"/>
      <c r="V40" s="21"/>
      <c r="W40" s="21"/>
      <c r="X40" s="21"/>
      <c r="Y40" s="21"/>
      <c r="Z40" s="21"/>
    </row>
    <row r="41" spans="1:26" ht="14.25" x14ac:dyDescent="0.2">
      <c r="H41" s="9"/>
      <c r="U41" s="152"/>
      <c r="V41" s="21"/>
      <c r="W41" s="21"/>
      <c r="X41" s="21"/>
      <c r="Y41" s="21"/>
      <c r="Z41" s="21"/>
    </row>
    <row r="42" spans="1:26" ht="14.25" x14ac:dyDescent="0.2">
      <c r="H42" s="9"/>
      <c r="U42" s="152"/>
      <c r="V42" s="21"/>
      <c r="W42" s="21"/>
      <c r="X42" s="21"/>
      <c r="Y42" s="21"/>
      <c r="Z42" s="21"/>
    </row>
    <row r="43" spans="1:26" ht="14.25" x14ac:dyDescent="0.2">
      <c r="H43" s="9"/>
      <c r="U43" s="152"/>
      <c r="V43" s="21"/>
      <c r="W43" s="21"/>
      <c r="X43" s="21"/>
      <c r="Y43" s="21"/>
      <c r="Z43" s="21"/>
    </row>
    <row r="44" spans="1:26" ht="14.25" x14ac:dyDescent="0.2">
      <c r="H44" s="9"/>
      <c r="U44" s="152"/>
      <c r="V44" s="21"/>
      <c r="W44" s="21"/>
      <c r="X44" s="21"/>
      <c r="Y44" s="21"/>
      <c r="Z44" s="21"/>
    </row>
    <row r="45" spans="1:26" ht="14.25" x14ac:dyDescent="0.2">
      <c r="H45" s="9"/>
      <c r="U45" s="152"/>
      <c r="V45" s="21"/>
      <c r="W45" s="21"/>
      <c r="X45" s="21"/>
      <c r="Y45" s="21"/>
      <c r="Z45" s="21"/>
    </row>
    <row r="46" spans="1:26" ht="14.25" x14ac:dyDescent="0.2">
      <c r="H46" s="9"/>
      <c r="U46" s="152"/>
      <c r="V46" s="21"/>
      <c r="W46" s="21"/>
      <c r="X46" s="21"/>
      <c r="Y46" s="21"/>
      <c r="Z46" s="21"/>
    </row>
    <row r="47" spans="1:26" ht="14.25" x14ac:dyDescent="0.2">
      <c r="H47" s="9"/>
      <c r="U47" s="152"/>
      <c r="V47" s="21"/>
      <c r="W47" s="21"/>
      <c r="X47" s="21"/>
      <c r="Y47" s="21"/>
      <c r="Z47" s="21"/>
    </row>
    <row r="48" spans="1:26" ht="14.25" x14ac:dyDescent="0.2">
      <c r="H48" s="9"/>
      <c r="X48" s="21"/>
      <c r="Y48" s="21"/>
      <c r="Z48" s="21"/>
    </row>
    <row r="49" spans="8:26" ht="14.25" x14ac:dyDescent="0.2">
      <c r="H49" s="9"/>
      <c r="X49" s="21"/>
      <c r="Y49" s="21"/>
      <c r="Z49" s="21"/>
    </row>
    <row r="50" spans="8:26" ht="14.25" x14ac:dyDescent="0.2">
      <c r="H50" s="9"/>
      <c r="X50" s="21"/>
      <c r="Y50" s="21"/>
      <c r="Z50" s="21"/>
    </row>
    <row r="51" spans="8:26" ht="14.25" x14ac:dyDescent="0.2">
      <c r="H51" s="9"/>
      <c r="X51" s="21"/>
      <c r="Y51" s="21"/>
      <c r="Z51" s="21"/>
    </row>
    <row r="52" spans="8:26" ht="14.25" x14ac:dyDescent="0.2">
      <c r="H52" s="9"/>
      <c r="X52" s="21"/>
      <c r="Y52" s="21"/>
      <c r="Z52" s="21"/>
    </row>
    <row r="53" spans="8:26" ht="14.25" x14ac:dyDescent="0.2">
      <c r="H53" s="9"/>
      <c r="X53" s="21"/>
      <c r="Y53" s="21"/>
      <c r="Z53" s="21"/>
    </row>
    <row r="54" spans="8:26" ht="14.25" x14ac:dyDescent="0.2">
      <c r="H54" s="9"/>
      <c r="X54" s="21"/>
      <c r="Y54" s="21"/>
      <c r="Z54" s="21"/>
    </row>
    <row r="55" spans="8:26" ht="14.25" x14ac:dyDescent="0.2">
      <c r="H55" s="9"/>
      <c r="X55" s="21"/>
      <c r="Y55" s="21"/>
      <c r="Z55" s="21"/>
    </row>
    <row r="56" spans="8:26" ht="14.25" x14ac:dyDescent="0.2">
      <c r="H56" s="9"/>
      <c r="X56" s="21"/>
      <c r="Y56" s="21"/>
      <c r="Z56" s="21"/>
    </row>
    <row r="57" spans="8:26" ht="14.25" x14ac:dyDescent="0.2">
      <c r="H57" s="9"/>
      <c r="X57" s="21"/>
      <c r="Y57" s="21"/>
      <c r="Z57" s="21"/>
    </row>
    <row r="58" spans="8:26" ht="14.25" x14ac:dyDescent="0.2">
      <c r="H58" s="9"/>
      <c r="X58" s="21"/>
      <c r="Y58" s="21"/>
      <c r="Z58" s="21"/>
    </row>
    <row r="59" spans="8:26" ht="14.25" x14ac:dyDescent="0.2">
      <c r="H59" s="9"/>
      <c r="X59" s="21"/>
      <c r="Y59" s="21"/>
      <c r="Z59" s="21"/>
    </row>
    <row r="60" spans="8:26" ht="14.25" x14ac:dyDescent="0.2">
      <c r="H60" s="9"/>
      <c r="X60" s="21"/>
      <c r="Y60" s="21"/>
      <c r="Z60" s="21"/>
    </row>
    <row r="61" spans="8:26" ht="14.25" x14ac:dyDescent="0.2">
      <c r="H61" s="9"/>
      <c r="X61" s="21"/>
      <c r="Y61" s="21"/>
      <c r="Z61" s="21"/>
    </row>
    <row r="62" spans="8:26" ht="14.25" x14ac:dyDescent="0.2">
      <c r="H62" s="9"/>
      <c r="X62" s="21"/>
      <c r="Y62" s="21"/>
      <c r="Z62" s="21"/>
    </row>
    <row r="63" spans="8:26" ht="14.25" x14ac:dyDescent="0.2">
      <c r="H63" s="9"/>
      <c r="U63" s="152"/>
      <c r="V63" s="21"/>
      <c r="W63" s="21"/>
      <c r="X63" s="21"/>
      <c r="Y63" s="21"/>
      <c r="Z63" s="21"/>
    </row>
    <row r="64" spans="8:26" ht="14.25" x14ac:dyDescent="0.2">
      <c r="H64" s="9"/>
      <c r="U64" s="152"/>
      <c r="V64" s="21"/>
      <c r="W64" s="21"/>
      <c r="X64" s="21"/>
      <c r="Y64" s="21"/>
      <c r="Z64" s="21"/>
    </row>
    <row r="65" spans="8:26" ht="14.25" x14ac:dyDescent="0.2">
      <c r="H65" s="9"/>
      <c r="U65" s="152"/>
      <c r="V65" s="21"/>
      <c r="W65" s="21"/>
      <c r="X65" s="21"/>
      <c r="Y65" s="21"/>
      <c r="Z65" s="21"/>
    </row>
    <row r="66" spans="8:26" ht="14.25" x14ac:dyDescent="0.2">
      <c r="H66" s="9"/>
      <c r="U66" s="152"/>
      <c r="V66" s="21"/>
      <c r="W66" s="21"/>
      <c r="X66" s="21"/>
      <c r="Y66" s="21"/>
      <c r="Z66" s="21"/>
    </row>
    <row r="67" spans="8:26" ht="14.25" x14ac:dyDescent="0.2">
      <c r="H67" s="9"/>
      <c r="U67" s="152"/>
      <c r="V67" s="21"/>
      <c r="W67" s="21"/>
      <c r="X67" s="21"/>
      <c r="Y67" s="21"/>
      <c r="Z67" s="21"/>
    </row>
    <row r="68" spans="8:26" ht="14.25" x14ac:dyDescent="0.2">
      <c r="H68" s="9"/>
      <c r="U68" s="152"/>
      <c r="V68" s="21"/>
      <c r="W68" s="21"/>
      <c r="X68" s="21"/>
      <c r="Y68" s="21"/>
      <c r="Z68" s="21"/>
    </row>
    <row r="69" spans="8:26" ht="14.25" x14ac:dyDescent="0.2">
      <c r="H69" s="9"/>
      <c r="U69" s="152"/>
      <c r="V69" s="21"/>
      <c r="W69" s="21"/>
      <c r="X69" s="21"/>
      <c r="Y69" s="21"/>
      <c r="Z69" s="21"/>
    </row>
    <row r="70" spans="8:26" ht="14.25" x14ac:dyDescent="0.2">
      <c r="H70" s="9"/>
      <c r="U70" s="152"/>
      <c r="V70" s="21"/>
      <c r="W70" s="21"/>
      <c r="X70" s="21"/>
      <c r="Y70" s="21"/>
      <c r="Z70" s="21"/>
    </row>
    <row r="71" spans="8:26" ht="14.25" x14ac:dyDescent="0.2">
      <c r="H71" s="9"/>
      <c r="U71" s="152"/>
      <c r="V71" s="21"/>
      <c r="W71" s="21"/>
      <c r="X71" s="21"/>
      <c r="Y71" s="21"/>
      <c r="Z71" s="21"/>
    </row>
    <row r="72" spans="8:26" ht="14.25" x14ac:dyDescent="0.2">
      <c r="H72" s="9"/>
      <c r="U72" s="152"/>
      <c r="V72" s="21"/>
      <c r="W72" s="21"/>
      <c r="X72" s="21"/>
      <c r="Y72" s="21"/>
      <c r="Z72" s="21"/>
    </row>
    <row r="73" spans="8:26" ht="14.25" x14ac:dyDescent="0.2">
      <c r="H73" s="9"/>
      <c r="U73" s="152"/>
      <c r="V73" s="21"/>
      <c r="W73" s="21"/>
      <c r="X73" s="21"/>
      <c r="Y73" s="21"/>
      <c r="Z73" s="21"/>
    </row>
    <row r="74" spans="8:26" ht="14.25" x14ac:dyDescent="0.2">
      <c r="H74" s="9"/>
      <c r="U74" s="152"/>
      <c r="V74" s="21"/>
      <c r="W74" s="21"/>
      <c r="X74" s="21"/>
      <c r="Y74" s="21"/>
      <c r="Z74" s="21"/>
    </row>
    <row r="75" spans="8:26" ht="14.25" x14ac:dyDescent="0.2">
      <c r="H75" s="9"/>
      <c r="U75" s="152"/>
      <c r="V75" s="21"/>
      <c r="W75" s="21"/>
      <c r="X75" s="21"/>
      <c r="Y75" s="21"/>
      <c r="Z75" s="21"/>
    </row>
    <row r="76" spans="8:26" ht="14.25" x14ac:dyDescent="0.2">
      <c r="H76" s="9"/>
      <c r="U76" s="152"/>
      <c r="V76" s="21"/>
      <c r="W76" s="21"/>
      <c r="X76" s="21"/>
      <c r="Y76" s="21"/>
      <c r="Z76" s="21"/>
    </row>
    <row r="77" spans="8:26" ht="14.25" x14ac:dyDescent="0.2">
      <c r="H77" s="9"/>
      <c r="U77" s="152"/>
      <c r="V77" s="21"/>
      <c r="W77" s="21"/>
      <c r="X77" s="21"/>
      <c r="Y77" s="21"/>
      <c r="Z77" s="21"/>
    </row>
    <row r="78" spans="8:26" ht="14.25" x14ac:dyDescent="0.2">
      <c r="H78" s="9"/>
      <c r="U78" s="152"/>
      <c r="V78" s="21"/>
      <c r="W78" s="21"/>
      <c r="X78" s="21"/>
      <c r="Y78" s="21"/>
      <c r="Z78" s="21"/>
    </row>
    <row r="79" spans="8:26" ht="14.25" x14ac:dyDescent="0.2">
      <c r="H79" s="9"/>
      <c r="U79" s="152"/>
      <c r="V79" s="21"/>
      <c r="W79" s="21"/>
      <c r="X79" s="21"/>
      <c r="Y79" s="21"/>
      <c r="Z79" s="21"/>
    </row>
    <row r="80" spans="8:26" ht="14.25" x14ac:dyDescent="0.2">
      <c r="H80" s="9"/>
      <c r="U80" s="152"/>
      <c r="V80" s="21"/>
      <c r="W80" s="21"/>
      <c r="X80" s="21"/>
      <c r="Y80" s="21"/>
      <c r="Z80" s="21"/>
    </row>
    <row r="81" spans="1:26" ht="14.25" x14ac:dyDescent="0.2">
      <c r="U81" s="152"/>
      <c r="V81" s="21"/>
      <c r="W81" s="21"/>
      <c r="X81" s="21"/>
      <c r="Y81" s="21"/>
      <c r="Z81" s="21"/>
    </row>
    <row r="82" spans="1:26" ht="14.25" x14ac:dyDescent="0.2">
      <c r="H82" s="9"/>
      <c r="U82" s="152"/>
      <c r="V82" s="21"/>
      <c r="W82" s="21"/>
      <c r="X82" s="21"/>
      <c r="Y82" s="21"/>
      <c r="Z82" s="21"/>
    </row>
    <row r="83" spans="1:26" ht="14.25" x14ac:dyDescent="0.2">
      <c r="H83" s="9"/>
      <c r="U83" s="152"/>
      <c r="V83" s="21"/>
      <c r="W83" s="21"/>
      <c r="X83" s="21"/>
      <c r="Y83" s="21"/>
      <c r="Z83" s="21"/>
    </row>
    <row r="84" spans="1:26" ht="14.25" x14ac:dyDescent="0.2">
      <c r="H84" s="9"/>
      <c r="U84" s="152"/>
      <c r="V84" s="21"/>
      <c r="W84" s="21"/>
      <c r="X84" s="21"/>
      <c r="Y84" s="21"/>
      <c r="Z84" s="21"/>
    </row>
    <row r="85" spans="1:26" ht="14.25" x14ac:dyDescent="0.2">
      <c r="H85" s="9"/>
      <c r="U85" s="152"/>
      <c r="V85" s="21"/>
      <c r="W85" s="21"/>
      <c r="X85" s="21"/>
      <c r="Y85" s="21"/>
      <c r="Z85" s="21"/>
    </row>
    <row r="86" spans="1:26" ht="14.25" x14ac:dyDescent="0.2">
      <c r="H86" s="9"/>
      <c r="U86" s="152"/>
      <c r="V86" s="21"/>
      <c r="W86" s="21"/>
      <c r="X86" s="21"/>
      <c r="Y86" s="21"/>
      <c r="Z86" s="21"/>
    </row>
    <row r="87" spans="1:26" ht="14.25" x14ac:dyDescent="0.2">
      <c r="H87" s="9"/>
      <c r="U87" s="152"/>
      <c r="V87" s="21"/>
      <c r="W87" s="21"/>
      <c r="X87" s="21"/>
      <c r="Y87" s="21"/>
      <c r="Z87" s="21"/>
    </row>
    <row r="88" spans="1:26" ht="14.25" x14ac:dyDescent="0.2">
      <c r="U88" s="152"/>
      <c r="V88" s="21"/>
      <c r="W88" s="21"/>
      <c r="X88" s="21"/>
      <c r="Y88" s="21"/>
      <c r="Z88" s="21"/>
    </row>
    <row r="89" spans="1:26" ht="14.25" x14ac:dyDescent="0.2">
      <c r="U89" s="152"/>
      <c r="V89" s="21"/>
      <c r="W89" s="21"/>
      <c r="X89" s="21"/>
      <c r="Y89" s="21"/>
      <c r="Z89" s="21"/>
    </row>
    <row r="90" spans="1:26" ht="14.25" x14ac:dyDescent="0.2">
      <c r="U90" s="152"/>
      <c r="V90" s="21"/>
      <c r="W90" s="21"/>
      <c r="X90" s="21"/>
      <c r="Y90" s="21"/>
      <c r="Z90" s="21"/>
    </row>
    <row r="91" spans="1:26" ht="14.25" x14ac:dyDescent="0.2">
      <c r="U91" s="152"/>
      <c r="V91" s="21"/>
      <c r="W91" s="21"/>
      <c r="X91" s="21"/>
      <c r="Y91" s="21"/>
      <c r="Z91" s="21"/>
    </row>
    <row r="92" spans="1:26" ht="14.25" x14ac:dyDescent="0.2">
      <c r="U92" s="152"/>
      <c r="V92" s="21"/>
      <c r="W92" s="21"/>
      <c r="X92" s="21"/>
      <c r="Y92" s="21"/>
      <c r="Z92" s="21"/>
    </row>
    <row r="93" spans="1:26" ht="14.25" x14ac:dyDescent="0.2">
      <c r="U93" s="152"/>
      <c r="V93" s="21"/>
      <c r="W93" s="21"/>
      <c r="X93" s="21"/>
      <c r="Y93" s="21"/>
      <c r="Z93" s="21"/>
    </row>
    <row r="94" spans="1:26" ht="14.25" x14ac:dyDescent="0.2">
      <c r="A94" s="23"/>
      <c r="B94" s="23"/>
      <c r="C94" s="23"/>
      <c r="D94" s="23"/>
      <c r="T94" s="151"/>
      <c r="U94" s="152"/>
      <c r="V94" s="21"/>
      <c r="W94" s="21"/>
      <c r="X94" s="21"/>
      <c r="Y94" s="21"/>
      <c r="Z94" s="21"/>
    </row>
    <row r="95" spans="1:26" ht="14.25" x14ac:dyDescent="0.2">
      <c r="T95" s="151"/>
      <c r="U95" s="152"/>
      <c r="V95" s="21"/>
      <c r="W95" s="21"/>
      <c r="X95" s="21"/>
      <c r="Y95" s="21"/>
      <c r="Z95" s="21"/>
    </row>
    <row r="96" spans="1:26" ht="14.25" x14ac:dyDescent="0.2">
      <c r="T96" s="151"/>
      <c r="U96" s="152"/>
      <c r="V96" s="21"/>
      <c r="W96" s="21"/>
      <c r="X96" s="21"/>
      <c r="Y96" s="21"/>
      <c r="Z96" s="21"/>
    </row>
    <row r="97" spans="1:26" ht="14.25" x14ac:dyDescent="0.2">
      <c r="T97" s="151"/>
      <c r="U97" s="152"/>
      <c r="V97" s="21"/>
      <c r="W97" s="21"/>
      <c r="X97" s="21"/>
      <c r="Y97" s="21"/>
      <c r="Z97" s="21"/>
    </row>
    <row r="98" spans="1:26" ht="14.25" x14ac:dyDescent="0.2">
      <c r="T98" s="151"/>
      <c r="U98" s="152"/>
      <c r="V98" s="21"/>
      <c r="W98" s="21"/>
      <c r="X98" s="21"/>
      <c r="Y98" s="21"/>
      <c r="Z98" s="21"/>
    </row>
    <row r="99" spans="1:26" ht="14.25" x14ac:dyDescent="0.2">
      <c r="T99" s="151"/>
      <c r="U99" s="152"/>
      <c r="V99" s="21"/>
      <c r="W99" s="21"/>
      <c r="X99" s="21"/>
      <c r="Y99" s="21"/>
      <c r="Z99" s="21"/>
    </row>
    <row r="100" spans="1:26" ht="14.25" x14ac:dyDescent="0.2">
      <c r="T100" s="151"/>
      <c r="U100" s="152"/>
      <c r="V100" s="21"/>
      <c r="W100" s="21"/>
      <c r="X100" s="21"/>
      <c r="Y100" s="21"/>
      <c r="Z100" s="21"/>
    </row>
    <row r="101" spans="1:26" ht="14.25" x14ac:dyDescent="0.2">
      <c r="T101" s="151"/>
      <c r="U101" s="152"/>
      <c r="V101" s="21"/>
      <c r="W101" s="21"/>
      <c r="X101" s="21"/>
      <c r="Y101" s="21"/>
      <c r="Z101" s="21"/>
    </row>
    <row r="102" spans="1:26" ht="14.25" x14ac:dyDescent="0.2">
      <c r="T102" s="151"/>
      <c r="U102" s="152"/>
      <c r="V102" s="21"/>
      <c r="W102" s="21"/>
      <c r="X102" s="21"/>
      <c r="Y102" s="21"/>
      <c r="Z102" s="21"/>
    </row>
    <row r="103" spans="1:26" ht="14.25" x14ac:dyDescent="0.2">
      <c r="T103" s="151"/>
      <c r="U103" s="152"/>
      <c r="V103" s="21"/>
      <c r="W103" s="21"/>
      <c r="X103" s="21"/>
      <c r="Y103" s="21"/>
      <c r="Z103" s="21"/>
    </row>
    <row r="104" spans="1:26" ht="14.25" x14ac:dyDescent="0.2">
      <c r="T104" s="151"/>
      <c r="U104" s="152"/>
      <c r="V104" s="21"/>
      <c r="W104" s="21"/>
      <c r="X104" s="21"/>
      <c r="Y104" s="21"/>
      <c r="Z104" s="21"/>
    </row>
    <row r="105" spans="1:26" ht="14.25" x14ac:dyDescent="0.2">
      <c r="T105" s="151"/>
      <c r="U105" s="152"/>
      <c r="V105" s="21"/>
      <c r="W105" s="21"/>
      <c r="X105" s="21"/>
      <c r="Y105" s="21"/>
      <c r="Z105" s="21"/>
    </row>
    <row r="106" spans="1:26" ht="14.25" x14ac:dyDescent="0.2">
      <c r="T106" s="151"/>
      <c r="U106" s="152"/>
      <c r="V106" s="21"/>
      <c r="W106" s="21"/>
      <c r="X106" s="21"/>
      <c r="Y106" s="21"/>
      <c r="Z106" s="21"/>
    </row>
    <row r="107" spans="1:26" ht="14.25" x14ac:dyDescent="0.2">
      <c r="A107" s="23"/>
      <c r="B107" s="23"/>
      <c r="C107" s="23"/>
      <c r="D107" s="23"/>
      <c r="T107" s="151"/>
      <c r="U107" s="152"/>
      <c r="V107" s="21"/>
      <c r="W107" s="21"/>
      <c r="X107" s="21"/>
      <c r="Y107" s="21"/>
      <c r="Z107" s="21"/>
    </row>
    <row r="108" spans="1:26" ht="14.25" x14ac:dyDescent="0.2">
      <c r="A108" s="23"/>
      <c r="B108" s="23"/>
      <c r="C108" s="23"/>
      <c r="D108" s="23"/>
      <c r="T108" s="151"/>
      <c r="U108" s="152"/>
      <c r="V108" s="21"/>
      <c r="W108" s="21"/>
      <c r="X108" s="21"/>
      <c r="Y108" s="21"/>
      <c r="Z108" s="21"/>
    </row>
    <row r="109" spans="1:26" ht="14.25" x14ac:dyDescent="0.2">
      <c r="A109" s="23"/>
      <c r="B109" s="23"/>
      <c r="C109" s="23"/>
      <c r="D109" s="23"/>
      <c r="T109" s="151"/>
      <c r="U109" s="152"/>
      <c r="V109" s="21"/>
      <c r="W109" s="21"/>
      <c r="X109" s="21"/>
      <c r="Y109" s="21"/>
      <c r="Z109" s="21"/>
    </row>
    <row r="110" spans="1:26" ht="14.25" x14ac:dyDescent="0.2">
      <c r="A110" s="23"/>
      <c r="B110" s="23"/>
      <c r="C110" s="23"/>
      <c r="D110" s="23"/>
      <c r="T110" s="151"/>
      <c r="U110" s="152"/>
      <c r="V110" s="21"/>
      <c r="W110" s="21"/>
      <c r="X110" s="21"/>
      <c r="Y110" s="21"/>
      <c r="Z110" s="21"/>
    </row>
    <row r="111" spans="1:26" ht="14.25" x14ac:dyDescent="0.2">
      <c r="A111" s="23"/>
      <c r="B111" s="23"/>
      <c r="C111" s="23"/>
      <c r="D111" s="23"/>
      <c r="T111" s="151"/>
      <c r="U111" s="152"/>
      <c r="V111" s="21"/>
      <c r="W111" s="21"/>
      <c r="X111" s="21"/>
      <c r="Y111" s="21"/>
      <c r="Z111" s="21"/>
    </row>
    <row r="112" spans="1:26" ht="14.25" x14ac:dyDescent="0.2">
      <c r="A112" s="23"/>
      <c r="B112" s="23"/>
      <c r="C112" s="23"/>
      <c r="D112" s="23"/>
      <c r="T112" s="151"/>
      <c r="U112" s="152"/>
      <c r="V112" s="21"/>
      <c r="W112" s="21"/>
      <c r="X112" s="21"/>
      <c r="Y112" s="21"/>
      <c r="Z112" s="21"/>
    </row>
    <row r="113" spans="1:26" ht="14.25" x14ac:dyDescent="0.2">
      <c r="A113" s="23"/>
      <c r="B113" s="23"/>
      <c r="C113" s="23"/>
      <c r="D113" s="23"/>
      <c r="T113" s="151"/>
      <c r="U113" s="152"/>
      <c r="V113" s="21"/>
      <c r="W113" s="21"/>
      <c r="X113" s="21"/>
      <c r="Y113" s="21"/>
      <c r="Z113" s="21"/>
    </row>
    <row r="114" spans="1:26" ht="14.25" x14ac:dyDescent="0.2">
      <c r="A114" s="23"/>
      <c r="B114" s="23"/>
      <c r="C114" s="23"/>
      <c r="D114" s="23"/>
      <c r="T114" s="151"/>
      <c r="U114" s="152"/>
      <c r="V114" s="21"/>
      <c r="W114" s="21"/>
      <c r="X114" s="21"/>
      <c r="Y114" s="21"/>
      <c r="Z114" s="21"/>
    </row>
    <row r="115" spans="1:26" ht="14.25" x14ac:dyDescent="0.2">
      <c r="A115" s="23"/>
      <c r="B115" s="23"/>
      <c r="C115" s="23"/>
      <c r="D115" s="23"/>
      <c r="T115" s="151"/>
      <c r="U115" s="152"/>
      <c r="V115" s="21"/>
      <c r="W115" s="21"/>
      <c r="X115" s="21"/>
      <c r="Y115" s="21"/>
      <c r="Z115" s="21"/>
    </row>
    <row r="116" spans="1:26" ht="14.25" x14ac:dyDescent="0.2">
      <c r="A116" s="23"/>
      <c r="B116" s="23"/>
      <c r="C116" s="23"/>
      <c r="D116" s="23"/>
      <c r="T116" s="151"/>
      <c r="U116" s="152"/>
      <c r="V116" s="21"/>
      <c r="W116" s="21"/>
      <c r="X116" s="21"/>
      <c r="Y116" s="21"/>
      <c r="Z116" s="21"/>
    </row>
    <row r="117" spans="1:26" ht="14.25" x14ac:dyDescent="0.2">
      <c r="A117" s="23"/>
      <c r="B117" s="23"/>
      <c r="C117" s="23"/>
      <c r="D117" s="23"/>
      <c r="T117" s="151"/>
      <c r="U117" s="152"/>
      <c r="V117" s="21"/>
      <c r="W117" s="21"/>
      <c r="X117" s="21"/>
      <c r="Y117" s="21"/>
      <c r="Z117" s="21"/>
    </row>
    <row r="118" spans="1:26" ht="14.25" x14ac:dyDescent="0.2">
      <c r="A118" s="23"/>
      <c r="B118" s="23"/>
      <c r="C118" s="23"/>
      <c r="D118" s="23"/>
      <c r="T118" s="151"/>
      <c r="U118" s="152"/>
      <c r="V118" s="21"/>
      <c r="W118" s="21"/>
      <c r="X118" s="21"/>
      <c r="Y118" s="21"/>
      <c r="Z118" s="21"/>
    </row>
    <row r="119" spans="1:26" ht="14.25" x14ac:dyDescent="0.2">
      <c r="A119" s="23"/>
      <c r="B119" s="23"/>
      <c r="C119" s="23"/>
      <c r="D119" s="23"/>
      <c r="T119" s="151"/>
      <c r="U119" s="152"/>
      <c r="V119" s="21"/>
      <c r="W119" s="21"/>
      <c r="X119" s="21"/>
      <c r="Y119" s="21"/>
      <c r="Z119" s="21"/>
    </row>
    <row r="120" spans="1:26" ht="14.25" x14ac:dyDescent="0.2">
      <c r="A120" s="23"/>
      <c r="B120" s="23"/>
      <c r="C120" s="23"/>
      <c r="D120" s="23"/>
      <c r="T120" s="151"/>
      <c r="U120" s="152"/>
      <c r="V120" s="21"/>
      <c r="W120" s="21"/>
      <c r="X120" s="21"/>
      <c r="Y120" s="21"/>
      <c r="Z120" s="21"/>
    </row>
    <row r="121" spans="1:26" ht="13.5" x14ac:dyDescent="0.2">
      <c r="A121" s="24"/>
      <c r="B121" s="24"/>
      <c r="T121" s="153"/>
      <c r="V121" s="21"/>
      <c r="W121" s="21"/>
      <c r="X121" s="21"/>
      <c r="Y121" s="21"/>
      <c r="Z121" s="21"/>
    </row>
    <row r="135" spans="1:26" ht="16.899999999999999" customHeight="1" x14ac:dyDescent="0.2">
      <c r="A135" s="25"/>
    </row>
    <row r="136" spans="1:26" ht="12" customHeight="1" x14ac:dyDescent="0.2">
      <c r="A136" s="4"/>
    </row>
    <row r="137" spans="1:26" ht="13.15" customHeight="1" x14ac:dyDescent="0.2"/>
    <row r="138" spans="1:26" ht="13.15" customHeight="1" x14ac:dyDescent="0.2"/>
    <row r="139" spans="1:26" ht="13.15" customHeight="1" x14ac:dyDescent="0.2"/>
    <row r="140" spans="1:26" s="149" customFormat="1" ht="13.15" customHeight="1" x14ac:dyDescent="0.2">
      <c r="A140" s="1"/>
      <c r="B140" s="1"/>
      <c r="C140" s="1"/>
      <c r="D140" s="1"/>
      <c r="E140" s="1"/>
      <c r="F140" s="1"/>
      <c r="G140" s="1"/>
      <c r="H140" s="1"/>
      <c r="P140" s="1"/>
      <c r="Q140" s="1"/>
      <c r="T140" s="150"/>
      <c r="U140" s="150"/>
      <c r="V140" s="1"/>
      <c r="W140" s="1"/>
      <c r="X140" s="1"/>
      <c r="Y140" s="1"/>
      <c r="Z140" s="1"/>
    </row>
    <row r="141" spans="1:26" s="149" customFormat="1" ht="13.15" customHeight="1" x14ac:dyDescent="0.2">
      <c r="A141" s="1"/>
      <c r="B141" s="1"/>
      <c r="C141" s="1"/>
      <c r="D141" s="1"/>
      <c r="E141" s="1"/>
      <c r="F141" s="1"/>
      <c r="G141" s="1"/>
      <c r="H141" s="1"/>
      <c r="P141" s="1"/>
      <c r="Q141" s="1"/>
      <c r="T141" s="150"/>
      <c r="U141" s="150"/>
      <c r="V141" s="1"/>
      <c r="W141" s="1"/>
      <c r="X141" s="1"/>
      <c r="Y141" s="1"/>
      <c r="Z141" s="1"/>
    </row>
    <row r="142" spans="1:26" s="149" customFormat="1" ht="13.15" customHeight="1" x14ac:dyDescent="0.2">
      <c r="A142" s="1"/>
      <c r="B142" s="1"/>
      <c r="C142" s="1"/>
      <c r="D142" s="1"/>
      <c r="E142" s="1"/>
      <c r="F142" s="1"/>
      <c r="G142" s="1"/>
      <c r="H142" s="1"/>
      <c r="P142" s="1"/>
      <c r="Q142" s="1"/>
      <c r="T142" s="150"/>
      <c r="U142" s="150"/>
      <c r="V142" s="1"/>
      <c r="W142" s="1"/>
      <c r="X142" s="1"/>
      <c r="Y142" s="1"/>
      <c r="Z142" s="1"/>
    </row>
    <row r="143" spans="1:26" s="149" customFormat="1" ht="12" customHeight="1" x14ac:dyDescent="0.2">
      <c r="A143" s="1"/>
      <c r="B143" s="1"/>
      <c r="C143" s="1"/>
      <c r="D143" s="1"/>
      <c r="E143" s="1"/>
      <c r="F143" s="1"/>
      <c r="G143" s="1"/>
      <c r="H143" s="1"/>
      <c r="P143" s="1"/>
      <c r="Q143" s="1"/>
      <c r="T143" s="150"/>
      <c r="U143" s="150"/>
      <c r="V143" s="1"/>
      <c r="W143" s="1"/>
      <c r="X143" s="1"/>
      <c r="Y143" s="1"/>
      <c r="Z143" s="1"/>
    </row>
    <row r="144" spans="1:26" s="149" customFormat="1" ht="12" customHeight="1" x14ac:dyDescent="0.2">
      <c r="A144" s="1"/>
      <c r="B144" s="1"/>
      <c r="C144" s="1"/>
      <c r="D144" s="1"/>
      <c r="E144" s="1"/>
      <c r="F144" s="1"/>
      <c r="G144" s="1"/>
      <c r="H144" s="1"/>
      <c r="P144" s="1"/>
      <c r="Q144" s="1"/>
      <c r="T144" s="150"/>
      <c r="U144" s="150"/>
      <c r="V144" s="1"/>
      <c r="W144" s="1"/>
      <c r="X144" s="1"/>
      <c r="Y144" s="1"/>
      <c r="Z144" s="1"/>
    </row>
    <row r="145" spans="1:26" s="149" customFormat="1" ht="15" customHeight="1" x14ac:dyDescent="0.2">
      <c r="A145" s="1"/>
      <c r="B145" s="1"/>
      <c r="C145" s="1"/>
      <c r="D145" s="1"/>
      <c r="E145" s="1"/>
      <c r="F145" s="1"/>
      <c r="G145" s="1"/>
      <c r="H145" s="1"/>
      <c r="P145" s="1"/>
      <c r="Q145" s="1"/>
      <c r="T145" s="150"/>
      <c r="U145" s="150"/>
      <c r="V145" s="1"/>
      <c r="W145" s="1"/>
      <c r="X145" s="1"/>
      <c r="Y145" s="1"/>
      <c r="Z145" s="1"/>
    </row>
    <row r="146" spans="1:26" s="149" customFormat="1" ht="15" customHeight="1" x14ac:dyDescent="0.2">
      <c r="A146" s="1"/>
      <c r="B146" s="1"/>
      <c r="C146" s="1"/>
      <c r="D146" s="1"/>
      <c r="E146" s="1"/>
      <c r="F146" s="1"/>
      <c r="G146" s="1"/>
      <c r="H146" s="1"/>
      <c r="P146" s="1"/>
      <c r="Q146" s="1"/>
      <c r="T146" s="150"/>
      <c r="U146" s="150"/>
      <c r="V146" s="1"/>
      <c r="W146" s="1"/>
      <c r="X146" s="1"/>
      <c r="Y146" s="1"/>
      <c r="Z146" s="1"/>
    </row>
    <row r="147" spans="1:26" s="149" customFormat="1" ht="12" customHeight="1" x14ac:dyDescent="0.2">
      <c r="A147" s="3" t="s">
        <v>22</v>
      </c>
      <c r="B147" s="1"/>
      <c r="C147" s="1"/>
      <c r="D147" s="1"/>
      <c r="E147" s="1"/>
      <c r="F147" s="1"/>
      <c r="G147" s="1"/>
      <c r="H147" s="1"/>
      <c r="P147" s="1"/>
      <c r="Q147" s="1"/>
      <c r="T147" s="150"/>
      <c r="U147" s="150"/>
      <c r="V147" s="1"/>
      <c r="W147" s="1"/>
      <c r="X147" s="1"/>
      <c r="Y147" s="1"/>
      <c r="Z147" s="1"/>
    </row>
    <row r="148" spans="1:26" s="149" customFormat="1" ht="60" x14ac:dyDescent="0.2">
      <c r="A148" s="26" t="s">
        <v>23</v>
      </c>
      <c r="B148" s="26" t="s">
        <v>24</v>
      </c>
      <c r="C148" s="27" t="s">
        <v>25</v>
      </c>
      <c r="D148" s="28" t="s">
        <v>26</v>
      </c>
      <c r="E148" s="28" t="s">
        <v>27</v>
      </c>
      <c r="F148" s="29" t="s">
        <v>28</v>
      </c>
      <c r="G148" s="27" t="s">
        <v>29</v>
      </c>
      <c r="H148" s="28" t="s">
        <v>61</v>
      </c>
      <c r="I148" s="161" t="s">
        <v>62</v>
      </c>
      <c r="J148" s="162" t="s">
        <v>30</v>
      </c>
      <c r="K148" s="163" t="s">
        <v>31</v>
      </c>
      <c r="L148" s="30" t="s">
        <v>131</v>
      </c>
      <c r="M148" s="164" t="s">
        <v>132</v>
      </c>
      <c r="N148" s="161" t="s">
        <v>32</v>
      </c>
      <c r="P148" s="1"/>
      <c r="Q148" s="1"/>
      <c r="T148" s="150"/>
      <c r="U148" s="150"/>
      <c r="V148" s="1"/>
      <c r="W148" s="1"/>
      <c r="X148" s="1"/>
      <c r="Y148" s="1"/>
      <c r="Z148" s="1"/>
    </row>
    <row r="149" spans="1:26" s="149" customFormat="1" x14ac:dyDescent="0.2">
      <c r="A149" s="31" t="s">
        <v>63</v>
      </c>
      <c r="B149" s="31" t="s">
        <v>64</v>
      </c>
      <c r="C149" s="32">
        <v>40.082999999999998</v>
      </c>
      <c r="D149" s="32">
        <v>3.4000000000000002E-2</v>
      </c>
      <c r="E149" s="33">
        <v>6.012E-2</v>
      </c>
      <c r="F149" s="33">
        <v>6.9070000000000006E-2</v>
      </c>
      <c r="G149" s="34">
        <v>40.112000000000002</v>
      </c>
      <c r="H149" s="34">
        <v>6.3E-2</v>
      </c>
      <c r="I149" s="165">
        <v>2</v>
      </c>
      <c r="J149" s="166">
        <v>0.03</v>
      </c>
      <c r="K149" s="167">
        <v>6.9999999999999999E-4</v>
      </c>
      <c r="L149" s="168">
        <v>2</v>
      </c>
      <c r="M149" s="169">
        <v>0.15179999999999999</v>
      </c>
      <c r="N149" s="167">
        <v>3.8E-3</v>
      </c>
      <c r="P149" s="1"/>
      <c r="Q149" s="1"/>
      <c r="T149" s="150"/>
      <c r="U149" s="150"/>
      <c r="V149" s="1"/>
      <c r="W149" s="1"/>
      <c r="X149" s="1"/>
      <c r="Y149" s="1"/>
      <c r="Z149" s="1"/>
    </row>
    <row r="150" spans="1:26" s="149" customFormat="1" x14ac:dyDescent="0.2">
      <c r="A150" s="31" t="s">
        <v>65</v>
      </c>
      <c r="B150" s="31" t="s">
        <v>66</v>
      </c>
      <c r="C150" s="32">
        <v>40.091999999999999</v>
      </c>
      <c r="D150" s="32">
        <v>3.4000000000000002E-2</v>
      </c>
      <c r="E150" s="33">
        <v>6.0139999999999999E-2</v>
      </c>
      <c r="F150" s="33">
        <v>6.9080000000000003E-2</v>
      </c>
      <c r="G150" s="34">
        <v>40.049999999999997</v>
      </c>
      <c r="H150" s="34">
        <v>0.24</v>
      </c>
      <c r="I150" s="165">
        <v>2</v>
      </c>
      <c r="J150" s="166">
        <v>-0.04</v>
      </c>
      <c r="K150" s="167">
        <v>-1E-3</v>
      </c>
      <c r="L150" s="168">
        <v>2</v>
      </c>
      <c r="M150" s="169">
        <v>0.27689999999999998</v>
      </c>
      <c r="N150" s="167">
        <v>6.8999999999999999E-3</v>
      </c>
      <c r="P150" s="1"/>
      <c r="Q150" s="1"/>
      <c r="T150" s="150"/>
      <c r="U150" s="150"/>
      <c r="V150" s="1"/>
      <c r="W150" s="1"/>
      <c r="X150" s="1"/>
      <c r="Y150" s="1"/>
      <c r="Z150" s="1"/>
    </row>
    <row r="151" spans="1:26" s="149" customFormat="1" x14ac:dyDescent="0.2">
      <c r="A151" s="31" t="s">
        <v>56</v>
      </c>
      <c r="B151" s="31" t="s">
        <v>57</v>
      </c>
      <c r="C151" s="32">
        <v>40.046999999999997</v>
      </c>
      <c r="D151" s="32">
        <v>3.4000000000000002E-2</v>
      </c>
      <c r="E151" s="33">
        <v>6.0069999999999998E-2</v>
      </c>
      <c r="F151" s="33">
        <v>6.9029999999999994E-2</v>
      </c>
      <c r="G151" s="34">
        <v>40</v>
      </c>
      <c r="H151" s="34">
        <v>0.2</v>
      </c>
      <c r="I151" s="165">
        <v>2</v>
      </c>
      <c r="J151" s="166">
        <v>-0.05</v>
      </c>
      <c r="K151" s="167">
        <v>-1.1999999999999999E-3</v>
      </c>
      <c r="L151" s="168">
        <v>2</v>
      </c>
      <c r="M151" s="169">
        <v>0.24299999999999999</v>
      </c>
      <c r="N151" s="167">
        <v>6.1000000000000004E-3</v>
      </c>
      <c r="P151" s="1"/>
      <c r="Q151" s="1"/>
      <c r="T151" s="150"/>
      <c r="U151" s="150"/>
      <c r="V151" s="1"/>
      <c r="W151" s="1"/>
      <c r="X151" s="1"/>
      <c r="Y151" s="1"/>
      <c r="Z151" s="1"/>
    </row>
    <row r="152" spans="1:26" s="149" customFormat="1" x14ac:dyDescent="0.2">
      <c r="A152" s="31" t="s">
        <v>33</v>
      </c>
      <c r="B152" s="31" t="s">
        <v>34</v>
      </c>
      <c r="C152" s="32">
        <v>40.100999999999999</v>
      </c>
      <c r="D152" s="32">
        <v>3.4000000000000002E-2</v>
      </c>
      <c r="E152" s="33">
        <v>6.0150000000000002E-2</v>
      </c>
      <c r="F152" s="33">
        <v>6.9099999999999995E-2</v>
      </c>
      <c r="G152" s="34">
        <v>40.200000000000003</v>
      </c>
      <c r="H152" s="34">
        <v>0.38</v>
      </c>
      <c r="I152" s="165">
        <v>2</v>
      </c>
      <c r="J152" s="166">
        <v>0.1</v>
      </c>
      <c r="K152" s="167">
        <v>2.5000000000000001E-3</v>
      </c>
      <c r="L152" s="168">
        <v>2</v>
      </c>
      <c r="M152" s="169">
        <v>0.40429999999999999</v>
      </c>
      <c r="N152" s="167">
        <v>1.01E-2</v>
      </c>
      <c r="P152" s="1"/>
      <c r="Q152" s="1"/>
      <c r="T152" s="150"/>
      <c r="U152" s="150"/>
      <c r="V152" s="1"/>
      <c r="W152" s="1"/>
      <c r="X152" s="1"/>
      <c r="Y152" s="1"/>
      <c r="Z152" s="1"/>
    </row>
    <row r="153" spans="1:26" s="149" customFormat="1" x14ac:dyDescent="0.2">
      <c r="A153" s="31" t="s">
        <v>35</v>
      </c>
      <c r="B153" s="31" t="s">
        <v>36</v>
      </c>
      <c r="C153" s="32">
        <v>39.953000000000003</v>
      </c>
      <c r="D153" s="32">
        <v>3.4000000000000002E-2</v>
      </c>
      <c r="E153" s="33">
        <v>5.9929999999999997E-2</v>
      </c>
      <c r="F153" s="33">
        <v>6.8900000000000003E-2</v>
      </c>
      <c r="G153" s="34">
        <v>40.1</v>
      </c>
      <c r="H153" s="34">
        <v>0.51</v>
      </c>
      <c r="I153" s="165">
        <v>2</v>
      </c>
      <c r="J153" s="166">
        <v>0.15</v>
      </c>
      <c r="K153" s="167">
        <v>3.7000000000000002E-3</v>
      </c>
      <c r="L153" s="168">
        <v>2</v>
      </c>
      <c r="M153" s="169">
        <v>0.52829999999999999</v>
      </c>
      <c r="N153" s="167">
        <v>1.32E-2</v>
      </c>
      <c r="P153" s="1"/>
      <c r="Q153" s="1"/>
      <c r="T153" s="150"/>
      <c r="U153" s="150"/>
      <c r="V153" s="1"/>
      <c r="W153" s="1"/>
      <c r="X153" s="1"/>
      <c r="Y153" s="1"/>
      <c r="Z153" s="1"/>
    </row>
    <row r="154" spans="1:26" s="149" customFormat="1" x14ac:dyDescent="0.2">
      <c r="A154" s="31" t="s">
        <v>37</v>
      </c>
      <c r="B154" s="31" t="s">
        <v>38</v>
      </c>
      <c r="C154" s="32">
        <v>40.128</v>
      </c>
      <c r="D154" s="32">
        <v>3.4000000000000002E-2</v>
      </c>
      <c r="E154" s="33">
        <v>6.019E-2</v>
      </c>
      <c r="F154" s="33">
        <v>6.9129999999999997E-2</v>
      </c>
      <c r="G154" s="34">
        <v>40.11</v>
      </c>
      <c r="H154" s="34">
        <v>0.19</v>
      </c>
      <c r="I154" s="165">
        <v>2</v>
      </c>
      <c r="J154" s="166">
        <v>-0.02</v>
      </c>
      <c r="K154" s="167">
        <v>-4.0000000000000002E-4</v>
      </c>
      <c r="L154" s="168">
        <v>2</v>
      </c>
      <c r="M154" s="169">
        <v>0.23499999999999999</v>
      </c>
      <c r="N154" s="167">
        <v>5.8999999999999999E-3</v>
      </c>
      <c r="P154" s="1"/>
      <c r="Q154" s="1"/>
      <c r="T154" s="150"/>
      <c r="U154" s="150"/>
      <c r="V154" s="1"/>
      <c r="W154" s="1"/>
      <c r="X154" s="1"/>
      <c r="Y154" s="1"/>
      <c r="Z154" s="1"/>
    </row>
    <row r="155" spans="1:26" s="149" customFormat="1" x14ac:dyDescent="0.2">
      <c r="A155" s="31" t="s">
        <v>39</v>
      </c>
      <c r="B155" s="31" t="s">
        <v>40</v>
      </c>
      <c r="C155" s="32">
        <v>40.116</v>
      </c>
      <c r="D155" s="32">
        <v>3.4000000000000002E-2</v>
      </c>
      <c r="E155" s="33">
        <v>6.0170000000000001E-2</v>
      </c>
      <c r="F155" s="33">
        <v>6.9120000000000001E-2</v>
      </c>
      <c r="G155" s="34">
        <v>45.22</v>
      </c>
      <c r="H155" s="34">
        <v>0.25</v>
      </c>
      <c r="I155" s="165">
        <v>2</v>
      </c>
      <c r="J155" s="166">
        <v>5.0999999999999996</v>
      </c>
      <c r="K155" s="167">
        <v>0.12720000000000001</v>
      </c>
      <c r="L155" s="168">
        <v>2</v>
      </c>
      <c r="M155" s="169">
        <v>0.28570000000000001</v>
      </c>
      <c r="N155" s="167">
        <v>7.1000000000000004E-3</v>
      </c>
      <c r="P155" s="1"/>
      <c r="Q155" s="1"/>
      <c r="T155" s="150"/>
      <c r="U155" s="150"/>
      <c r="V155" s="1"/>
      <c r="W155" s="1"/>
      <c r="X155" s="1"/>
      <c r="Y155" s="1"/>
      <c r="Z155" s="1"/>
    </row>
    <row r="156" spans="1:26" s="149" customFormat="1" x14ac:dyDescent="0.2">
      <c r="A156" s="31" t="s">
        <v>41</v>
      </c>
      <c r="B156" s="31" t="s">
        <v>42</v>
      </c>
      <c r="C156" s="32">
        <v>40.094000000000001</v>
      </c>
      <c r="D156" s="32">
        <v>3.4000000000000002E-2</v>
      </c>
      <c r="E156" s="33">
        <v>6.0139999999999999E-2</v>
      </c>
      <c r="F156" s="33">
        <v>6.9089999999999999E-2</v>
      </c>
      <c r="G156" s="34">
        <v>39.799999999999997</v>
      </c>
      <c r="H156" s="34">
        <v>0.21</v>
      </c>
      <c r="I156" s="165">
        <v>2</v>
      </c>
      <c r="J156" s="166">
        <v>-0.28999999999999998</v>
      </c>
      <c r="K156" s="167">
        <v>-7.3000000000000001E-3</v>
      </c>
      <c r="L156" s="168">
        <v>2</v>
      </c>
      <c r="M156" s="169">
        <v>0.25140000000000001</v>
      </c>
      <c r="N156" s="167">
        <v>6.3E-3</v>
      </c>
      <c r="P156" s="1"/>
      <c r="Q156" s="1"/>
      <c r="T156" s="150"/>
      <c r="U156" s="150"/>
      <c r="V156" s="1"/>
      <c r="W156" s="1"/>
      <c r="X156" s="1"/>
      <c r="Y156" s="1"/>
      <c r="Z156" s="1"/>
    </row>
    <row r="157" spans="1:26" s="149" customFormat="1" x14ac:dyDescent="0.2">
      <c r="A157" s="31" t="s">
        <v>43</v>
      </c>
      <c r="B157" s="31" t="s">
        <v>44</v>
      </c>
      <c r="C157" s="32">
        <v>40.110999999999997</v>
      </c>
      <c r="D157" s="32">
        <v>3.4000000000000002E-2</v>
      </c>
      <c r="E157" s="33">
        <v>6.0170000000000001E-2</v>
      </c>
      <c r="F157" s="33">
        <v>6.9110000000000005E-2</v>
      </c>
      <c r="G157" s="34">
        <v>39.909999999999997</v>
      </c>
      <c r="H157" s="34">
        <v>0.14000000000000001</v>
      </c>
      <c r="I157" s="165">
        <v>2</v>
      </c>
      <c r="J157" s="166">
        <v>-0.2</v>
      </c>
      <c r="K157" s="167">
        <v>-5.0000000000000001E-3</v>
      </c>
      <c r="L157" s="168">
        <v>2</v>
      </c>
      <c r="M157" s="169">
        <v>0.19670000000000001</v>
      </c>
      <c r="N157" s="167">
        <v>4.8999999999999998E-3</v>
      </c>
      <c r="P157" s="1"/>
      <c r="Q157" s="1"/>
      <c r="T157" s="150"/>
      <c r="U157" s="150"/>
      <c r="V157" s="1"/>
      <c r="W157" s="1"/>
      <c r="X157" s="1"/>
      <c r="Y157" s="1"/>
      <c r="Z157" s="1"/>
    </row>
    <row r="158" spans="1:26" s="149" customFormat="1" x14ac:dyDescent="0.2">
      <c r="A158" s="31" t="s">
        <v>45</v>
      </c>
      <c r="B158" s="31" t="s">
        <v>46</v>
      </c>
      <c r="C158" s="32">
        <v>40.090000000000003</v>
      </c>
      <c r="D158" s="32">
        <v>3.4000000000000002E-2</v>
      </c>
      <c r="E158" s="33">
        <v>6.0139999999999999E-2</v>
      </c>
      <c r="F158" s="33">
        <v>6.9080000000000003E-2</v>
      </c>
      <c r="G158" s="34">
        <v>38.53</v>
      </c>
      <c r="H158" s="34">
        <v>0.3</v>
      </c>
      <c r="I158" s="165">
        <v>2</v>
      </c>
      <c r="J158" s="166">
        <v>-1.56</v>
      </c>
      <c r="K158" s="167">
        <v>-3.8899999999999997E-2</v>
      </c>
      <c r="L158" s="168">
        <v>2</v>
      </c>
      <c r="M158" s="169">
        <v>0.33029999999999998</v>
      </c>
      <c r="N158" s="167">
        <v>8.2000000000000007E-3</v>
      </c>
      <c r="P158" s="1"/>
      <c r="Q158" s="1"/>
      <c r="T158" s="150"/>
      <c r="U158" s="150"/>
      <c r="V158" s="1"/>
      <c r="W158" s="1"/>
      <c r="X158" s="1"/>
      <c r="Y158" s="1"/>
      <c r="Z158" s="1"/>
    </row>
    <row r="159" spans="1:26" s="149" customFormat="1" ht="24" x14ac:dyDescent="0.2">
      <c r="A159" s="31" t="s">
        <v>47</v>
      </c>
      <c r="B159" s="31" t="s">
        <v>48</v>
      </c>
      <c r="C159" s="32">
        <v>40.127000000000002</v>
      </c>
      <c r="D159" s="32">
        <v>3.4000000000000002E-2</v>
      </c>
      <c r="E159" s="33">
        <v>6.019E-2</v>
      </c>
      <c r="F159" s="33">
        <v>6.9129999999999997E-2</v>
      </c>
      <c r="G159" s="34">
        <v>29.495000000000001</v>
      </c>
      <c r="H159" s="34">
        <v>0.36899999999999999</v>
      </c>
      <c r="I159" s="165">
        <v>2</v>
      </c>
      <c r="J159" s="166">
        <v>-10.63</v>
      </c>
      <c r="K159" s="167">
        <v>-0.26500000000000001</v>
      </c>
      <c r="L159" s="168">
        <v>2</v>
      </c>
      <c r="M159" s="169">
        <v>0.39410000000000001</v>
      </c>
      <c r="N159" s="167">
        <v>9.7999999999999997E-3</v>
      </c>
      <c r="P159" s="1"/>
      <c r="Q159" s="1"/>
      <c r="T159" s="150"/>
      <c r="U159" s="150"/>
      <c r="V159" s="1"/>
      <c r="W159" s="1"/>
      <c r="X159" s="1"/>
      <c r="Y159" s="1"/>
      <c r="Z159" s="1"/>
    </row>
    <row r="160" spans="1:26" s="149" customFormat="1" x14ac:dyDescent="0.2">
      <c r="A160" s="1" t="s">
        <v>49</v>
      </c>
      <c r="B160" s="1"/>
      <c r="C160" s="1"/>
      <c r="D160" s="1"/>
      <c r="E160" s="1"/>
      <c r="F160" s="1"/>
      <c r="G160" s="1"/>
      <c r="H160" s="1"/>
      <c r="P160" s="1"/>
      <c r="Q160" s="1"/>
      <c r="T160" s="150"/>
      <c r="U160" s="150"/>
      <c r="V160" s="1"/>
      <c r="W160" s="1"/>
      <c r="X160" s="1"/>
      <c r="Y160" s="1"/>
      <c r="Z160" s="1"/>
    </row>
    <row r="162" spans="1:26" s="149" customFormat="1" x14ac:dyDescent="0.2">
      <c r="A162" s="3" t="s">
        <v>50</v>
      </c>
      <c r="B162" s="1"/>
      <c r="C162" s="1"/>
      <c r="D162" s="1"/>
      <c r="E162" s="1"/>
      <c r="F162" s="1"/>
      <c r="G162" s="1"/>
      <c r="H162" s="1"/>
      <c r="P162" s="1"/>
      <c r="Q162" s="1"/>
      <c r="T162" s="150"/>
      <c r="U162" s="150"/>
      <c r="V162" s="1"/>
      <c r="W162" s="1"/>
      <c r="X162" s="1"/>
      <c r="Y162" s="1"/>
      <c r="Z162" s="1"/>
    </row>
    <row r="163" spans="1:26" s="149" customFormat="1" ht="60" x14ac:dyDescent="0.2">
      <c r="A163" s="26" t="s">
        <v>23</v>
      </c>
      <c r="B163" s="26" t="s">
        <v>24</v>
      </c>
      <c r="C163" s="27" t="s">
        <v>51</v>
      </c>
      <c r="D163" s="28" t="s">
        <v>52</v>
      </c>
      <c r="E163" s="28" t="s">
        <v>53</v>
      </c>
      <c r="F163" s="29" t="s">
        <v>54</v>
      </c>
      <c r="G163" s="27" t="s">
        <v>55</v>
      </c>
      <c r="H163" s="28" t="s">
        <v>67</v>
      </c>
      <c r="I163" s="161" t="s">
        <v>62</v>
      </c>
      <c r="J163" s="162" t="s">
        <v>30</v>
      </c>
      <c r="K163" s="163" t="s">
        <v>31</v>
      </c>
      <c r="L163" s="30" t="s">
        <v>131</v>
      </c>
      <c r="M163" s="164" t="s">
        <v>132</v>
      </c>
      <c r="N163" s="161" t="s">
        <v>32</v>
      </c>
      <c r="P163" s="1"/>
      <c r="Q163" s="1"/>
      <c r="T163" s="150"/>
      <c r="U163" s="150"/>
      <c r="V163" s="1"/>
      <c r="W163" s="1"/>
      <c r="X163" s="1"/>
      <c r="Y163" s="1"/>
      <c r="Z163" s="1"/>
    </row>
    <row r="164" spans="1:26" s="149" customFormat="1" x14ac:dyDescent="0.2">
      <c r="A164" s="35" t="s">
        <v>63</v>
      </c>
      <c r="B164" s="35" t="s">
        <v>64</v>
      </c>
      <c r="C164" s="36">
        <v>119.8</v>
      </c>
      <c r="D164" s="37">
        <v>1.2E-2</v>
      </c>
      <c r="E164" s="38">
        <v>0.1198</v>
      </c>
      <c r="F164" s="39">
        <v>0.12039999999999999</v>
      </c>
      <c r="G164" s="40">
        <v>119.93</v>
      </c>
      <c r="H164" s="41">
        <v>0.11</v>
      </c>
      <c r="I164" s="170">
        <v>2</v>
      </c>
      <c r="J164" s="171">
        <v>0.13</v>
      </c>
      <c r="K164" s="172">
        <v>1.1000000000000001E-3</v>
      </c>
      <c r="L164" s="173">
        <v>2</v>
      </c>
      <c r="M164" s="174">
        <v>0.26500000000000001</v>
      </c>
      <c r="N164" s="175">
        <v>2.2000000000000001E-3</v>
      </c>
      <c r="P164" s="1"/>
      <c r="Q164" s="1"/>
      <c r="T164" s="150"/>
      <c r="U164" s="150"/>
      <c r="V164" s="1"/>
      <c r="W164" s="1"/>
      <c r="X164" s="1"/>
      <c r="Y164" s="1"/>
      <c r="Z164" s="1"/>
    </row>
    <row r="165" spans="1:26" s="149" customFormat="1" x14ac:dyDescent="0.2">
      <c r="A165" s="44" t="s">
        <v>65</v>
      </c>
      <c r="B165" s="44" t="s">
        <v>66</v>
      </c>
      <c r="C165" s="45">
        <v>120.1</v>
      </c>
      <c r="D165" s="46">
        <v>1.2E-2</v>
      </c>
      <c r="E165" s="47">
        <v>0.1201</v>
      </c>
      <c r="F165" s="48">
        <v>0.1207</v>
      </c>
      <c r="G165" s="49">
        <v>120.2</v>
      </c>
      <c r="H165" s="50">
        <v>0.6</v>
      </c>
      <c r="I165" s="176">
        <v>2</v>
      </c>
      <c r="J165" s="177">
        <v>0.1</v>
      </c>
      <c r="K165" s="178">
        <v>8.0000000000000004E-4</v>
      </c>
      <c r="L165" s="179">
        <v>2</v>
      </c>
      <c r="M165" s="180">
        <v>0.64700000000000002</v>
      </c>
      <c r="N165" s="181">
        <v>5.4000000000000003E-3</v>
      </c>
      <c r="P165" s="1"/>
      <c r="Q165" s="1"/>
      <c r="T165" s="150"/>
      <c r="U165" s="150"/>
      <c r="V165" s="1"/>
      <c r="W165" s="1"/>
      <c r="X165" s="1"/>
      <c r="Y165" s="1"/>
      <c r="Z165" s="1"/>
    </row>
    <row r="166" spans="1:26" s="149" customFormat="1" x14ac:dyDescent="0.2">
      <c r="A166" s="44" t="s">
        <v>56</v>
      </c>
      <c r="B166" s="44" t="s">
        <v>57</v>
      </c>
      <c r="C166" s="45">
        <v>119.79</v>
      </c>
      <c r="D166" s="46">
        <v>1.2E-2</v>
      </c>
      <c r="E166" s="47">
        <v>0.11978999999999999</v>
      </c>
      <c r="F166" s="48">
        <v>0.12039</v>
      </c>
      <c r="G166" s="49">
        <v>119.7</v>
      </c>
      <c r="H166" s="50">
        <v>0.2</v>
      </c>
      <c r="I166" s="176">
        <v>2</v>
      </c>
      <c r="J166" s="177">
        <v>-0.09</v>
      </c>
      <c r="K166" s="178">
        <v>-8.0000000000000004E-4</v>
      </c>
      <c r="L166" s="179">
        <v>2</v>
      </c>
      <c r="M166" s="180">
        <v>0.313</v>
      </c>
      <c r="N166" s="181">
        <v>2.5999999999999999E-3</v>
      </c>
      <c r="P166" s="1"/>
      <c r="Q166" s="1"/>
      <c r="T166" s="150"/>
      <c r="U166" s="150"/>
      <c r="V166" s="1"/>
      <c r="W166" s="1"/>
      <c r="X166" s="1"/>
      <c r="Y166" s="1"/>
      <c r="Z166" s="1"/>
    </row>
    <row r="167" spans="1:26" s="149" customFormat="1" x14ac:dyDescent="0.2">
      <c r="A167" s="44" t="s">
        <v>33</v>
      </c>
      <c r="B167" s="44" t="s">
        <v>34</v>
      </c>
      <c r="C167" s="45">
        <v>120.01</v>
      </c>
      <c r="D167" s="46">
        <v>1.2E-2</v>
      </c>
      <c r="E167" s="47">
        <v>0.12001000000000001</v>
      </c>
      <c r="F167" s="48">
        <v>0.12060999999999999</v>
      </c>
      <c r="G167" s="49">
        <v>120.07</v>
      </c>
      <c r="H167" s="50">
        <v>0.34</v>
      </c>
      <c r="I167" s="176">
        <v>2</v>
      </c>
      <c r="J167" s="177">
        <v>0.06</v>
      </c>
      <c r="K167" s="178">
        <v>5.0000000000000001E-4</v>
      </c>
      <c r="L167" s="179">
        <v>2</v>
      </c>
      <c r="M167" s="180">
        <v>0.41699999999999998</v>
      </c>
      <c r="N167" s="181">
        <v>3.5000000000000001E-3</v>
      </c>
      <c r="P167" s="1"/>
      <c r="Q167" s="1"/>
      <c r="T167" s="150"/>
      <c r="U167" s="150"/>
      <c r="V167" s="1"/>
      <c r="W167" s="1"/>
      <c r="X167" s="1"/>
      <c r="Y167" s="1"/>
      <c r="Z167" s="1"/>
    </row>
    <row r="168" spans="1:26" s="149" customFormat="1" x14ac:dyDescent="0.2">
      <c r="A168" s="44" t="s">
        <v>35</v>
      </c>
      <c r="B168" s="44" t="s">
        <v>36</v>
      </c>
      <c r="C168" s="45">
        <v>120.33</v>
      </c>
      <c r="D168" s="46">
        <v>1.2E-2</v>
      </c>
      <c r="E168" s="47">
        <v>0.12033000000000001</v>
      </c>
      <c r="F168" s="48">
        <v>0.12093</v>
      </c>
      <c r="G168" s="49">
        <v>120.17</v>
      </c>
      <c r="H168" s="50">
        <v>0.94</v>
      </c>
      <c r="I168" s="176">
        <v>2</v>
      </c>
      <c r="J168" s="177">
        <v>-0.16</v>
      </c>
      <c r="K168" s="178">
        <v>-1.2999999999999999E-3</v>
      </c>
      <c r="L168" s="179">
        <v>2</v>
      </c>
      <c r="M168" s="180">
        <v>0.97099999999999997</v>
      </c>
      <c r="N168" s="181">
        <v>8.0999999999999996E-3</v>
      </c>
      <c r="P168" s="1"/>
      <c r="Q168" s="1"/>
      <c r="T168" s="150"/>
      <c r="U168" s="150"/>
      <c r="V168" s="1"/>
      <c r="W168" s="1"/>
      <c r="X168" s="1"/>
      <c r="Y168" s="1"/>
      <c r="Z168" s="1"/>
    </row>
    <row r="169" spans="1:26" s="149" customFormat="1" x14ac:dyDescent="0.2">
      <c r="A169" s="44" t="s">
        <v>37</v>
      </c>
      <c r="B169" s="44" t="s">
        <v>38</v>
      </c>
      <c r="C169" s="45">
        <v>120.04</v>
      </c>
      <c r="D169" s="46">
        <v>1.2E-2</v>
      </c>
      <c r="E169" s="47">
        <v>0.12003999999999999</v>
      </c>
      <c r="F169" s="48">
        <v>0.12064</v>
      </c>
      <c r="G169" s="49">
        <v>119.98</v>
      </c>
      <c r="H169" s="50">
        <v>0.12</v>
      </c>
      <c r="I169" s="176">
        <v>2</v>
      </c>
      <c r="J169" s="177">
        <v>-0.06</v>
      </c>
      <c r="K169" s="178">
        <v>-5.0000000000000001E-4</v>
      </c>
      <c r="L169" s="179">
        <v>2</v>
      </c>
      <c r="M169" s="180">
        <v>0.26900000000000002</v>
      </c>
      <c r="N169" s="181">
        <v>2.2000000000000001E-3</v>
      </c>
      <c r="P169" s="1"/>
      <c r="Q169" s="1"/>
      <c r="T169" s="150"/>
      <c r="U169" s="150"/>
      <c r="V169" s="1"/>
      <c r="W169" s="1"/>
      <c r="X169" s="1"/>
      <c r="Y169" s="1"/>
      <c r="Z169" s="1"/>
    </row>
    <row r="170" spans="1:26" s="149" customFormat="1" x14ac:dyDescent="0.2">
      <c r="A170" s="44" t="s">
        <v>39</v>
      </c>
      <c r="B170" s="44" t="s">
        <v>40</v>
      </c>
      <c r="C170" s="45">
        <v>120.24</v>
      </c>
      <c r="D170" s="46">
        <v>1.2E-2</v>
      </c>
      <c r="E170" s="47">
        <v>0.12024</v>
      </c>
      <c r="F170" s="48">
        <v>0.12084</v>
      </c>
      <c r="G170" s="49">
        <v>120</v>
      </c>
      <c r="H170" s="50">
        <v>0.56999999999999995</v>
      </c>
      <c r="I170" s="176">
        <v>2</v>
      </c>
      <c r="J170" s="177">
        <v>-0.24</v>
      </c>
      <c r="K170" s="178">
        <v>-2E-3</v>
      </c>
      <c r="L170" s="179">
        <v>2</v>
      </c>
      <c r="M170" s="180">
        <v>0.61899999999999999</v>
      </c>
      <c r="N170" s="181">
        <v>5.1000000000000004E-3</v>
      </c>
      <c r="P170" s="1"/>
      <c r="Q170" s="1"/>
      <c r="T170" s="150"/>
      <c r="U170" s="150"/>
      <c r="V170" s="1"/>
      <c r="W170" s="1"/>
      <c r="X170" s="1"/>
      <c r="Y170" s="1"/>
      <c r="Z170" s="1"/>
    </row>
    <row r="171" spans="1:26" s="149" customFormat="1" x14ac:dyDescent="0.2">
      <c r="A171" s="44" t="s">
        <v>41</v>
      </c>
      <c r="B171" s="44" t="s">
        <v>42</v>
      </c>
      <c r="C171" s="45">
        <v>119.97</v>
      </c>
      <c r="D171" s="46">
        <v>1.2E-2</v>
      </c>
      <c r="E171" s="47">
        <v>0.11996999999999999</v>
      </c>
      <c r="F171" s="48">
        <v>0.12057</v>
      </c>
      <c r="G171" s="49">
        <v>120.17</v>
      </c>
      <c r="H171" s="50">
        <v>0.26</v>
      </c>
      <c r="I171" s="176">
        <v>2</v>
      </c>
      <c r="J171" s="177">
        <v>0.2</v>
      </c>
      <c r="K171" s="178">
        <v>1.6999999999999999E-3</v>
      </c>
      <c r="L171" s="179">
        <v>2</v>
      </c>
      <c r="M171" s="180">
        <v>0.35499999999999998</v>
      </c>
      <c r="N171" s="181">
        <v>3.0000000000000001E-3</v>
      </c>
      <c r="P171" s="1"/>
      <c r="Q171" s="1"/>
      <c r="T171" s="150"/>
      <c r="U171" s="150"/>
      <c r="V171" s="1"/>
      <c r="W171" s="1"/>
      <c r="X171" s="1"/>
      <c r="Y171" s="1"/>
      <c r="Z171" s="1"/>
    </row>
    <row r="172" spans="1:26" s="149" customFormat="1" x14ac:dyDescent="0.2">
      <c r="A172" s="44" t="s">
        <v>43</v>
      </c>
      <c r="B172" s="44" t="s">
        <v>44</v>
      </c>
      <c r="C172" s="45">
        <v>119.89</v>
      </c>
      <c r="D172" s="46">
        <v>1.2E-2</v>
      </c>
      <c r="E172" s="47">
        <v>0.11989</v>
      </c>
      <c r="F172" s="48">
        <v>0.12049</v>
      </c>
      <c r="G172" s="49">
        <v>119.88</v>
      </c>
      <c r="H172" s="50">
        <v>0.12</v>
      </c>
      <c r="I172" s="176">
        <v>2</v>
      </c>
      <c r="J172" s="177">
        <v>-0.01</v>
      </c>
      <c r="K172" s="178">
        <v>-1E-4</v>
      </c>
      <c r="L172" s="179">
        <v>2</v>
      </c>
      <c r="M172" s="180">
        <v>0.26900000000000002</v>
      </c>
      <c r="N172" s="181">
        <v>2.2000000000000001E-3</v>
      </c>
      <c r="P172" s="1"/>
      <c r="Q172" s="1"/>
      <c r="T172" s="150"/>
      <c r="U172" s="150"/>
      <c r="V172" s="1"/>
      <c r="W172" s="1"/>
      <c r="X172" s="1"/>
      <c r="Y172" s="1"/>
      <c r="Z172" s="1"/>
    </row>
    <row r="173" spans="1:26" s="149" customFormat="1" x14ac:dyDescent="0.2">
      <c r="A173" s="44" t="s">
        <v>45</v>
      </c>
      <c r="B173" s="44" t="s">
        <v>46</v>
      </c>
      <c r="C173" s="45">
        <v>119.92</v>
      </c>
      <c r="D173" s="46">
        <v>1.2E-2</v>
      </c>
      <c r="E173" s="47">
        <v>0.11992</v>
      </c>
      <c r="F173" s="48">
        <v>0.12052</v>
      </c>
      <c r="G173" s="49">
        <v>120.61</v>
      </c>
      <c r="H173" s="50">
        <v>0.32</v>
      </c>
      <c r="I173" s="176">
        <v>2</v>
      </c>
      <c r="J173" s="177">
        <v>0.69</v>
      </c>
      <c r="K173" s="178">
        <v>5.7999999999999996E-3</v>
      </c>
      <c r="L173" s="179">
        <v>2</v>
      </c>
      <c r="M173" s="180">
        <v>0.40100000000000002</v>
      </c>
      <c r="N173" s="181">
        <v>3.3E-3</v>
      </c>
      <c r="P173" s="1"/>
      <c r="Q173" s="1"/>
      <c r="T173" s="150"/>
      <c r="U173" s="150"/>
      <c r="V173" s="1"/>
      <c r="W173" s="1"/>
      <c r="X173" s="1"/>
      <c r="Y173" s="1"/>
      <c r="Z173" s="1"/>
    </row>
    <row r="174" spans="1:26" s="149" customFormat="1" ht="24" x14ac:dyDescent="0.2">
      <c r="A174" s="53" t="s">
        <v>47</v>
      </c>
      <c r="B174" s="53" t="s">
        <v>48</v>
      </c>
      <c r="C174" s="54">
        <v>119.9</v>
      </c>
      <c r="D174" s="55">
        <v>1.2E-2</v>
      </c>
      <c r="E174" s="56">
        <v>0.11990000000000001</v>
      </c>
      <c r="F174" s="57">
        <v>0.1205</v>
      </c>
      <c r="G174" s="58">
        <v>119.72</v>
      </c>
      <c r="H174" s="59">
        <v>1.1100000000000001</v>
      </c>
      <c r="I174" s="182">
        <v>2</v>
      </c>
      <c r="J174" s="183">
        <v>-0.18</v>
      </c>
      <c r="K174" s="184">
        <v>-1.5E-3</v>
      </c>
      <c r="L174" s="185">
        <v>2</v>
      </c>
      <c r="M174" s="186">
        <v>1.1359999999999999</v>
      </c>
      <c r="N174" s="187">
        <v>9.4999999999999998E-3</v>
      </c>
      <c r="P174" s="1"/>
      <c r="Q174" s="1"/>
      <c r="T174" s="150"/>
      <c r="U174" s="150"/>
      <c r="V174" s="1"/>
      <c r="W174" s="1"/>
      <c r="X174" s="1"/>
      <c r="Y174" s="1"/>
      <c r="Z174" s="1"/>
    </row>
    <row r="175" spans="1:26" s="149" customFormat="1" x14ac:dyDescent="0.2">
      <c r="A175" s="62"/>
      <c r="B175" s="62"/>
      <c r="C175" s="52"/>
      <c r="D175" s="46"/>
      <c r="E175" s="47"/>
      <c r="F175" s="47"/>
      <c r="G175" s="50"/>
      <c r="H175" s="50"/>
      <c r="I175" s="188"/>
      <c r="J175" s="189"/>
      <c r="K175" s="178"/>
      <c r="L175" s="190"/>
      <c r="M175" s="180"/>
      <c r="N175" s="178"/>
      <c r="P175" s="1"/>
      <c r="Q175" s="1"/>
      <c r="T175" s="150"/>
      <c r="U175" s="150"/>
      <c r="V175" s="1"/>
      <c r="W175" s="1"/>
      <c r="X175" s="1"/>
      <c r="Y175" s="1"/>
      <c r="Z175" s="1"/>
    </row>
    <row r="176" spans="1:26" s="149" customFormat="1" x14ac:dyDescent="0.2">
      <c r="A176" s="3" t="s">
        <v>58</v>
      </c>
      <c r="B176" s="1"/>
      <c r="C176" s="1"/>
      <c r="D176" s="1"/>
      <c r="E176" s="1"/>
      <c r="F176" s="1"/>
      <c r="G176" s="1"/>
      <c r="H176" s="1"/>
      <c r="P176" s="1"/>
      <c r="Q176" s="1"/>
      <c r="T176" s="150"/>
      <c r="U176" s="150"/>
      <c r="V176" s="1"/>
      <c r="W176" s="1"/>
      <c r="X176" s="1"/>
      <c r="Y176" s="1"/>
      <c r="Z176" s="1"/>
    </row>
    <row r="177" spans="1:26" s="149" customFormat="1" ht="60" x14ac:dyDescent="0.2">
      <c r="A177" s="26" t="s">
        <v>23</v>
      </c>
      <c r="B177" s="26" t="s">
        <v>24</v>
      </c>
      <c r="C177" s="27" t="s">
        <v>25</v>
      </c>
      <c r="D177" s="28" t="s">
        <v>26</v>
      </c>
      <c r="E177" s="28" t="s">
        <v>27</v>
      </c>
      <c r="F177" s="29" t="s">
        <v>28</v>
      </c>
      <c r="G177" s="27" t="s">
        <v>29</v>
      </c>
      <c r="H177" s="28" t="s">
        <v>61</v>
      </c>
      <c r="I177" s="161" t="s">
        <v>62</v>
      </c>
      <c r="J177" s="162" t="s">
        <v>30</v>
      </c>
      <c r="K177" s="163" t="s">
        <v>31</v>
      </c>
      <c r="L177" s="30" t="s">
        <v>131</v>
      </c>
      <c r="M177" s="164" t="s">
        <v>132</v>
      </c>
      <c r="N177" s="161" t="s">
        <v>32</v>
      </c>
      <c r="P177" s="1"/>
      <c r="Q177" s="1"/>
      <c r="T177" s="150"/>
      <c r="U177" s="150"/>
      <c r="V177" s="1"/>
      <c r="W177" s="1"/>
      <c r="X177" s="1"/>
      <c r="Y177" s="1"/>
      <c r="Z177" s="1"/>
    </row>
    <row r="178" spans="1:26" s="149" customFormat="1" x14ac:dyDescent="0.2">
      <c r="A178" s="35" t="s">
        <v>63</v>
      </c>
      <c r="B178" s="35" t="s">
        <v>64</v>
      </c>
      <c r="C178" s="63">
        <v>5.9744999999999999</v>
      </c>
      <c r="D178" s="64">
        <v>3.7000000000000002E-3</v>
      </c>
      <c r="E178" s="38">
        <v>5.9699999999999996E-3</v>
      </c>
      <c r="F178" s="39">
        <v>7.0299999999999998E-3</v>
      </c>
      <c r="G178" s="36">
        <v>5.9790000000000001</v>
      </c>
      <c r="H178" s="43">
        <v>1.4999999999999999E-2</v>
      </c>
      <c r="I178" s="170">
        <v>2</v>
      </c>
      <c r="J178" s="191">
        <v>4.4999999999999997E-3</v>
      </c>
      <c r="K178" s="172">
        <v>8.0000000000000004E-4</v>
      </c>
      <c r="L178" s="173">
        <v>2</v>
      </c>
      <c r="M178" s="192">
        <v>2.06E-2</v>
      </c>
      <c r="N178" s="175">
        <v>3.3999999999999998E-3</v>
      </c>
      <c r="P178" s="1"/>
      <c r="Q178" s="1"/>
      <c r="T178" s="150"/>
      <c r="U178" s="150"/>
      <c r="V178" s="1"/>
      <c r="W178" s="1"/>
      <c r="X178" s="1"/>
      <c r="Y178" s="1"/>
      <c r="Z178" s="1"/>
    </row>
    <row r="179" spans="1:26" s="149" customFormat="1" x14ac:dyDescent="0.2">
      <c r="A179" s="44" t="s">
        <v>65</v>
      </c>
      <c r="B179" s="44" t="s">
        <v>66</v>
      </c>
      <c r="C179" s="65">
        <v>5.9757999999999996</v>
      </c>
      <c r="D179" s="66">
        <v>3.7000000000000002E-3</v>
      </c>
      <c r="E179" s="47">
        <v>5.9800000000000001E-3</v>
      </c>
      <c r="F179" s="48">
        <v>7.0299999999999998E-3</v>
      </c>
      <c r="G179" s="45">
        <v>5.9690000000000003</v>
      </c>
      <c r="H179" s="52">
        <v>3.5999999999999997E-2</v>
      </c>
      <c r="I179" s="176">
        <v>2</v>
      </c>
      <c r="J179" s="193">
        <v>-6.7999999999999996E-3</v>
      </c>
      <c r="K179" s="178">
        <v>-1.1000000000000001E-3</v>
      </c>
      <c r="L179" s="179">
        <v>2</v>
      </c>
      <c r="M179" s="194">
        <v>3.8600000000000002E-2</v>
      </c>
      <c r="N179" s="181">
        <v>6.4999999999999997E-3</v>
      </c>
      <c r="P179" s="1"/>
      <c r="Q179" s="1"/>
      <c r="T179" s="150"/>
      <c r="U179" s="150"/>
      <c r="V179" s="1"/>
      <c r="W179" s="1"/>
      <c r="X179" s="1"/>
      <c r="Y179" s="1"/>
      <c r="Z179" s="1"/>
    </row>
    <row r="180" spans="1:26" s="149" customFormat="1" x14ac:dyDescent="0.2">
      <c r="A180" s="44" t="s">
        <v>56</v>
      </c>
      <c r="B180" s="44" t="s">
        <v>57</v>
      </c>
      <c r="C180" s="65">
        <v>5.9691999999999998</v>
      </c>
      <c r="D180" s="66">
        <v>3.7000000000000002E-3</v>
      </c>
      <c r="E180" s="47">
        <v>5.9699999999999996E-3</v>
      </c>
      <c r="F180" s="48">
        <v>7.0200000000000002E-3</v>
      </c>
      <c r="G180" s="45">
        <v>5.98</v>
      </c>
      <c r="H180" s="52">
        <v>0.02</v>
      </c>
      <c r="I180" s="176">
        <v>2</v>
      </c>
      <c r="J180" s="193">
        <v>1.0800000000000001E-2</v>
      </c>
      <c r="K180" s="178">
        <v>1.8E-3</v>
      </c>
      <c r="L180" s="179">
        <v>2</v>
      </c>
      <c r="M180" s="194">
        <v>2.4400000000000002E-2</v>
      </c>
      <c r="N180" s="181">
        <v>4.1000000000000003E-3</v>
      </c>
      <c r="P180" s="1"/>
      <c r="Q180" s="1"/>
      <c r="T180" s="150"/>
      <c r="U180" s="150"/>
      <c r="V180" s="1"/>
      <c r="W180" s="1"/>
      <c r="X180" s="1"/>
      <c r="Y180" s="1"/>
      <c r="Z180" s="1"/>
    </row>
    <row r="181" spans="1:26" s="149" customFormat="1" x14ac:dyDescent="0.2">
      <c r="A181" s="44" t="s">
        <v>33</v>
      </c>
      <c r="B181" s="44" t="s">
        <v>34</v>
      </c>
      <c r="C181" s="65">
        <v>5.9770000000000003</v>
      </c>
      <c r="D181" s="66">
        <v>3.7000000000000002E-3</v>
      </c>
      <c r="E181" s="47">
        <v>5.9800000000000001E-3</v>
      </c>
      <c r="F181" s="48">
        <v>7.0299999999999998E-3</v>
      </c>
      <c r="G181" s="45">
        <v>5.98</v>
      </c>
      <c r="H181" s="52">
        <v>1.7000000000000001E-2</v>
      </c>
      <c r="I181" s="176">
        <v>2</v>
      </c>
      <c r="J181" s="193">
        <v>3.0000000000000001E-3</v>
      </c>
      <c r="K181" s="178">
        <v>5.0000000000000001E-4</v>
      </c>
      <c r="L181" s="179">
        <v>2</v>
      </c>
      <c r="M181" s="194">
        <v>2.2100000000000002E-2</v>
      </c>
      <c r="N181" s="181">
        <v>3.7000000000000002E-3</v>
      </c>
      <c r="P181" s="1"/>
      <c r="Q181" s="1"/>
      <c r="T181" s="150"/>
      <c r="U181" s="150"/>
      <c r="V181" s="1"/>
      <c r="W181" s="1"/>
      <c r="X181" s="1"/>
      <c r="Y181" s="1"/>
      <c r="Z181" s="1"/>
    </row>
    <row r="182" spans="1:26" s="149" customFormat="1" x14ac:dyDescent="0.2">
      <c r="A182" s="44" t="s">
        <v>35</v>
      </c>
      <c r="B182" s="44" t="s">
        <v>36</v>
      </c>
      <c r="C182" s="65">
        <v>5.9550000000000001</v>
      </c>
      <c r="D182" s="66">
        <v>3.7000000000000002E-3</v>
      </c>
      <c r="E182" s="47">
        <v>5.96E-3</v>
      </c>
      <c r="F182" s="48">
        <v>7.0099999999999997E-3</v>
      </c>
      <c r="G182" s="45">
        <v>5.9340000000000002</v>
      </c>
      <c r="H182" s="52">
        <v>3.4000000000000002E-2</v>
      </c>
      <c r="I182" s="176">
        <v>2</v>
      </c>
      <c r="J182" s="193">
        <v>-2.1000000000000001E-2</v>
      </c>
      <c r="K182" s="178">
        <v>-3.5000000000000001E-3</v>
      </c>
      <c r="L182" s="179">
        <v>2</v>
      </c>
      <c r="M182" s="194">
        <v>3.6799999999999999E-2</v>
      </c>
      <c r="N182" s="181">
        <v>6.1999999999999998E-3</v>
      </c>
      <c r="P182" s="1"/>
      <c r="Q182" s="1"/>
      <c r="T182" s="150"/>
      <c r="U182" s="150"/>
      <c r="V182" s="1"/>
      <c r="W182" s="1"/>
      <c r="X182" s="1"/>
      <c r="Y182" s="1"/>
      <c r="Z182" s="1"/>
    </row>
    <row r="183" spans="1:26" s="149" customFormat="1" x14ac:dyDescent="0.2">
      <c r="A183" s="44" t="s">
        <v>37</v>
      </c>
      <c r="B183" s="44" t="s">
        <v>38</v>
      </c>
      <c r="C183" s="65">
        <v>5.9812000000000003</v>
      </c>
      <c r="D183" s="66">
        <v>3.7000000000000002E-3</v>
      </c>
      <c r="E183" s="47">
        <v>5.9800000000000001E-3</v>
      </c>
      <c r="F183" s="48">
        <v>7.0299999999999998E-3</v>
      </c>
      <c r="G183" s="45">
        <v>6.0039999999999996</v>
      </c>
      <c r="H183" s="52">
        <v>5.8000000000000003E-2</v>
      </c>
      <c r="I183" s="176">
        <v>2</v>
      </c>
      <c r="J183" s="193">
        <v>2.2800000000000001E-2</v>
      </c>
      <c r="K183" s="178">
        <v>3.8E-3</v>
      </c>
      <c r="L183" s="179">
        <v>2</v>
      </c>
      <c r="M183" s="194">
        <v>5.9700000000000003E-2</v>
      </c>
      <c r="N183" s="181">
        <v>0.01</v>
      </c>
      <c r="P183" s="1"/>
      <c r="Q183" s="1"/>
      <c r="T183" s="150"/>
      <c r="U183" s="150"/>
      <c r="V183" s="1"/>
      <c r="W183" s="1"/>
      <c r="X183" s="1"/>
      <c r="Y183" s="1"/>
      <c r="Z183" s="1"/>
    </row>
    <row r="184" spans="1:26" s="149" customFormat="1" x14ac:dyDescent="0.2">
      <c r="A184" s="44" t="s">
        <v>39</v>
      </c>
      <c r="B184" s="44" t="s">
        <v>40</v>
      </c>
      <c r="C184" s="65">
        <v>5.9793000000000003</v>
      </c>
      <c r="D184" s="66">
        <v>3.7000000000000002E-3</v>
      </c>
      <c r="E184" s="47">
        <v>5.9800000000000001E-3</v>
      </c>
      <c r="F184" s="48">
        <v>7.0299999999999998E-3</v>
      </c>
      <c r="G184" s="45">
        <v>5.9009999999999998</v>
      </c>
      <c r="H184" s="52">
        <v>4.2999999999999997E-2</v>
      </c>
      <c r="I184" s="176">
        <v>2</v>
      </c>
      <c r="J184" s="193">
        <v>-7.8299999999999995E-2</v>
      </c>
      <c r="K184" s="178">
        <v>-1.3100000000000001E-2</v>
      </c>
      <c r="L184" s="179">
        <v>2</v>
      </c>
      <c r="M184" s="194">
        <v>4.5199999999999997E-2</v>
      </c>
      <c r="N184" s="181">
        <v>7.6E-3</v>
      </c>
      <c r="P184" s="1"/>
      <c r="Q184" s="1"/>
      <c r="T184" s="150"/>
      <c r="U184" s="150"/>
      <c r="V184" s="1"/>
      <c r="W184" s="1"/>
      <c r="X184" s="1"/>
      <c r="Y184" s="1"/>
      <c r="Z184" s="1"/>
    </row>
    <row r="185" spans="1:26" s="149" customFormat="1" x14ac:dyDescent="0.2">
      <c r="A185" s="44" t="s">
        <v>41</v>
      </c>
      <c r="B185" s="44" t="s">
        <v>42</v>
      </c>
      <c r="C185" s="65">
        <v>5.976</v>
      </c>
      <c r="D185" s="66">
        <v>3.7000000000000002E-3</v>
      </c>
      <c r="E185" s="47">
        <v>5.9800000000000001E-3</v>
      </c>
      <c r="F185" s="48">
        <v>7.0299999999999998E-3</v>
      </c>
      <c r="G185" s="45">
        <v>6.048</v>
      </c>
      <c r="H185" s="52">
        <v>0.03</v>
      </c>
      <c r="I185" s="176">
        <v>2</v>
      </c>
      <c r="J185" s="193">
        <v>7.1999999999999995E-2</v>
      </c>
      <c r="K185" s="178">
        <v>1.2E-2</v>
      </c>
      <c r="L185" s="179">
        <v>2</v>
      </c>
      <c r="M185" s="194">
        <v>3.3099999999999997E-2</v>
      </c>
      <c r="N185" s="181">
        <v>5.4999999999999997E-3</v>
      </c>
      <c r="P185" s="1"/>
      <c r="Q185" s="1"/>
      <c r="T185" s="150"/>
      <c r="U185" s="150"/>
      <c r="V185" s="1"/>
      <c r="W185" s="1"/>
      <c r="X185" s="1"/>
      <c r="Y185" s="1"/>
      <c r="Z185" s="1"/>
    </row>
    <row r="186" spans="1:26" s="149" customFormat="1" x14ac:dyDescent="0.2">
      <c r="A186" s="44" t="s">
        <v>43</v>
      </c>
      <c r="B186" s="44" t="s">
        <v>44</v>
      </c>
      <c r="C186" s="65">
        <v>5.9786999999999999</v>
      </c>
      <c r="D186" s="66">
        <v>3.7000000000000002E-3</v>
      </c>
      <c r="E186" s="47">
        <v>5.9800000000000001E-3</v>
      </c>
      <c r="F186" s="48">
        <v>7.0299999999999998E-3</v>
      </c>
      <c r="G186" s="67">
        <v>5.98</v>
      </c>
      <c r="H186" s="68">
        <v>0.06</v>
      </c>
      <c r="I186" s="176">
        <v>2</v>
      </c>
      <c r="J186" s="193">
        <v>1.2999999999999999E-3</v>
      </c>
      <c r="K186" s="178">
        <v>2.0000000000000001E-4</v>
      </c>
      <c r="L186" s="179">
        <v>2</v>
      </c>
      <c r="M186" s="194">
        <v>6.1600000000000002E-2</v>
      </c>
      <c r="N186" s="181">
        <v>1.03E-2</v>
      </c>
      <c r="P186" s="1"/>
      <c r="Q186" s="1"/>
      <c r="T186" s="150"/>
      <c r="U186" s="150"/>
      <c r="V186" s="1"/>
      <c r="W186" s="1"/>
      <c r="X186" s="1"/>
      <c r="Y186" s="1"/>
      <c r="Z186" s="1"/>
    </row>
    <row r="187" spans="1:26" s="149" customFormat="1" x14ac:dyDescent="0.2">
      <c r="A187" s="44" t="s">
        <v>45</v>
      </c>
      <c r="B187" s="69"/>
      <c r="C187" s="70"/>
      <c r="D187" s="71"/>
      <c r="E187" s="71"/>
      <c r="F187" s="72"/>
      <c r="G187" s="70"/>
      <c r="H187" s="71"/>
      <c r="I187" s="195"/>
      <c r="J187" s="196"/>
      <c r="K187" s="197"/>
      <c r="L187" s="198"/>
      <c r="M187" s="197"/>
      <c r="N187" s="195"/>
      <c r="P187" s="1"/>
      <c r="Q187" s="1"/>
      <c r="T187" s="150"/>
      <c r="U187" s="150"/>
      <c r="V187" s="1"/>
      <c r="W187" s="1"/>
      <c r="X187" s="1"/>
      <c r="Y187" s="1"/>
      <c r="Z187" s="1"/>
    </row>
    <row r="188" spans="1:26" s="149" customFormat="1" ht="24" x14ac:dyDescent="0.2">
      <c r="A188" s="53" t="s">
        <v>47</v>
      </c>
      <c r="B188" s="53" t="s">
        <v>48</v>
      </c>
      <c r="C188" s="73">
        <v>5.9809999999999999</v>
      </c>
      <c r="D188" s="74">
        <v>3.7000000000000002E-3</v>
      </c>
      <c r="E188" s="56">
        <v>5.9800000000000001E-3</v>
      </c>
      <c r="F188" s="57">
        <v>7.0299999999999998E-3</v>
      </c>
      <c r="G188" s="54">
        <v>5.62</v>
      </c>
      <c r="H188" s="61">
        <v>0.17199999999999999</v>
      </c>
      <c r="I188" s="182">
        <v>2</v>
      </c>
      <c r="J188" s="199">
        <v>-0.36099999999999999</v>
      </c>
      <c r="K188" s="184">
        <v>-6.0400000000000002E-2</v>
      </c>
      <c r="L188" s="185">
        <v>2</v>
      </c>
      <c r="M188" s="200">
        <v>0.1726</v>
      </c>
      <c r="N188" s="187">
        <v>2.8899999999999999E-2</v>
      </c>
      <c r="P188" s="1"/>
      <c r="Q188" s="1"/>
      <c r="T188" s="150"/>
      <c r="U188" s="150"/>
      <c r="V188" s="1"/>
      <c r="W188" s="1"/>
      <c r="X188" s="1"/>
      <c r="Y188" s="1"/>
      <c r="Z188" s="1"/>
    </row>
    <row r="189" spans="1:26" s="149" customFormat="1" x14ac:dyDescent="0.2">
      <c r="A189" s="62"/>
      <c r="B189" s="62"/>
      <c r="C189" s="66"/>
      <c r="D189" s="66"/>
      <c r="E189" s="47"/>
      <c r="F189" s="47"/>
      <c r="G189" s="52"/>
      <c r="H189" s="52"/>
      <c r="I189" s="188"/>
      <c r="J189" s="194"/>
      <c r="K189" s="178"/>
      <c r="L189" s="190"/>
      <c r="M189" s="194"/>
      <c r="N189" s="178"/>
      <c r="P189" s="1"/>
      <c r="Q189" s="1"/>
      <c r="T189" s="150"/>
      <c r="U189" s="150"/>
      <c r="V189" s="1"/>
      <c r="W189" s="1"/>
      <c r="X189" s="1"/>
      <c r="Y189" s="1"/>
      <c r="Z189" s="1"/>
    </row>
    <row r="190" spans="1:26" s="149" customFormat="1" x14ac:dyDescent="0.2">
      <c r="A190" s="3" t="s">
        <v>59</v>
      </c>
      <c r="B190" s="1"/>
      <c r="C190" s="1"/>
      <c r="D190" s="1"/>
      <c r="E190" s="1"/>
      <c r="F190" s="1"/>
      <c r="G190" s="1"/>
      <c r="H190" s="1"/>
      <c r="P190" s="1"/>
      <c r="Q190" s="1"/>
      <c r="T190" s="150"/>
      <c r="U190" s="150"/>
      <c r="V190" s="1"/>
      <c r="W190" s="1"/>
      <c r="X190" s="1"/>
      <c r="Y190" s="1"/>
      <c r="Z190" s="1"/>
    </row>
    <row r="191" spans="1:26" s="149" customFormat="1" ht="60" x14ac:dyDescent="0.2">
      <c r="A191" s="26" t="s">
        <v>23</v>
      </c>
      <c r="B191" s="26" t="s">
        <v>24</v>
      </c>
      <c r="C191" s="27" t="s">
        <v>25</v>
      </c>
      <c r="D191" s="28" t="s">
        <v>26</v>
      </c>
      <c r="E191" s="28" t="s">
        <v>27</v>
      </c>
      <c r="F191" s="29" t="s">
        <v>28</v>
      </c>
      <c r="G191" s="27" t="s">
        <v>29</v>
      </c>
      <c r="H191" s="28" t="s">
        <v>61</v>
      </c>
      <c r="I191" s="161" t="s">
        <v>62</v>
      </c>
      <c r="J191" s="162" t="s">
        <v>30</v>
      </c>
      <c r="K191" s="163" t="s">
        <v>31</v>
      </c>
      <c r="L191" s="30" t="s">
        <v>131</v>
      </c>
      <c r="M191" s="164" t="s">
        <v>132</v>
      </c>
      <c r="N191" s="161" t="s">
        <v>32</v>
      </c>
      <c r="P191" s="1"/>
      <c r="Q191" s="1"/>
      <c r="T191" s="150"/>
      <c r="U191" s="150"/>
      <c r="V191" s="1"/>
      <c r="W191" s="1"/>
      <c r="X191" s="1"/>
      <c r="Y191" s="1"/>
      <c r="Z191" s="1"/>
    </row>
    <row r="192" spans="1:26" s="149" customFormat="1" x14ac:dyDescent="0.2">
      <c r="A192" s="31" t="s">
        <v>63</v>
      </c>
      <c r="B192" s="31" t="s">
        <v>64</v>
      </c>
      <c r="C192" s="75">
        <v>80.12</v>
      </c>
      <c r="D192" s="76">
        <v>5.1999999999999998E-2</v>
      </c>
      <c r="E192" s="77">
        <v>8.0100000000000005E-2</v>
      </c>
      <c r="F192" s="78">
        <v>9.5500000000000002E-2</v>
      </c>
      <c r="G192" s="79">
        <v>80.14</v>
      </c>
      <c r="H192" s="80">
        <v>0.28999999999999998</v>
      </c>
      <c r="I192" s="201">
        <v>2</v>
      </c>
      <c r="J192" s="202">
        <v>0.02</v>
      </c>
      <c r="K192" s="203">
        <v>2.0000000000000001E-4</v>
      </c>
      <c r="L192" s="204">
        <v>2</v>
      </c>
      <c r="M192" s="205">
        <v>0.34699999999999998</v>
      </c>
      <c r="N192" s="206">
        <v>4.3E-3</v>
      </c>
      <c r="P192" s="1"/>
      <c r="Q192" s="1"/>
      <c r="T192" s="150"/>
      <c r="U192" s="150"/>
      <c r="V192" s="1"/>
      <c r="W192" s="1"/>
      <c r="X192" s="1"/>
      <c r="Y192" s="1"/>
      <c r="Z192" s="1"/>
    </row>
    <row r="193" spans="1:26" s="149" customFormat="1" x14ac:dyDescent="0.2">
      <c r="A193" s="31" t="s">
        <v>65</v>
      </c>
      <c r="B193" s="31" t="s">
        <v>66</v>
      </c>
      <c r="C193" s="75">
        <v>80.138000000000005</v>
      </c>
      <c r="D193" s="76">
        <v>5.0999999999999997E-2</v>
      </c>
      <c r="E193" s="77">
        <v>8.0100000000000005E-2</v>
      </c>
      <c r="F193" s="78">
        <v>9.5000000000000001E-2</v>
      </c>
      <c r="G193" s="79">
        <v>79.650000000000006</v>
      </c>
      <c r="H193" s="80">
        <v>0.8</v>
      </c>
      <c r="I193" s="201">
        <v>2</v>
      </c>
      <c r="J193" s="202">
        <v>-0.48799999999999999</v>
      </c>
      <c r="K193" s="203">
        <v>-6.1000000000000004E-3</v>
      </c>
      <c r="L193" s="204">
        <v>2</v>
      </c>
      <c r="M193" s="205">
        <v>0.82199999999999995</v>
      </c>
      <c r="N193" s="206">
        <v>1.03E-2</v>
      </c>
      <c r="P193" s="1"/>
      <c r="Q193" s="1"/>
      <c r="T193" s="150"/>
      <c r="U193" s="150"/>
      <c r="V193" s="1"/>
      <c r="W193" s="1"/>
      <c r="X193" s="1"/>
      <c r="Y193" s="1"/>
      <c r="Z193" s="1"/>
    </row>
    <row r="194" spans="1:26" s="149" customFormat="1" x14ac:dyDescent="0.2">
      <c r="A194" s="35" t="s">
        <v>56</v>
      </c>
      <c r="B194" s="35" t="s">
        <v>57</v>
      </c>
      <c r="C194" s="42">
        <v>80.049000000000007</v>
      </c>
      <c r="D194" s="37">
        <v>5.0999999999999997E-2</v>
      </c>
      <c r="E194" s="64">
        <v>0.08</v>
      </c>
      <c r="F194" s="81">
        <v>9.4899999999999998E-2</v>
      </c>
      <c r="G194" s="82">
        <v>80.3</v>
      </c>
      <c r="H194" s="83">
        <v>0.8</v>
      </c>
      <c r="I194" s="170">
        <v>2</v>
      </c>
      <c r="J194" s="171">
        <v>0.251</v>
      </c>
      <c r="K194" s="172">
        <v>3.0999999999999999E-3</v>
      </c>
      <c r="L194" s="173">
        <v>2</v>
      </c>
      <c r="M194" s="174">
        <v>0.82199999999999995</v>
      </c>
      <c r="N194" s="175">
        <v>1.03E-2</v>
      </c>
      <c r="P194" s="1"/>
      <c r="Q194" s="1"/>
      <c r="T194" s="150"/>
      <c r="U194" s="150"/>
      <c r="V194" s="1"/>
      <c r="W194" s="1"/>
      <c r="X194" s="1"/>
      <c r="Y194" s="1"/>
      <c r="Z194" s="1"/>
    </row>
    <row r="195" spans="1:26" s="149" customFormat="1" x14ac:dyDescent="0.2">
      <c r="A195" s="44" t="s">
        <v>33</v>
      </c>
      <c r="B195" s="44" t="s">
        <v>34</v>
      </c>
      <c r="C195" s="51">
        <v>80.156000000000006</v>
      </c>
      <c r="D195" s="46">
        <v>5.1999999999999998E-2</v>
      </c>
      <c r="E195" s="66">
        <v>8.0199999999999994E-2</v>
      </c>
      <c r="F195" s="84">
        <v>9.5500000000000002E-2</v>
      </c>
      <c r="G195" s="85">
        <v>80.34</v>
      </c>
      <c r="H195" s="68">
        <v>0.39</v>
      </c>
      <c r="I195" s="176">
        <v>2</v>
      </c>
      <c r="J195" s="177">
        <v>0.184</v>
      </c>
      <c r="K195" s="178">
        <v>2.3E-3</v>
      </c>
      <c r="L195" s="179">
        <v>2</v>
      </c>
      <c r="M195" s="180">
        <v>0.434</v>
      </c>
      <c r="N195" s="181">
        <v>5.4000000000000003E-3</v>
      </c>
      <c r="P195" s="1"/>
      <c r="Q195" s="1"/>
      <c r="T195" s="150"/>
      <c r="U195" s="150"/>
      <c r="V195" s="1"/>
      <c r="W195" s="1"/>
      <c r="X195" s="1"/>
      <c r="Y195" s="1"/>
      <c r="Z195" s="1"/>
    </row>
    <row r="196" spans="1:26" s="149" customFormat="1" x14ac:dyDescent="0.2">
      <c r="A196" s="44" t="s">
        <v>35</v>
      </c>
      <c r="B196" s="44" t="s">
        <v>36</v>
      </c>
      <c r="C196" s="51">
        <v>79.858999999999995</v>
      </c>
      <c r="D196" s="46">
        <v>5.1999999999999998E-2</v>
      </c>
      <c r="E196" s="66">
        <v>7.9899999999999999E-2</v>
      </c>
      <c r="F196" s="84">
        <v>9.5299999999999996E-2</v>
      </c>
      <c r="G196" s="85">
        <v>78.2</v>
      </c>
      <c r="H196" s="68">
        <v>1.7</v>
      </c>
      <c r="I196" s="176">
        <v>2</v>
      </c>
      <c r="J196" s="177">
        <v>-1.659</v>
      </c>
      <c r="K196" s="178">
        <v>-2.0799999999999999E-2</v>
      </c>
      <c r="L196" s="179">
        <v>2</v>
      </c>
      <c r="M196" s="180">
        <v>1.7110000000000001</v>
      </c>
      <c r="N196" s="181">
        <v>2.1399999999999999E-2</v>
      </c>
      <c r="P196" s="1"/>
      <c r="Q196" s="1"/>
      <c r="T196" s="150"/>
      <c r="U196" s="150"/>
      <c r="V196" s="1"/>
      <c r="W196" s="1"/>
      <c r="X196" s="1"/>
      <c r="Y196" s="1"/>
      <c r="Z196" s="1"/>
    </row>
    <row r="197" spans="1:26" s="149" customFormat="1" x14ac:dyDescent="0.2">
      <c r="A197" s="44" t="s">
        <v>37</v>
      </c>
      <c r="B197" s="44" t="s">
        <v>38</v>
      </c>
      <c r="C197" s="51">
        <v>80.209999999999994</v>
      </c>
      <c r="D197" s="46">
        <v>5.1999999999999998E-2</v>
      </c>
      <c r="E197" s="66">
        <v>8.0199999999999994E-2</v>
      </c>
      <c r="F197" s="84">
        <v>9.5600000000000004E-2</v>
      </c>
      <c r="G197" s="85">
        <v>80.180000000000007</v>
      </c>
      <c r="H197" s="68">
        <v>0.8</v>
      </c>
      <c r="I197" s="176">
        <v>2</v>
      </c>
      <c r="J197" s="177">
        <v>-0.03</v>
      </c>
      <c r="K197" s="178">
        <v>-4.0000000000000002E-4</v>
      </c>
      <c r="L197" s="179">
        <v>2</v>
      </c>
      <c r="M197" s="180">
        <v>0.82299999999999995</v>
      </c>
      <c r="N197" s="181">
        <v>1.03E-2</v>
      </c>
      <c r="P197" s="1"/>
      <c r="Q197" s="1"/>
      <c r="T197" s="150"/>
      <c r="U197" s="150"/>
      <c r="V197" s="1"/>
      <c r="W197" s="1"/>
      <c r="X197" s="1"/>
      <c r="Y197" s="1"/>
      <c r="Z197" s="1"/>
    </row>
    <row r="198" spans="1:26" s="149" customFormat="1" x14ac:dyDescent="0.2">
      <c r="A198" s="44" t="s">
        <v>39</v>
      </c>
      <c r="B198" s="44" t="s">
        <v>40</v>
      </c>
      <c r="C198" s="51">
        <v>80.185000000000002</v>
      </c>
      <c r="D198" s="46">
        <v>5.1999999999999998E-2</v>
      </c>
      <c r="E198" s="66">
        <v>8.0199999999999994E-2</v>
      </c>
      <c r="F198" s="84">
        <v>9.5600000000000004E-2</v>
      </c>
      <c r="G198" s="85">
        <v>80.78</v>
      </c>
      <c r="H198" s="68">
        <v>0.42</v>
      </c>
      <c r="I198" s="176">
        <v>2</v>
      </c>
      <c r="J198" s="177">
        <v>0.59499999999999997</v>
      </c>
      <c r="K198" s="178">
        <v>7.4000000000000003E-3</v>
      </c>
      <c r="L198" s="179">
        <v>2</v>
      </c>
      <c r="M198" s="180">
        <v>0.46100000000000002</v>
      </c>
      <c r="N198" s="181">
        <v>5.7999999999999996E-3</v>
      </c>
      <c r="P198" s="1"/>
      <c r="Q198" s="1"/>
      <c r="T198" s="150"/>
      <c r="U198" s="150"/>
      <c r="V198" s="1"/>
      <c r="W198" s="1"/>
      <c r="X198" s="1"/>
      <c r="Y198" s="1"/>
      <c r="Z198" s="1"/>
    </row>
    <row r="199" spans="1:26" s="149" customFormat="1" x14ac:dyDescent="0.2">
      <c r="A199" s="44" t="s">
        <v>41</v>
      </c>
      <c r="B199" s="44" t="s">
        <v>42</v>
      </c>
      <c r="C199" s="51">
        <v>80.141999999999996</v>
      </c>
      <c r="D199" s="46">
        <v>5.1999999999999998E-2</v>
      </c>
      <c r="E199" s="66">
        <v>8.0100000000000005E-2</v>
      </c>
      <c r="F199" s="84">
        <v>9.5500000000000002E-2</v>
      </c>
      <c r="G199" s="85">
        <v>79.42</v>
      </c>
      <c r="H199" s="68">
        <v>0.51</v>
      </c>
      <c r="I199" s="176">
        <v>2</v>
      </c>
      <c r="J199" s="177">
        <v>-0.72199999999999998</v>
      </c>
      <c r="K199" s="178">
        <v>-8.9999999999999993E-3</v>
      </c>
      <c r="L199" s="179">
        <v>2</v>
      </c>
      <c r="M199" s="180">
        <v>0.54500000000000004</v>
      </c>
      <c r="N199" s="181">
        <v>6.7999999999999996E-3</v>
      </c>
      <c r="P199" s="1"/>
      <c r="Q199" s="1"/>
      <c r="T199" s="150"/>
      <c r="U199" s="150"/>
      <c r="V199" s="1"/>
      <c r="W199" s="1"/>
      <c r="X199" s="1"/>
      <c r="Y199" s="1"/>
      <c r="Z199" s="1"/>
    </row>
    <row r="200" spans="1:26" s="149" customFormat="1" x14ac:dyDescent="0.2">
      <c r="A200" s="44" t="s">
        <v>43</v>
      </c>
      <c r="B200" s="44" t="s">
        <v>44</v>
      </c>
      <c r="C200" s="51">
        <v>80.176000000000002</v>
      </c>
      <c r="D200" s="46">
        <v>5.1999999999999998E-2</v>
      </c>
      <c r="E200" s="66">
        <v>8.0199999999999994E-2</v>
      </c>
      <c r="F200" s="84">
        <v>9.5600000000000004E-2</v>
      </c>
      <c r="G200" s="85">
        <v>80.72</v>
      </c>
      <c r="H200" s="68">
        <v>0.45</v>
      </c>
      <c r="I200" s="176">
        <v>2</v>
      </c>
      <c r="J200" s="177">
        <v>0.54400000000000004</v>
      </c>
      <c r="K200" s="178">
        <v>6.7999999999999996E-3</v>
      </c>
      <c r="L200" s="179">
        <v>2</v>
      </c>
      <c r="M200" s="180">
        <v>0.48899999999999999</v>
      </c>
      <c r="N200" s="181">
        <v>6.1000000000000004E-3</v>
      </c>
      <c r="P200" s="1"/>
      <c r="Q200" s="1"/>
      <c r="T200" s="150"/>
      <c r="U200" s="150"/>
      <c r="V200" s="1"/>
      <c r="W200" s="1"/>
      <c r="X200" s="1"/>
      <c r="Y200" s="1"/>
      <c r="Z200" s="1"/>
    </row>
    <row r="201" spans="1:26" s="149" customFormat="1" x14ac:dyDescent="0.2">
      <c r="A201" s="44" t="s">
        <v>45</v>
      </c>
      <c r="B201" s="69"/>
      <c r="C201" s="70"/>
      <c r="D201" s="71"/>
      <c r="E201" s="71"/>
      <c r="F201" s="72"/>
      <c r="G201" s="70"/>
      <c r="H201" s="71"/>
      <c r="I201" s="195"/>
      <c r="J201" s="196"/>
      <c r="K201" s="197"/>
      <c r="L201" s="198"/>
      <c r="M201" s="197"/>
      <c r="N201" s="195"/>
      <c r="P201" s="1"/>
      <c r="Q201" s="1"/>
      <c r="T201" s="150"/>
      <c r="U201" s="150"/>
      <c r="V201" s="1"/>
      <c r="W201" s="1"/>
      <c r="X201" s="1"/>
      <c r="Y201" s="1"/>
      <c r="Z201" s="1"/>
    </row>
    <row r="202" spans="1:26" s="149" customFormat="1" ht="24" x14ac:dyDescent="0.2">
      <c r="A202" s="53" t="s">
        <v>47</v>
      </c>
      <c r="B202" s="53" t="s">
        <v>48</v>
      </c>
      <c r="C202" s="60">
        <v>80.206999999999994</v>
      </c>
      <c r="D202" s="55">
        <v>5.0999999999999997E-2</v>
      </c>
      <c r="E202" s="74">
        <v>8.0199999999999994E-2</v>
      </c>
      <c r="F202" s="86">
        <v>9.5000000000000001E-2</v>
      </c>
      <c r="G202" s="87">
        <v>79.599999999999994</v>
      </c>
      <c r="H202" s="88">
        <v>1.4</v>
      </c>
      <c r="I202" s="182">
        <v>2</v>
      </c>
      <c r="J202" s="183">
        <v>-0.60699999999999998</v>
      </c>
      <c r="K202" s="184">
        <v>-7.6E-3</v>
      </c>
      <c r="L202" s="185">
        <v>2</v>
      </c>
      <c r="M202" s="186">
        <v>1.413</v>
      </c>
      <c r="N202" s="187">
        <v>1.7600000000000001E-2</v>
      </c>
      <c r="P202" s="1"/>
      <c r="Q202" s="1"/>
      <c r="T202" s="150"/>
      <c r="U202" s="150"/>
      <c r="V202" s="1"/>
      <c r="W202" s="1"/>
      <c r="X202" s="1"/>
      <c r="Y202" s="1"/>
      <c r="Z202" s="1"/>
    </row>
    <row r="203" spans="1:26" s="149" customFormat="1" x14ac:dyDescent="0.2">
      <c r="A203" s="62"/>
      <c r="B203" s="62"/>
      <c r="C203" s="46"/>
      <c r="D203" s="46"/>
      <c r="E203" s="66"/>
      <c r="F203" s="66"/>
      <c r="G203" s="89"/>
      <c r="H203" s="68"/>
      <c r="I203" s="188"/>
      <c r="J203" s="189"/>
      <c r="K203" s="178"/>
      <c r="L203" s="190"/>
      <c r="M203" s="180"/>
      <c r="N203" s="178"/>
      <c r="P203" s="1"/>
      <c r="Q203" s="1"/>
      <c r="T203" s="150"/>
      <c r="U203" s="150"/>
      <c r="V203" s="1"/>
      <c r="W203" s="1"/>
      <c r="X203" s="1"/>
      <c r="Y203" s="1"/>
      <c r="Z203" s="1"/>
    </row>
    <row r="204" spans="1:26" s="149" customFormat="1" x14ac:dyDescent="0.2">
      <c r="A204" s="3" t="s">
        <v>60</v>
      </c>
      <c r="B204" s="1"/>
      <c r="C204" s="1"/>
      <c r="D204" s="1"/>
      <c r="E204" s="1"/>
      <c r="F204" s="1"/>
      <c r="G204" s="1"/>
      <c r="H204" s="1"/>
      <c r="P204" s="1"/>
      <c r="Q204" s="1"/>
      <c r="T204" s="150"/>
      <c r="U204" s="150"/>
      <c r="V204" s="1"/>
      <c r="W204" s="1"/>
      <c r="X204" s="1"/>
      <c r="Y204" s="1"/>
      <c r="Z204" s="1"/>
    </row>
    <row r="205" spans="1:26" s="149" customFormat="1" ht="60" x14ac:dyDescent="0.2">
      <c r="A205" s="26" t="s">
        <v>23</v>
      </c>
      <c r="B205" s="26" t="s">
        <v>24</v>
      </c>
      <c r="C205" s="27" t="s">
        <v>25</v>
      </c>
      <c r="D205" s="28" t="s">
        <v>26</v>
      </c>
      <c r="E205" s="28" t="s">
        <v>27</v>
      </c>
      <c r="F205" s="29" t="s">
        <v>28</v>
      </c>
      <c r="G205" s="27" t="s">
        <v>29</v>
      </c>
      <c r="H205" s="28" t="s">
        <v>61</v>
      </c>
      <c r="I205" s="161" t="s">
        <v>62</v>
      </c>
      <c r="J205" s="162" t="s">
        <v>30</v>
      </c>
      <c r="K205" s="163" t="s">
        <v>31</v>
      </c>
      <c r="L205" s="30" t="s">
        <v>131</v>
      </c>
      <c r="M205" s="164" t="s">
        <v>132</v>
      </c>
      <c r="N205" s="161" t="s">
        <v>32</v>
      </c>
      <c r="P205" s="1"/>
      <c r="Q205" s="1"/>
      <c r="T205" s="150"/>
      <c r="U205" s="150"/>
      <c r="V205" s="1"/>
      <c r="W205" s="1"/>
      <c r="X205" s="1"/>
      <c r="Y205" s="1"/>
      <c r="Z205" s="1"/>
    </row>
    <row r="206" spans="1:26" s="149" customFormat="1" x14ac:dyDescent="0.2">
      <c r="A206" s="35" t="s">
        <v>63</v>
      </c>
      <c r="B206" s="35" t="s">
        <v>64</v>
      </c>
      <c r="C206" s="42">
        <v>80.004000000000005</v>
      </c>
      <c r="D206" s="37">
        <v>4.8000000000000001E-2</v>
      </c>
      <c r="E206" s="64">
        <v>0.08</v>
      </c>
      <c r="F206" s="81">
        <v>9.3299999999999994E-2</v>
      </c>
      <c r="G206" s="90">
        <v>80.25</v>
      </c>
      <c r="H206" s="91">
        <v>0.25</v>
      </c>
      <c r="I206" s="170">
        <v>2</v>
      </c>
      <c r="J206" s="207">
        <v>0.25</v>
      </c>
      <c r="K206" s="172">
        <v>3.0999999999999999E-3</v>
      </c>
      <c r="L206" s="173">
        <v>2</v>
      </c>
      <c r="M206" s="192">
        <v>0.312</v>
      </c>
      <c r="N206" s="175">
        <v>3.8999999999999998E-3</v>
      </c>
      <c r="P206" s="1"/>
      <c r="Q206" s="1"/>
      <c r="T206" s="150"/>
      <c r="U206" s="150"/>
      <c r="V206" s="1"/>
      <c r="W206" s="1"/>
      <c r="X206" s="1"/>
      <c r="Y206" s="1"/>
      <c r="Z206" s="1"/>
    </row>
    <row r="207" spans="1:26" s="149" customFormat="1" x14ac:dyDescent="0.2">
      <c r="A207" s="44" t="s">
        <v>65</v>
      </c>
      <c r="B207" s="44" t="s">
        <v>66</v>
      </c>
      <c r="C207" s="51">
        <v>80.022000000000006</v>
      </c>
      <c r="D207" s="46">
        <v>4.8000000000000001E-2</v>
      </c>
      <c r="E207" s="66">
        <v>0.08</v>
      </c>
      <c r="F207" s="84">
        <v>9.3299999999999994E-2</v>
      </c>
      <c r="G207" s="85">
        <v>79.16</v>
      </c>
      <c r="H207" s="68">
        <v>0.79</v>
      </c>
      <c r="I207" s="176">
        <v>2</v>
      </c>
      <c r="J207" s="208">
        <v>-0.86</v>
      </c>
      <c r="K207" s="178">
        <v>-1.0800000000000001E-2</v>
      </c>
      <c r="L207" s="179">
        <v>2</v>
      </c>
      <c r="M207" s="194">
        <v>0.81169999999999998</v>
      </c>
      <c r="N207" s="181">
        <v>1.01E-2</v>
      </c>
      <c r="P207" s="1"/>
      <c r="Q207" s="1"/>
      <c r="T207" s="150"/>
      <c r="U207" s="150"/>
      <c r="V207" s="1"/>
      <c r="W207" s="1"/>
      <c r="X207" s="1"/>
      <c r="Y207" s="1"/>
      <c r="Z207" s="1"/>
    </row>
    <row r="208" spans="1:26" s="149" customFormat="1" x14ac:dyDescent="0.2">
      <c r="A208" s="44" t="s">
        <v>56</v>
      </c>
      <c r="B208" s="44" t="s">
        <v>57</v>
      </c>
      <c r="C208" s="51">
        <v>79.933000000000007</v>
      </c>
      <c r="D208" s="46">
        <v>4.8000000000000001E-2</v>
      </c>
      <c r="E208" s="66">
        <v>7.9899999999999999E-2</v>
      </c>
      <c r="F208" s="84">
        <v>9.3200000000000005E-2</v>
      </c>
      <c r="G208" s="92">
        <v>79.8</v>
      </c>
      <c r="H208" s="93">
        <v>0.4</v>
      </c>
      <c r="I208" s="176">
        <v>2</v>
      </c>
      <c r="J208" s="208">
        <v>-0.13</v>
      </c>
      <c r="K208" s="178">
        <v>-1.6999999999999999E-3</v>
      </c>
      <c r="L208" s="179">
        <v>2</v>
      </c>
      <c r="M208" s="194">
        <v>0.44130000000000003</v>
      </c>
      <c r="N208" s="181">
        <v>5.4999999999999997E-3</v>
      </c>
      <c r="P208" s="1"/>
      <c r="Q208" s="1"/>
      <c r="T208" s="150"/>
      <c r="U208" s="150"/>
      <c r="V208" s="1"/>
      <c r="W208" s="1"/>
      <c r="X208" s="1"/>
      <c r="Y208" s="1"/>
      <c r="Z208" s="1"/>
    </row>
    <row r="209" spans="1:26" s="149" customFormat="1" x14ac:dyDescent="0.2">
      <c r="A209" s="44" t="s">
        <v>33</v>
      </c>
      <c r="B209" s="44" t="s">
        <v>34</v>
      </c>
      <c r="C209" s="51">
        <v>80.039000000000001</v>
      </c>
      <c r="D209" s="46">
        <v>4.8000000000000001E-2</v>
      </c>
      <c r="E209" s="66">
        <v>0.08</v>
      </c>
      <c r="F209" s="84">
        <v>9.3299999999999994E-2</v>
      </c>
      <c r="G209" s="85">
        <v>79.849999999999994</v>
      </c>
      <c r="H209" s="68">
        <v>0.21</v>
      </c>
      <c r="I209" s="176">
        <v>2</v>
      </c>
      <c r="J209" s="208">
        <v>-0.19</v>
      </c>
      <c r="K209" s="178">
        <v>-2.3999999999999998E-3</v>
      </c>
      <c r="L209" s="179">
        <v>2</v>
      </c>
      <c r="M209" s="194">
        <v>0.28100000000000003</v>
      </c>
      <c r="N209" s="181">
        <v>3.5000000000000001E-3</v>
      </c>
      <c r="P209" s="1"/>
      <c r="Q209" s="1"/>
      <c r="T209" s="150"/>
      <c r="U209" s="150"/>
      <c r="V209" s="1"/>
      <c r="W209" s="1"/>
      <c r="X209" s="1"/>
      <c r="Y209" s="1"/>
      <c r="Z209" s="1"/>
    </row>
    <row r="210" spans="1:26" s="149" customFormat="1" x14ac:dyDescent="0.2">
      <c r="A210" s="44" t="s">
        <v>35</v>
      </c>
      <c r="B210" s="44" t="s">
        <v>36</v>
      </c>
      <c r="C210" s="51">
        <v>79.742999999999995</v>
      </c>
      <c r="D210" s="46">
        <v>4.8000000000000001E-2</v>
      </c>
      <c r="E210" s="66">
        <v>7.9699999999999993E-2</v>
      </c>
      <c r="F210" s="84">
        <v>9.3100000000000002E-2</v>
      </c>
      <c r="G210" s="92">
        <v>80.5</v>
      </c>
      <c r="H210" s="93">
        <v>3.3</v>
      </c>
      <c r="I210" s="176">
        <v>2</v>
      </c>
      <c r="J210" s="208">
        <v>0.76</v>
      </c>
      <c r="K210" s="178">
        <v>9.4999999999999998E-3</v>
      </c>
      <c r="L210" s="179">
        <v>2</v>
      </c>
      <c r="M210" s="194">
        <v>3.3052000000000001</v>
      </c>
      <c r="N210" s="181">
        <v>4.1399999999999999E-2</v>
      </c>
      <c r="P210" s="1"/>
      <c r="Q210" s="1"/>
      <c r="T210" s="150"/>
      <c r="U210" s="150"/>
      <c r="V210" s="1"/>
      <c r="W210" s="1"/>
      <c r="X210" s="1"/>
      <c r="Y210" s="1"/>
      <c r="Z210" s="1"/>
    </row>
    <row r="211" spans="1:26" s="149" customFormat="1" x14ac:dyDescent="0.2">
      <c r="A211" s="44" t="s">
        <v>37</v>
      </c>
      <c r="B211" s="44" t="s">
        <v>38</v>
      </c>
      <c r="C211" s="51">
        <v>80.093999999999994</v>
      </c>
      <c r="D211" s="46">
        <v>4.8000000000000001E-2</v>
      </c>
      <c r="E211" s="66">
        <v>8.0100000000000005E-2</v>
      </c>
      <c r="F211" s="84">
        <v>9.3399999999999997E-2</v>
      </c>
      <c r="G211" s="85">
        <v>80.47</v>
      </c>
      <c r="H211" s="68">
        <v>0.87</v>
      </c>
      <c r="I211" s="176">
        <v>2</v>
      </c>
      <c r="J211" s="208">
        <v>0.38</v>
      </c>
      <c r="K211" s="178">
        <v>4.7000000000000002E-3</v>
      </c>
      <c r="L211" s="179">
        <v>2</v>
      </c>
      <c r="M211" s="194">
        <v>0.88980000000000004</v>
      </c>
      <c r="N211" s="181">
        <v>1.11E-2</v>
      </c>
      <c r="P211" s="1"/>
      <c r="Q211" s="1"/>
      <c r="T211" s="150"/>
      <c r="U211" s="150"/>
      <c r="V211" s="1"/>
      <c r="W211" s="1"/>
      <c r="X211" s="1"/>
      <c r="Y211" s="1"/>
      <c r="Z211" s="1"/>
    </row>
    <row r="212" spans="1:26" s="149" customFormat="1" x14ac:dyDescent="0.2">
      <c r="A212" s="44" t="s">
        <v>39</v>
      </c>
      <c r="B212" s="44" t="s">
        <v>40</v>
      </c>
      <c r="C212" s="51">
        <v>80.067999999999998</v>
      </c>
      <c r="D212" s="46">
        <v>4.8000000000000001E-2</v>
      </c>
      <c r="E212" s="66">
        <v>8.0100000000000005E-2</v>
      </c>
      <c r="F212" s="84">
        <v>9.3399999999999997E-2</v>
      </c>
      <c r="G212" s="85">
        <v>80.77</v>
      </c>
      <c r="H212" s="68">
        <v>0.47</v>
      </c>
      <c r="I212" s="176">
        <v>2</v>
      </c>
      <c r="J212" s="208">
        <v>0.7</v>
      </c>
      <c r="K212" s="178">
        <v>8.8000000000000005E-3</v>
      </c>
      <c r="L212" s="179">
        <v>2</v>
      </c>
      <c r="M212" s="194">
        <v>0.50570000000000004</v>
      </c>
      <c r="N212" s="181">
        <v>6.3E-3</v>
      </c>
      <c r="P212" s="1"/>
      <c r="Q212" s="1"/>
      <c r="T212" s="150"/>
      <c r="U212" s="150"/>
      <c r="V212" s="1"/>
      <c r="W212" s="1"/>
      <c r="X212" s="1"/>
      <c r="Y212" s="1"/>
      <c r="Z212" s="1"/>
    </row>
    <row r="213" spans="1:26" s="149" customFormat="1" x14ac:dyDescent="0.2">
      <c r="A213" s="44" t="s">
        <v>41</v>
      </c>
      <c r="B213" s="44" t="s">
        <v>42</v>
      </c>
      <c r="C213" s="51">
        <v>80.025999999999996</v>
      </c>
      <c r="D213" s="46">
        <v>4.8000000000000001E-2</v>
      </c>
      <c r="E213" s="66">
        <v>0.08</v>
      </c>
      <c r="F213" s="84">
        <v>9.3299999999999994E-2</v>
      </c>
      <c r="G213" s="85">
        <v>80.13</v>
      </c>
      <c r="H213" s="68">
        <v>0.54</v>
      </c>
      <c r="I213" s="176">
        <v>2</v>
      </c>
      <c r="J213" s="208">
        <v>0.1</v>
      </c>
      <c r="K213" s="178">
        <v>1.2999999999999999E-3</v>
      </c>
      <c r="L213" s="179">
        <v>2</v>
      </c>
      <c r="M213" s="194">
        <v>0.57130000000000003</v>
      </c>
      <c r="N213" s="181">
        <v>7.1000000000000004E-3</v>
      </c>
      <c r="P213" s="1"/>
      <c r="Q213" s="1"/>
      <c r="T213" s="150"/>
      <c r="U213" s="150"/>
      <c r="V213" s="1"/>
      <c r="W213" s="1"/>
      <c r="X213" s="1"/>
      <c r="Y213" s="1"/>
      <c r="Z213" s="1"/>
    </row>
    <row r="214" spans="1:26" s="149" customFormat="1" x14ac:dyDescent="0.2">
      <c r="A214" s="44" t="s">
        <v>43</v>
      </c>
      <c r="B214" s="44" t="s">
        <v>44</v>
      </c>
      <c r="C214" s="51">
        <v>80.06</v>
      </c>
      <c r="D214" s="46">
        <v>4.8000000000000001E-2</v>
      </c>
      <c r="E214" s="66">
        <v>8.0100000000000005E-2</v>
      </c>
      <c r="F214" s="84">
        <v>9.3299999999999994E-2</v>
      </c>
      <c r="G214" s="85">
        <v>79.84</v>
      </c>
      <c r="H214" s="68">
        <v>0.44</v>
      </c>
      <c r="I214" s="176">
        <v>2</v>
      </c>
      <c r="J214" s="208">
        <v>-0.22</v>
      </c>
      <c r="K214" s="178">
        <v>-2.7000000000000001E-3</v>
      </c>
      <c r="L214" s="179">
        <v>2</v>
      </c>
      <c r="M214" s="194">
        <v>0.47799999999999998</v>
      </c>
      <c r="N214" s="181">
        <v>6.0000000000000001E-3</v>
      </c>
      <c r="P214" s="1"/>
      <c r="Q214" s="1"/>
      <c r="T214" s="150"/>
      <c r="U214" s="150"/>
      <c r="V214" s="1"/>
      <c r="W214" s="1"/>
      <c r="X214" s="1"/>
      <c r="Y214" s="1"/>
      <c r="Z214" s="1"/>
    </row>
    <row r="215" spans="1:26" s="149" customFormat="1" x14ac:dyDescent="0.2">
      <c r="A215" s="44" t="s">
        <v>45</v>
      </c>
      <c r="B215" s="44" t="s">
        <v>46</v>
      </c>
      <c r="C215" s="51">
        <v>80.016999999999996</v>
      </c>
      <c r="D215" s="46">
        <v>4.8000000000000001E-2</v>
      </c>
      <c r="E215" s="66">
        <v>0.08</v>
      </c>
      <c r="F215" s="84">
        <v>9.3299999999999994E-2</v>
      </c>
      <c r="G215" s="85">
        <v>79.64</v>
      </c>
      <c r="H215" s="68">
        <v>0.44</v>
      </c>
      <c r="I215" s="176">
        <v>2</v>
      </c>
      <c r="J215" s="208">
        <v>-0.38</v>
      </c>
      <c r="K215" s="178">
        <v>-4.7000000000000002E-3</v>
      </c>
      <c r="L215" s="179">
        <v>2</v>
      </c>
      <c r="M215" s="194">
        <v>0.47789999999999999</v>
      </c>
      <c r="N215" s="181">
        <v>6.0000000000000001E-3</v>
      </c>
      <c r="P215" s="1"/>
      <c r="Q215" s="1"/>
      <c r="T215" s="150"/>
      <c r="U215" s="150"/>
      <c r="V215" s="1"/>
      <c r="W215" s="1"/>
      <c r="X215" s="1"/>
      <c r="Y215" s="1"/>
      <c r="Z215" s="1"/>
    </row>
    <row r="216" spans="1:26" s="149" customFormat="1" ht="24" x14ac:dyDescent="0.2">
      <c r="A216" s="53" t="s">
        <v>47</v>
      </c>
      <c r="B216" s="53" t="s">
        <v>48</v>
      </c>
      <c r="C216" s="60">
        <v>80.090999999999994</v>
      </c>
      <c r="D216" s="55">
        <v>4.8000000000000001E-2</v>
      </c>
      <c r="E216" s="74">
        <v>8.0100000000000005E-2</v>
      </c>
      <c r="F216" s="86">
        <v>9.3399999999999997E-2</v>
      </c>
      <c r="G216" s="94">
        <v>80</v>
      </c>
      <c r="H216" s="95">
        <v>0.9</v>
      </c>
      <c r="I216" s="182">
        <v>2</v>
      </c>
      <c r="J216" s="209">
        <v>-0.09</v>
      </c>
      <c r="K216" s="184">
        <v>-1.1000000000000001E-3</v>
      </c>
      <c r="L216" s="185">
        <v>2</v>
      </c>
      <c r="M216" s="200">
        <v>0.91920000000000002</v>
      </c>
      <c r="N216" s="187">
        <v>1.15E-2</v>
      </c>
      <c r="P216" s="1"/>
      <c r="Q216" s="1"/>
      <c r="T216" s="150"/>
      <c r="U216" s="150"/>
      <c r="V216" s="1"/>
      <c r="W216" s="1"/>
      <c r="X216" s="1"/>
      <c r="Y216" s="1"/>
      <c r="Z216" s="1"/>
    </row>
  </sheetData>
  <sheetProtection sheet="1" formatCells="0" formatColumns="0" insertRows="0"/>
  <phoneticPr fontId="4"/>
  <hyperlinks>
    <hyperlink ref="B31" location="'Table 1'!A19" display="bookmark0" xr:uid="{FE94D20B-D4A0-4962-889F-EE04C4508D9F}"/>
  </hyperlinks>
  <pageMargins left="0.7" right="0.7" top="0.75" bottom="0.75" header="0.3" footer="0.3"/>
  <pageSetup paperSize="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4B80-F66C-47A9-8FB3-1C141AA8F6B2}">
  <dimension ref="A1:Z142"/>
  <sheetViews>
    <sheetView zoomScale="160" zoomScaleNormal="160" workbookViewId="0">
      <selection activeCell="Q16" sqref="Q16"/>
    </sheetView>
  </sheetViews>
  <sheetFormatPr defaultColWidth="9.33203125" defaultRowHeight="12.75" x14ac:dyDescent="0.2"/>
  <cols>
    <col min="1" max="2" width="9.33203125" style="1"/>
    <col min="3" max="7" width="10.1640625" style="1" customWidth="1"/>
    <col min="8" max="8" width="10.33203125" style="1" bestFit="1" customWidth="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983</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986</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27" customFormat="1" ht="18" customHeight="1" x14ac:dyDescent="0.2">
      <c r="A6" s="227" t="s">
        <v>984</v>
      </c>
      <c r="N6" s="113"/>
      <c r="O6" s="113"/>
      <c r="P6" s="2"/>
      <c r="Q6" s="2"/>
      <c r="R6" s="113"/>
      <c r="S6" s="113"/>
    </row>
    <row r="7" spans="1:25" s="227" customFormat="1" ht="15.95" customHeight="1" x14ac:dyDescent="0.2">
      <c r="A7" s="887" t="s">
        <v>985</v>
      </c>
      <c r="N7" s="113"/>
      <c r="O7" s="113"/>
      <c r="P7" s="2"/>
      <c r="Q7" s="2"/>
      <c r="R7" s="113"/>
      <c r="S7" s="113"/>
    </row>
    <row r="8" spans="1:25" s="2" customFormat="1" x14ac:dyDescent="0.2">
      <c r="A8" s="99"/>
      <c r="B8" s="99"/>
      <c r="C8" s="99"/>
      <c r="D8" s="99"/>
      <c r="E8" s="99"/>
      <c r="F8" s="99"/>
      <c r="G8" s="99"/>
      <c r="H8" s="99"/>
      <c r="I8" s="113"/>
      <c r="J8" s="113"/>
      <c r="K8" s="113"/>
      <c r="L8" s="113"/>
      <c r="M8" s="113"/>
      <c r="N8" s="113"/>
      <c r="O8" s="113"/>
      <c r="R8" s="113"/>
      <c r="S8" s="113"/>
      <c r="T8" s="146"/>
      <c r="U8" s="146"/>
    </row>
    <row r="9" spans="1:25" s="2" customFormat="1" x14ac:dyDescent="0.2">
      <c r="A9" s="113"/>
      <c r="B9" s="99"/>
      <c r="C9" s="99"/>
      <c r="D9" s="99"/>
      <c r="E9" s="99"/>
      <c r="F9" s="99"/>
      <c r="G9" s="99"/>
      <c r="H9" s="99"/>
      <c r="I9" s="113"/>
      <c r="J9" s="113"/>
      <c r="K9" s="113"/>
      <c r="L9" s="113"/>
      <c r="M9" s="113"/>
      <c r="N9" s="113"/>
      <c r="O9" s="113"/>
      <c r="R9" s="113"/>
      <c r="S9" s="113"/>
      <c r="T9" s="146"/>
      <c r="U9" s="146"/>
    </row>
    <row r="10" spans="1:25" x14ac:dyDescent="0.2">
      <c r="A10" s="102"/>
      <c r="B10" s="97"/>
      <c r="C10" s="97"/>
      <c r="D10" s="97"/>
      <c r="E10" s="97"/>
      <c r="F10" s="97"/>
      <c r="G10" s="97"/>
      <c r="H10" s="97"/>
      <c r="I10" s="113"/>
      <c r="J10" s="113"/>
      <c r="K10" s="113"/>
      <c r="L10" s="113"/>
      <c r="M10" s="113"/>
      <c r="N10" s="113"/>
      <c r="O10" s="113"/>
      <c r="R10" s="113"/>
      <c r="S10" s="113"/>
      <c r="T10" s="146"/>
      <c r="U10" s="146"/>
    </row>
    <row r="11" spans="1:25" x14ac:dyDescent="0.2">
      <c r="A11" s="97"/>
      <c r="B11" s="97"/>
      <c r="C11" s="97"/>
      <c r="D11" s="97"/>
      <c r="E11" s="97"/>
      <c r="F11" s="97"/>
      <c r="G11" s="97"/>
      <c r="H11" s="97"/>
      <c r="I11" s="113"/>
      <c r="J11" s="113"/>
      <c r="K11" s="113"/>
      <c r="L11" s="113"/>
      <c r="M11" s="113"/>
      <c r="N11" s="113"/>
      <c r="O11" s="113"/>
      <c r="R11" s="113"/>
      <c r="S11" s="113"/>
      <c r="T11" s="146"/>
      <c r="U11" s="146"/>
    </row>
    <row r="12" spans="1:25" x14ac:dyDescent="0.2">
      <c r="A12" s="97"/>
      <c r="B12" s="97"/>
      <c r="C12" s="97"/>
      <c r="D12" s="97"/>
      <c r="E12" s="97"/>
      <c r="F12" s="97"/>
      <c r="G12" s="97"/>
      <c r="H12" s="97"/>
      <c r="I12" s="113"/>
      <c r="J12" s="113"/>
      <c r="K12" s="113"/>
      <c r="L12" s="113"/>
      <c r="M12" s="113"/>
      <c r="N12" s="113"/>
      <c r="O12" s="113"/>
      <c r="R12" s="113"/>
      <c r="S12" s="113"/>
      <c r="T12" s="146"/>
      <c r="U12" s="146"/>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
        <v>998</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12</v>
      </c>
      <c r="N16" s="104" t="s">
        <v>1058</v>
      </c>
      <c r="O16" s="104" t="s">
        <v>100</v>
      </c>
      <c r="P16" s="6" t="s">
        <v>105</v>
      </c>
      <c r="Q16" s="6" t="s">
        <v>106</v>
      </c>
      <c r="R16" s="104" t="s">
        <v>1051</v>
      </c>
      <c r="S16" s="104" t="s">
        <v>1052</v>
      </c>
      <c r="T16" s="147" t="s">
        <v>80</v>
      </c>
      <c r="U16" s="147" t="s">
        <v>81</v>
      </c>
      <c r="V16" s="5" t="s">
        <v>101</v>
      </c>
      <c r="W16" s="5" t="s">
        <v>102</v>
      </c>
      <c r="X16" s="112" t="s">
        <v>103</v>
      </c>
      <c r="Y16" s="112" t="s">
        <v>104</v>
      </c>
    </row>
    <row r="17" spans="1:26" x14ac:dyDescent="0.2">
      <c r="A17" s="213" t="str">
        <f t="shared" ref="A17:A29" si="0">A34</f>
        <v>IPQ</v>
      </c>
      <c r="B17" s="213"/>
      <c r="C17" s="219">
        <v>119.88800000000001</v>
      </c>
      <c r="D17" s="219">
        <v>4.5999999999999999E-2</v>
      </c>
      <c r="E17" s="219">
        <f>B34</f>
        <v>120.89</v>
      </c>
      <c r="F17" s="219">
        <f>C34</f>
        <v>0.6</v>
      </c>
      <c r="G17" s="219">
        <f>F34</f>
        <v>0.876</v>
      </c>
      <c r="H17" s="219">
        <f>2*G34</f>
        <v>1.21</v>
      </c>
      <c r="I17" s="155">
        <f t="shared" ref="I17:I29" si="1">IF(ABS(G17)&gt;ABS(H17), 1, 0)</f>
        <v>0</v>
      </c>
      <c r="J17" s="155">
        <f t="shared" ref="J17:J29" si="2">I17*ABS(C17-E17)</f>
        <v>0</v>
      </c>
      <c r="K17" s="155">
        <f t="shared" ref="K17:K29" si="3">SQRT(SUMSQ(F17,J17))*2</f>
        <v>1.2</v>
      </c>
      <c r="L17" s="155">
        <f t="shared" ref="L17:L29" si="4">IF(C17&lt;$K$2, C17, $K$1)</f>
        <v>10</v>
      </c>
      <c r="M17" s="156">
        <f t="shared" ref="M17:M29" si="5">IF(AND(C17&lt;$K$1,C17&gt; $K$2), K17/L17*100, K17/C17*100)</f>
        <v>1.0009342052582411</v>
      </c>
      <c r="N17" s="157">
        <f t="shared" ref="N17" si="6">M17*L17/100</f>
        <v>0.10009342052582411</v>
      </c>
      <c r="O17" s="155">
        <f t="shared" ref="O17" si="7">N17/(M17*L17/100)*100</f>
        <v>100</v>
      </c>
      <c r="P17" s="250">
        <v>1</v>
      </c>
      <c r="Q17" s="250">
        <v>1000</v>
      </c>
      <c r="R17" s="148">
        <f>IF( IF(P17&lt;L17, M17*L17/P17, M17)&gt;100, "ERROR",  IF(P17&lt;L17, M17*L17/P17, M17))</f>
        <v>10.009342052582411</v>
      </c>
      <c r="S17" s="148">
        <f>IF(IF(Q17&lt;L17, M17*L17/Q17, M17)&gt;100, "ERROR", IF(Q17&lt;L17, M17*L17/Q17, M17))</f>
        <v>1.0009342052582411</v>
      </c>
      <c r="T17" s="148">
        <f>R17*P17*0.01</f>
        <v>0.10009342052582412</v>
      </c>
      <c r="U17" s="148">
        <f>S17*Q17*0.01</f>
        <v>10.00934205258241</v>
      </c>
      <c r="V17" s="7">
        <f>P17*1000</f>
        <v>1000</v>
      </c>
      <c r="W17" s="7">
        <f>Q17*1000</f>
        <v>1000000</v>
      </c>
      <c r="X17" s="1345">
        <f>T17*1000</f>
        <v>100.09342052582413</v>
      </c>
      <c r="Y17" s="1345">
        <f>U17*1000</f>
        <v>10009.342052582409</v>
      </c>
    </row>
    <row r="18" spans="1:26" x14ac:dyDescent="0.2">
      <c r="A18" s="213" t="str">
        <f t="shared" si="0"/>
        <v>INMETRO</v>
      </c>
      <c r="B18" s="213"/>
      <c r="C18" s="219">
        <v>119.88800000000001</v>
      </c>
      <c r="D18" s="219">
        <v>4.5999999999999999E-2</v>
      </c>
      <c r="E18" s="219">
        <f t="shared" ref="E18:F18" si="8">B35</f>
        <v>119.693</v>
      </c>
      <c r="F18" s="219">
        <f t="shared" si="8"/>
        <v>0.12</v>
      </c>
      <c r="G18" s="219">
        <f t="shared" ref="G18" si="9">F35</f>
        <v>0.77</v>
      </c>
      <c r="H18" s="219">
        <f t="shared" ref="H18:H29" si="10">2*G35</f>
        <v>0.254</v>
      </c>
      <c r="I18" s="155">
        <f t="shared" si="1"/>
        <v>1</v>
      </c>
      <c r="J18" s="155">
        <f t="shared" si="2"/>
        <v>0.19500000000000739</v>
      </c>
      <c r="K18" s="155">
        <f t="shared" si="3"/>
        <v>0.45793012567422503</v>
      </c>
      <c r="L18" s="155">
        <f t="shared" si="4"/>
        <v>10</v>
      </c>
      <c r="M18" s="156">
        <f t="shared" si="5"/>
        <v>0.38196493867128073</v>
      </c>
      <c r="N18" s="157">
        <f t="shared" ref="N18:N29" si="11">M18*L18/100</f>
        <v>3.8196493867128069E-2</v>
      </c>
      <c r="O18" s="155">
        <f t="shared" ref="O18:O29" si="12">N18/(M18*L18/100)*100</f>
        <v>100</v>
      </c>
      <c r="P18" s="250">
        <v>1</v>
      </c>
      <c r="Q18" s="250">
        <v>1000</v>
      </c>
      <c r="R18" s="148">
        <f t="shared" ref="R18:R29" si="13">IF( IF(P18&lt;L18, M18*L18/P18, M18)&gt;100, "ERROR",  IF(P18&lt;L18, M18*L18/P18, M18))</f>
        <v>3.8196493867128072</v>
      </c>
      <c r="S18" s="148">
        <f t="shared" ref="S18:S29" si="14">IF(IF(Q18&lt;L18, M18*L18/Q18, M18)&gt;100, "ERROR", IF(Q18&lt;L18, M18*L18/Q18, M18))</f>
        <v>0.38196493867128073</v>
      </c>
      <c r="T18" s="148">
        <f t="shared" ref="T18:U29" si="15">R18*P18*0.01</f>
        <v>3.8196493867128076E-2</v>
      </c>
      <c r="U18" s="148">
        <f t="shared" si="15"/>
        <v>3.8196493867128072</v>
      </c>
      <c r="V18" s="7">
        <f t="shared" ref="V18:W29" si="16">P18*1000</f>
        <v>1000</v>
      </c>
      <c r="W18" s="7">
        <f t="shared" si="16"/>
        <v>1000000</v>
      </c>
      <c r="X18" s="1345">
        <f t="shared" ref="X18:Y29" si="17">T18*1000</f>
        <v>38.196493867128076</v>
      </c>
      <c r="Y18" s="1345">
        <f t="shared" si="17"/>
        <v>3819.649386712807</v>
      </c>
    </row>
    <row r="19" spans="1:26" x14ac:dyDescent="0.2">
      <c r="A19" s="213" t="str">
        <f t="shared" si="0"/>
        <v>NMISA</v>
      </c>
      <c r="B19" s="213"/>
      <c r="C19" s="219">
        <v>119.88800000000001</v>
      </c>
      <c r="D19" s="219">
        <v>4.5999999999999999E-2</v>
      </c>
      <c r="E19" s="219">
        <f t="shared" ref="E19:F19" si="18">B36</f>
        <v>120.08</v>
      </c>
      <c r="F19" s="219">
        <f t="shared" si="18"/>
        <v>0.4</v>
      </c>
      <c r="G19" s="219">
        <f t="shared" ref="G19" si="19">F36</f>
        <v>0.745</v>
      </c>
      <c r="H19" s="219">
        <f t="shared" si="10"/>
        <v>0.82399999999999995</v>
      </c>
      <c r="I19" s="155">
        <f t="shared" si="1"/>
        <v>0</v>
      </c>
      <c r="J19" s="155">
        <f t="shared" si="2"/>
        <v>0</v>
      </c>
      <c r="K19" s="155">
        <f t="shared" si="3"/>
        <v>0.8</v>
      </c>
      <c r="L19" s="155">
        <f t="shared" si="4"/>
        <v>10</v>
      </c>
      <c r="M19" s="156">
        <f t="shared" si="5"/>
        <v>0.66728947017216067</v>
      </c>
      <c r="N19" s="157">
        <f t="shared" si="11"/>
        <v>6.6728947017216059E-2</v>
      </c>
      <c r="O19" s="155">
        <f t="shared" si="12"/>
        <v>100</v>
      </c>
      <c r="P19" s="250">
        <v>1</v>
      </c>
      <c r="Q19" s="250">
        <v>1000</v>
      </c>
      <c r="R19" s="148">
        <f t="shared" si="13"/>
        <v>6.6728947017216065</v>
      </c>
      <c r="S19" s="148">
        <f t="shared" si="14"/>
        <v>0.66728947017216067</v>
      </c>
      <c r="T19" s="148">
        <f t="shared" si="15"/>
        <v>6.6728947017216073E-2</v>
      </c>
      <c r="U19" s="148">
        <f t="shared" si="15"/>
        <v>6.6728947017216074</v>
      </c>
      <c r="V19" s="7">
        <f t="shared" si="16"/>
        <v>1000</v>
      </c>
      <c r="W19" s="7">
        <f t="shared" si="16"/>
        <v>1000000</v>
      </c>
      <c r="X19" s="1345">
        <f t="shared" si="17"/>
        <v>66.728947017216072</v>
      </c>
      <c r="Y19" s="1345">
        <f t="shared" si="17"/>
        <v>6672.8947017216078</v>
      </c>
    </row>
    <row r="20" spans="1:26" x14ac:dyDescent="0.2">
      <c r="A20" s="213" t="str">
        <f t="shared" si="0"/>
        <v>VSL</v>
      </c>
      <c r="B20" s="213"/>
      <c r="C20" s="219">
        <v>119.88800000000001</v>
      </c>
      <c r="D20" s="219">
        <v>4.5999999999999999E-2</v>
      </c>
      <c r="E20" s="219">
        <f t="shared" ref="E20:F20" si="20">B37</f>
        <v>119.49</v>
      </c>
      <c r="F20" s="219">
        <f t="shared" si="20"/>
        <v>0.2</v>
      </c>
      <c r="G20" s="219">
        <f t="shared" ref="G20" si="21">F37</f>
        <v>0.65100000000000002</v>
      </c>
      <c r="H20" s="219">
        <f t="shared" si="10"/>
        <v>0.41</v>
      </c>
      <c r="I20" s="155">
        <f t="shared" si="1"/>
        <v>1</v>
      </c>
      <c r="J20" s="155">
        <f t="shared" si="2"/>
        <v>0.39800000000001035</v>
      </c>
      <c r="K20" s="155">
        <f t="shared" si="3"/>
        <v>0.89085127827266042</v>
      </c>
      <c r="L20" s="155">
        <f t="shared" si="4"/>
        <v>10</v>
      </c>
      <c r="M20" s="156">
        <f t="shared" si="5"/>
        <v>0.74306959685094454</v>
      </c>
      <c r="N20" s="157">
        <f t="shared" si="11"/>
        <v>7.4306959685094445E-2</v>
      </c>
      <c r="O20" s="155">
        <f t="shared" si="12"/>
        <v>100</v>
      </c>
      <c r="P20" s="250">
        <v>1</v>
      </c>
      <c r="Q20" s="250">
        <v>1000</v>
      </c>
      <c r="R20" s="148">
        <f t="shared" si="13"/>
        <v>7.4306959685094451</v>
      </c>
      <c r="S20" s="148">
        <f t="shared" si="14"/>
        <v>0.74306959685094454</v>
      </c>
      <c r="T20" s="148">
        <f t="shared" si="15"/>
        <v>7.4306959685094459E-2</v>
      </c>
      <c r="U20" s="148">
        <f t="shared" si="15"/>
        <v>7.430695968509446</v>
      </c>
      <c r="V20" s="7">
        <f t="shared" si="16"/>
        <v>1000</v>
      </c>
      <c r="W20" s="7">
        <f t="shared" si="16"/>
        <v>1000000</v>
      </c>
      <c r="X20" s="1345">
        <f t="shared" si="17"/>
        <v>74.306959685094455</v>
      </c>
      <c r="Y20" s="1345">
        <f t="shared" si="17"/>
        <v>7430.6959685094462</v>
      </c>
    </row>
    <row r="21" spans="1:26" x14ac:dyDescent="0.2">
      <c r="A21" s="213" t="str">
        <f t="shared" si="0"/>
        <v>SMU</v>
      </c>
      <c r="B21" s="213"/>
      <c r="C21" s="219">
        <v>119.88800000000001</v>
      </c>
      <c r="D21" s="219">
        <v>4.5999999999999999E-2</v>
      </c>
      <c r="E21" s="219">
        <f t="shared" ref="E21:F21" si="22">B38</f>
        <v>120.72</v>
      </c>
      <c r="F21" s="219">
        <f t="shared" si="22"/>
        <v>0.43</v>
      </c>
      <c r="G21" s="219">
        <f t="shared" ref="G21" si="23">F38</f>
        <v>0.48099999999999998</v>
      </c>
      <c r="H21" s="219">
        <f t="shared" si="10"/>
        <v>0.87</v>
      </c>
      <c r="I21" s="155">
        <f t="shared" si="1"/>
        <v>0</v>
      </c>
      <c r="J21" s="155">
        <f t="shared" si="2"/>
        <v>0</v>
      </c>
      <c r="K21" s="155">
        <f t="shared" si="3"/>
        <v>0.86</v>
      </c>
      <c r="L21" s="155">
        <f t="shared" si="4"/>
        <v>10</v>
      </c>
      <c r="M21" s="156">
        <f t="shared" si="5"/>
        <v>0.71733618043507275</v>
      </c>
      <c r="N21" s="157">
        <f t="shared" si="11"/>
        <v>7.1733618043507266E-2</v>
      </c>
      <c r="O21" s="155">
        <f t="shared" si="12"/>
        <v>100</v>
      </c>
      <c r="P21" s="250">
        <v>1</v>
      </c>
      <c r="Q21" s="250">
        <v>1000</v>
      </c>
      <c r="R21" s="148">
        <f t="shared" si="13"/>
        <v>7.1733618043507272</v>
      </c>
      <c r="S21" s="148">
        <f t="shared" si="14"/>
        <v>0.71733618043507275</v>
      </c>
      <c r="T21" s="148">
        <f t="shared" si="15"/>
        <v>7.173361804350728E-2</v>
      </c>
      <c r="U21" s="148">
        <f t="shared" si="15"/>
        <v>7.1733618043507272</v>
      </c>
      <c r="V21" s="7">
        <f t="shared" si="16"/>
        <v>1000</v>
      </c>
      <c r="W21" s="7">
        <f t="shared" si="16"/>
        <v>1000000</v>
      </c>
      <c r="X21" s="1345">
        <f t="shared" si="17"/>
        <v>71.733618043507278</v>
      </c>
      <c r="Y21" s="1345">
        <f t="shared" si="17"/>
        <v>7173.3618043507277</v>
      </c>
    </row>
    <row r="22" spans="1:26" x14ac:dyDescent="0.2">
      <c r="A22" s="213" t="str">
        <f t="shared" si="0"/>
        <v>LNE</v>
      </c>
      <c r="B22" s="213"/>
      <c r="C22" s="219">
        <v>119.88800000000001</v>
      </c>
      <c r="D22" s="219">
        <v>4.5999999999999999E-2</v>
      </c>
      <c r="E22" s="219">
        <f t="shared" ref="E22:F22" si="24">B39</f>
        <v>119.31</v>
      </c>
      <c r="F22" s="219">
        <f t="shared" si="24"/>
        <v>0.12</v>
      </c>
      <c r="G22" s="219">
        <f t="shared" ref="G22" si="25">F39</f>
        <v>0.16200000000000001</v>
      </c>
      <c r="H22" s="219">
        <f t="shared" si="10"/>
        <v>0.254</v>
      </c>
      <c r="I22" s="155">
        <f t="shared" si="1"/>
        <v>0</v>
      </c>
      <c r="J22" s="155">
        <f t="shared" si="2"/>
        <v>0</v>
      </c>
      <c r="K22" s="155">
        <f t="shared" si="3"/>
        <v>0.24</v>
      </c>
      <c r="L22" s="155">
        <f t="shared" si="4"/>
        <v>10</v>
      </c>
      <c r="M22" s="156">
        <f t="shared" si="5"/>
        <v>0.20018684105164819</v>
      </c>
      <c r="N22" s="157">
        <f t="shared" si="11"/>
        <v>2.001868410516482E-2</v>
      </c>
      <c r="O22" s="155">
        <f t="shared" si="12"/>
        <v>100</v>
      </c>
      <c r="P22" s="250">
        <v>1</v>
      </c>
      <c r="Q22" s="250">
        <v>1000</v>
      </c>
      <c r="R22" s="148">
        <f t="shared" si="13"/>
        <v>2.0018684105164821</v>
      </c>
      <c r="S22" s="148">
        <f t="shared" si="14"/>
        <v>0.20018684105164819</v>
      </c>
      <c r="T22" s="148">
        <f t="shared" si="15"/>
        <v>2.0018684105164823E-2</v>
      </c>
      <c r="U22" s="148">
        <f t="shared" si="15"/>
        <v>2.0018684105164821</v>
      </c>
      <c r="V22" s="7">
        <f t="shared" si="16"/>
        <v>1000</v>
      </c>
      <c r="W22" s="7">
        <f t="shared" si="16"/>
        <v>1000000</v>
      </c>
      <c r="X22" s="1345">
        <f t="shared" si="17"/>
        <v>20.018684105164823</v>
      </c>
      <c r="Y22" s="1345">
        <f t="shared" si="17"/>
        <v>2001.8684105164821</v>
      </c>
    </row>
    <row r="23" spans="1:26" x14ac:dyDescent="0.2">
      <c r="A23" s="213" t="str">
        <f t="shared" si="0"/>
        <v>NIST</v>
      </c>
      <c r="B23" s="213"/>
      <c r="C23" s="219">
        <v>119.88800000000001</v>
      </c>
      <c r="D23" s="219">
        <v>4.5999999999999999E-2</v>
      </c>
      <c r="E23" s="219">
        <f t="shared" ref="E23:F23" si="26">B40</f>
        <v>121.29</v>
      </c>
      <c r="F23" s="219">
        <f t="shared" si="26"/>
        <v>0.31</v>
      </c>
      <c r="G23" s="219">
        <f t="shared" ref="G23" si="27">F40</f>
        <v>9.1999999999999998E-2</v>
      </c>
      <c r="H23" s="219">
        <f t="shared" si="10"/>
        <v>0.57999999999999996</v>
      </c>
      <c r="I23" s="155">
        <f t="shared" si="1"/>
        <v>0</v>
      </c>
      <c r="J23" s="155">
        <f t="shared" si="2"/>
        <v>0</v>
      </c>
      <c r="K23" s="155">
        <f t="shared" si="3"/>
        <v>0.62</v>
      </c>
      <c r="L23" s="155">
        <f t="shared" si="4"/>
        <v>10</v>
      </c>
      <c r="M23" s="156">
        <f t="shared" si="5"/>
        <v>0.51714933938342444</v>
      </c>
      <c r="N23" s="157">
        <f t="shared" si="11"/>
        <v>5.1714933938342443E-2</v>
      </c>
      <c r="O23" s="155">
        <f t="shared" si="12"/>
        <v>100</v>
      </c>
      <c r="P23" s="250">
        <v>1</v>
      </c>
      <c r="Q23" s="250">
        <v>1000</v>
      </c>
      <c r="R23" s="148">
        <f t="shared" si="13"/>
        <v>5.1714933938342442</v>
      </c>
      <c r="S23" s="148">
        <f t="shared" si="14"/>
        <v>0.51714933938342444</v>
      </c>
      <c r="T23" s="148">
        <f t="shared" si="15"/>
        <v>5.1714933938342443E-2</v>
      </c>
      <c r="U23" s="148">
        <f t="shared" si="15"/>
        <v>5.1714933938342451</v>
      </c>
      <c r="V23" s="7">
        <f t="shared" si="16"/>
        <v>1000</v>
      </c>
      <c r="W23" s="7">
        <f t="shared" si="16"/>
        <v>1000000</v>
      </c>
      <c r="X23" s="1345">
        <f t="shared" si="17"/>
        <v>51.71493393834244</v>
      </c>
      <c r="Y23" s="1345">
        <f t="shared" si="17"/>
        <v>5171.4933938342447</v>
      </c>
    </row>
    <row r="24" spans="1:26" x14ac:dyDescent="0.2">
      <c r="A24" s="213" t="str">
        <f t="shared" si="0"/>
        <v>VNIIM</v>
      </c>
      <c r="B24" s="213"/>
      <c r="C24" s="219">
        <v>119.88800000000001</v>
      </c>
      <c r="D24" s="219">
        <v>4.5999999999999999E-2</v>
      </c>
      <c r="E24" s="219">
        <f t="shared" ref="E24:F24" si="28">B41</f>
        <v>120.3</v>
      </c>
      <c r="F24" s="219">
        <f t="shared" si="28"/>
        <v>0.21</v>
      </c>
      <c r="G24" s="219">
        <f t="shared" ref="G24" si="29">F41</f>
        <v>2.7E-2</v>
      </c>
      <c r="H24" s="219">
        <f t="shared" si="10"/>
        <v>0.52</v>
      </c>
      <c r="I24" s="155">
        <f t="shared" si="1"/>
        <v>0</v>
      </c>
      <c r="J24" s="155">
        <f t="shared" si="2"/>
        <v>0</v>
      </c>
      <c r="K24" s="155">
        <f t="shared" si="3"/>
        <v>0.42</v>
      </c>
      <c r="L24" s="155">
        <f t="shared" si="4"/>
        <v>10</v>
      </c>
      <c r="M24" s="156">
        <f t="shared" si="5"/>
        <v>0.3503269718403843</v>
      </c>
      <c r="N24" s="157">
        <f t="shared" si="11"/>
        <v>3.5032697184038432E-2</v>
      </c>
      <c r="O24" s="155">
        <f t="shared" si="12"/>
        <v>100</v>
      </c>
      <c r="P24" s="250">
        <v>1</v>
      </c>
      <c r="Q24" s="250">
        <v>1000</v>
      </c>
      <c r="R24" s="148">
        <f t="shared" si="13"/>
        <v>3.503269718403843</v>
      </c>
      <c r="S24" s="148">
        <f t="shared" si="14"/>
        <v>0.3503269718403843</v>
      </c>
      <c r="T24" s="148">
        <f t="shared" si="15"/>
        <v>3.5032697184038432E-2</v>
      </c>
      <c r="U24" s="148">
        <f t="shared" si="15"/>
        <v>3.503269718403843</v>
      </c>
      <c r="V24" s="7">
        <f t="shared" si="16"/>
        <v>1000</v>
      </c>
      <c r="W24" s="7">
        <f t="shared" si="16"/>
        <v>1000000</v>
      </c>
      <c r="X24" s="1345">
        <f t="shared" si="17"/>
        <v>35.032697184038433</v>
      </c>
      <c r="Y24" s="1345">
        <f t="shared" si="17"/>
        <v>3503.2697184038429</v>
      </c>
    </row>
    <row r="25" spans="1:26" x14ac:dyDescent="0.2">
      <c r="A25" s="213" t="str">
        <f t="shared" si="0"/>
        <v>NPL</v>
      </c>
      <c r="B25" s="213"/>
      <c r="C25" s="219">
        <v>119.88800000000001</v>
      </c>
      <c r="D25" s="219">
        <v>4.5999999999999999E-2</v>
      </c>
      <c r="E25" s="219">
        <f t="shared" ref="E25:F25" si="30">B42</f>
        <v>120.03</v>
      </c>
      <c r="F25" s="219">
        <f t="shared" si="30"/>
        <v>5.3999999999999999E-2</v>
      </c>
      <c r="G25" s="219">
        <f t="shared" ref="G25" si="31">F42</f>
        <v>-8.0000000000000002E-3</v>
      </c>
      <c r="H25" s="219">
        <f t="shared" si="10"/>
        <v>0.13200000000000001</v>
      </c>
      <c r="I25" s="155">
        <f t="shared" si="1"/>
        <v>0</v>
      </c>
      <c r="J25" s="155">
        <f t="shared" si="2"/>
        <v>0</v>
      </c>
      <c r="K25" s="155">
        <f t="shared" si="3"/>
        <v>0.108</v>
      </c>
      <c r="L25" s="155">
        <f t="shared" si="4"/>
        <v>10</v>
      </c>
      <c r="M25" s="156">
        <f t="shared" si="5"/>
        <v>9.008407847324168E-2</v>
      </c>
      <c r="N25" s="157">
        <f t="shared" si="11"/>
        <v>9.0084078473241687E-3</v>
      </c>
      <c r="O25" s="155">
        <f t="shared" si="12"/>
        <v>100</v>
      </c>
      <c r="P25" s="250">
        <v>1</v>
      </c>
      <c r="Q25" s="250">
        <v>1000</v>
      </c>
      <c r="R25" s="148">
        <f t="shared" si="13"/>
        <v>0.9008407847324168</v>
      </c>
      <c r="S25" s="148">
        <f t="shared" si="14"/>
        <v>9.008407847324168E-2</v>
      </c>
      <c r="T25" s="148">
        <f t="shared" si="15"/>
        <v>9.0084078473241687E-3</v>
      </c>
      <c r="U25" s="148">
        <f t="shared" si="15"/>
        <v>0.9008407847324168</v>
      </c>
      <c r="V25" s="7">
        <f t="shared" si="16"/>
        <v>1000</v>
      </c>
      <c r="W25" s="7">
        <f t="shared" si="16"/>
        <v>1000000</v>
      </c>
      <c r="X25" s="1345">
        <f t="shared" si="17"/>
        <v>9.0084078473241682</v>
      </c>
      <c r="Y25" s="1345">
        <f t="shared" si="17"/>
        <v>900.84078473241675</v>
      </c>
    </row>
    <row r="26" spans="1:26" x14ac:dyDescent="0.2">
      <c r="A26" s="213" t="str">
        <f t="shared" si="0"/>
        <v>NIM</v>
      </c>
      <c r="B26" s="213"/>
      <c r="C26" s="219">
        <v>119.88800000000001</v>
      </c>
      <c r="D26" s="219">
        <v>4.5999999999999999E-2</v>
      </c>
      <c r="E26" s="219">
        <f t="shared" ref="E26:F26" si="32">B43</f>
        <v>119.38</v>
      </c>
      <c r="F26" s="219">
        <f t="shared" si="32"/>
        <v>0.18</v>
      </c>
      <c r="G26" s="219">
        <f t="shared" ref="G26" si="33">F43</f>
        <v>-3.9E-2</v>
      </c>
      <c r="H26" s="219">
        <f t="shared" si="10"/>
        <v>0.37</v>
      </c>
      <c r="I26" s="155">
        <f t="shared" si="1"/>
        <v>0</v>
      </c>
      <c r="J26" s="155">
        <f t="shared" si="2"/>
        <v>0</v>
      </c>
      <c r="K26" s="155">
        <f t="shared" si="3"/>
        <v>0.36</v>
      </c>
      <c r="L26" s="155">
        <f t="shared" si="4"/>
        <v>10</v>
      </c>
      <c r="M26" s="156">
        <f t="shared" si="5"/>
        <v>0.30028026157747228</v>
      </c>
      <c r="N26" s="157">
        <f t="shared" si="11"/>
        <v>3.0028026157747228E-2</v>
      </c>
      <c r="O26" s="155">
        <f t="shared" si="12"/>
        <v>100</v>
      </c>
      <c r="P26" s="250">
        <v>1</v>
      </c>
      <c r="Q26" s="250">
        <v>1000</v>
      </c>
      <c r="R26" s="148">
        <f t="shared" si="13"/>
        <v>3.0028026157747227</v>
      </c>
      <c r="S26" s="148">
        <f t="shared" si="14"/>
        <v>0.30028026157747228</v>
      </c>
      <c r="T26" s="148">
        <f t="shared" si="15"/>
        <v>3.0028026157747228E-2</v>
      </c>
      <c r="U26" s="148">
        <f t="shared" si="15"/>
        <v>3.0028026157747227</v>
      </c>
      <c r="V26" s="7">
        <f t="shared" si="16"/>
        <v>1000</v>
      </c>
      <c r="W26" s="7">
        <f t="shared" si="16"/>
        <v>1000000</v>
      </c>
      <c r="X26" s="1345">
        <f t="shared" si="17"/>
        <v>30.028026157747227</v>
      </c>
      <c r="Y26" s="1345">
        <f t="shared" si="17"/>
        <v>3002.8026157747227</v>
      </c>
    </row>
    <row r="27" spans="1:26" x14ac:dyDescent="0.2">
      <c r="A27" s="213" t="str">
        <f t="shared" si="0"/>
        <v>CERI</v>
      </c>
      <c r="B27" s="213"/>
      <c r="C27" s="219">
        <v>119.88800000000001</v>
      </c>
      <c r="D27" s="219">
        <v>4.5999999999999999E-2</v>
      </c>
      <c r="E27" s="219">
        <f t="shared" ref="E27:F27" si="34">B44</f>
        <v>118.68</v>
      </c>
      <c r="F27" s="219">
        <f t="shared" si="34"/>
        <v>6.5000000000000002E-2</v>
      </c>
      <c r="G27" s="219">
        <f t="shared" ref="G27" si="35">F44</f>
        <v>-0.115</v>
      </c>
      <c r="H27" s="219">
        <f t="shared" si="10"/>
        <v>0.152</v>
      </c>
      <c r="I27" s="155">
        <f t="shared" si="1"/>
        <v>0</v>
      </c>
      <c r="J27" s="155">
        <f t="shared" si="2"/>
        <v>0</v>
      </c>
      <c r="K27" s="155">
        <f t="shared" si="3"/>
        <v>0.13</v>
      </c>
      <c r="L27" s="155">
        <f t="shared" si="4"/>
        <v>10</v>
      </c>
      <c r="M27" s="156">
        <f t="shared" si="5"/>
        <v>0.10843453890297611</v>
      </c>
      <c r="N27" s="157">
        <f t="shared" si="11"/>
        <v>1.0843453890297611E-2</v>
      </c>
      <c r="O27" s="155">
        <f t="shared" si="12"/>
        <v>100</v>
      </c>
      <c r="P27" s="250">
        <v>1</v>
      </c>
      <c r="Q27" s="250">
        <v>1000</v>
      </c>
      <c r="R27" s="148">
        <f t="shared" si="13"/>
        <v>1.0843453890297612</v>
      </c>
      <c r="S27" s="148">
        <f t="shared" si="14"/>
        <v>0.10843453890297611</v>
      </c>
      <c r="T27" s="148">
        <f t="shared" si="15"/>
        <v>1.0843453890297613E-2</v>
      </c>
      <c r="U27" s="148">
        <f t="shared" si="15"/>
        <v>1.084345389029761</v>
      </c>
      <c r="V27" s="7">
        <f t="shared" si="16"/>
        <v>1000</v>
      </c>
      <c r="W27" s="7">
        <f t="shared" si="16"/>
        <v>1000000</v>
      </c>
      <c r="X27" s="1345">
        <f t="shared" si="17"/>
        <v>10.843453890297614</v>
      </c>
      <c r="Y27" s="1345">
        <f t="shared" si="17"/>
        <v>1084.345389029761</v>
      </c>
    </row>
    <row r="28" spans="1:26" x14ac:dyDescent="0.2">
      <c r="A28" s="213" t="str">
        <f t="shared" si="0"/>
        <v>KRISS</v>
      </c>
      <c r="B28" s="213"/>
      <c r="C28" s="219">
        <v>119.88800000000001</v>
      </c>
      <c r="D28" s="219">
        <v>4.5999999999999999E-2</v>
      </c>
      <c r="E28" s="219">
        <f t="shared" ref="E28:F28" si="36">B45</f>
        <v>119.87</v>
      </c>
      <c r="F28" s="219">
        <f t="shared" si="36"/>
        <v>0.13</v>
      </c>
      <c r="G28" s="219">
        <f t="shared" ref="G28" si="37">F45</f>
        <v>-0.28699999999999998</v>
      </c>
      <c r="H28" s="219">
        <f t="shared" si="10"/>
        <v>0.27400000000000002</v>
      </c>
      <c r="I28" s="155">
        <f t="shared" si="1"/>
        <v>1</v>
      </c>
      <c r="J28" s="155">
        <f t="shared" si="2"/>
        <v>1.8000000000000682E-2</v>
      </c>
      <c r="K28" s="155">
        <f t="shared" si="3"/>
        <v>0.26248047546436687</v>
      </c>
      <c r="L28" s="155">
        <f t="shared" si="4"/>
        <v>10</v>
      </c>
      <c r="M28" s="156">
        <f t="shared" si="5"/>
        <v>0.2189380717539427</v>
      </c>
      <c r="N28" s="157">
        <f t="shared" si="11"/>
        <v>2.189380717539427E-2</v>
      </c>
      <c r="O28" s="155">
        <f t="shared" si="12"/>
        <v>100</v>
      </c>
      <c r="P28" s="250">
        <v>1</v>
      </c>
      <c r="Q28" s="250">
        <v>1000</v>
      </c>
      <c r="R28" s="148">
        <f t="shared" si="13"/>
        <v>2.1893807175394269</v>
      </c>
      <c r="S28" s="148">
        <f t="shared" si="14"/>
        <v>0.2189380717539427</v>
      </c>
      <c r="T28" s="148">
        <f t="shared" si="15"/>
        <v>2.189380717539427E-2</v>
      </c>
      <c r="U28" s="148">
        <f t="shared" si="15"/>
        <v>2.1893807175394269</v>
      </c>
      <c r="V28" s="7">
        <f t="shared" si="16"/>
        <v>1000</v>
      </c>
      <c r="W28" s="7">
        <f t="shared" si="16"/>
        <v>1000000</v>
      </c>
      <c r="X28" s="1345">
        <f t="shared" si="17"/>
        <v>21.893807175394269</v>
      </c>
      <c r="Y28" s="1345">
        <f t="shared" si="17"/>
        <v>2189.3807175394268</v>
      </c>
    </row>
    <row r="29" spans="1:26" x14ac:dyDescent="0.2">
      <c r="A29" s="213" t="str">
        <f t="shared" si="0"/>
        <v>MKEH</v>
      </c>
      <c r="B29" s="213"/>
      <c r="C29" s="219">
        <v>119.88800000000001</v>
      </c>
      <c r="D29" s="219">
        <v>4.5999999999999999E-2</v>
      </c>
      <c r="E29" s="219">
        <f t="shared" ref="E29:F29" si="38">B46</f>
        <v>120.03</v>
      </c>
      <c r="F29" s="219">
        <f t="shared" si="38"/>
        <v>0.6</v>
      </c>
      <c r="G29" s="219">
        <f t="shared" ref="G29" si="39">F46</f>
        <v>-0.40100000000000002</v>
      </c>
      <c r="H29" s="219">
        <f t="shared" si="10"/>
        <v>1.198</v>
      </c>
      <c r="I29" s="155">
        <f t="shared" si="1"/>
        <v>0</v>
      </c>
      <c r="J29" s="155">
        <f t="shared" si="2"/>
        <v>0</v>
      </c>
      <c r="K29" s="155">
        <f t="shared" si="3"/>
        <v>1.2</v>
      </c>
      <c r="L29" s="155">
        <f t="shared" si="4"/>
        <v>10</v>
      </c>
      <c r="M29" s="156">
        <f t="shared" si="5"/>
        <v>1.0009342052582411</v>
      </c>
      <c r="N29" s="157">
        <f t="shared" si="11"/>
        <v>0.10009342052582411</v>
      </c>
      <c r="O29" s="155">
        <f t="shared" si="12"/>
        <v>100</v>
      </c>
      <c r="P29" s="250">
        <v>1</v>
      </c>
      <c r="Q29" s="250">
        <v>1000</v>
      </c>
      <c r="R29" s="148">
        <f t="shared" si="13"/>
        <v>10.009342052582411</v>
      </c>
      <c r="S29" s="148">
        <f t="shared" si="14"/>
        <v>1.0009342052582411</v>
      </c>
      <c r="T29" s="148">
        <f t="shared" si="15"/>
        <v>0.10009342052582412</v>
      </c>
      <c r="U29" s="148">
        <f t="shared" si="15"/>
        <v>10.00934205258241</v>
      </c>
      <c r="V29" s="7">
        <f t="shared" si="16"/>
        <v>1000</v>
      </c>
      <c r="W29" s="7">
        <f t="shared" si="16"/>
        <v>1000000</v>
      </c>
      <c r="X29" s="1345">
        <f t="shared" si="17"/>
        <v>100.09342052582413</v>
      </c>
      <c r="Y29" s="1345">
        <f t="shared" si="17"/>
        <v>10009.342052582409</v>
      </c>
    </row>
    <row r="30" spans="1:26" ht="14.25" x14ac:dyDescent="0.2">
      <c r="H30" s="9"/>
      <c r="U30" s="152"/>
      <c r="V30" s="21"/>
      <c r="W30" s="21"/>
      <c r="X30" s="21"/>
      <c r="Y30" s="21"/>
      <c r="Z30" s="21"/>
    </row>
    <row r="31" spans="1:26" ht="14.25" x14ac:dyDescent="0.2">
      <c r="H31" s="9"/>
      <c r="U31" s="152"/>
      <c r="V31" s="21"/>
      <c r="W31" s="21"/>
      <c r="X31" s="21"/>
      <c r="Y31" s="21"/>
      <c r="Z31" s="21"/>
    </row>
    <row r="32" spans="1:26" ht="14.25" x14ac:dyDescent="0.2">
      <c r="H32" s="9"/>
      <c r="V32" s="21"/>
      <c r="W32" s="21"/>
      <c r="X32" s="21"/>
      <c r="Y32" s="21"/>
      <c r="Z32" s="21"/>
    </row>
    <row r="33" spans="1:26" s="227" customFormat="1" ht="52.5" x14ac:dyDescent="0.2">
      <c r="A33" s="888" t="s">
        <v>987</v>
      </c>
      <c r="B33" s="504" t="s">
        <v>988</v>
      </c>
      <c r="C33" s="505" t="s">
        <v>989</v>
      </c>
      <c r="D33" s="504" t="s">
        <v>990</v>
      </c>
      <c r="E33" s="889" t="s">
        <v>991</v>
      </c>
      <c r="F33" s="504" t="s">
        <v>992</v>
      </c>
      <c r="G33" s="505" t="s">
        <v>993</v>
      </c>
    </row>
    <row r="34" spans="1:26" s="227" customFormat="1" x14ac:dyDescent="0.2">
      <c r="A34" s="890" t="s">
        <v>994</v>
      </c>
      <c r="B34" s="891">
        <v>120.89</v>
      </c>
      <c r="C34" s="892">
        <v>0.6</v>
      </c>
      <c r="D34" s="893">
        <v>1.0009999999999999</v>
      </c>
      <c r="E34" s="894">
        <v>120.764</v>
      </c>
      <c r="F34" s="895">
        <v>0.876</v>
      </c>
      <c r="G34" s="895">
        <v>0.60499999999999998</v>
      </c>
    </row>
    <row r="35" spans="1:26" s="227" customFormat="1" ht="25.5" x14ac:dyDescent="0.2">
      <c r="A35" s="896" t="s">
        <v>995</v>
      </c>
      <c r="B35" s="897">
        <v>119.693</v>
      </c>
      <c r="C35" s="898">
        <v>0.12</v>
      </c>
      <c r="D35" s="899">
        <v>0.99199999999999999</v>
      </c>
      <c r="E35" s="900">
        <v>120.658</v>
      </c>
      <c r="F35" s="897">
        <v>0.77</v>
      </c>
      <c r="G35" s="897">
        <v>0.127</v>
      </c>
    </row>
    <row r="36" spans="1:26" s="227" customFormat="1" ht="25.5" x14ac:dyDescent="0.2">
      <c r="A36" s="901" t="s">
        <v>159</v>
      </c>
      <c r="B36" s="902">
        <v>120.08</v>
      </c>
      <c r="C36" s="898">
        <v>0.4</v>
      </c>
      <c r="D36" s="899">
        <v>0.99539999999999995</v>
      </c>
      <c r="E36" s="900">
        <v>120.633</v>
      </c>
      <c r="F36" s="897">
        <v>0.745</v>
      </c>
      <c r="G36" s="897">
        <v>0.41199999999999998</v>
      </c>
    </row>
    <row r="37" spans="1:26" s="227" customFormat="1" x14ac:dyDescent="0.2">
      <c r="A37" s="903" t="s">
        <v>166</v>
      </c>
      <c r="B37" s="902">
        <v>119.49</v>
      </c>
      <c r="C37" s="898">
        <v>0.2</v>
      </c>
      <c r="D37" s="899">
        <v>0.99129999999999996</v>
      </c>
      <c r="E37" s="900">
        <v>120.54</v>
      </c>
      <c r="F37" s="897">
        <v>0.65100000000000002</v>
      </c>
      <c r="G37" s="897">
        <v>0.20499999999999999</v>
      </c>
    </row>
    <row r="38" spans="1:26" s="227" customFormat="1" x14ac:dyDescent="0.2">
      <c r="A38" s="903" t="s">
        <v>996</v>
      </c>
      <c r="B38" s="902">
        <v>120.72</v>
      </c>
      <c r="C38" s="898">
        <v>0.43</v>
      </c>
      <c r="D38" s="899">
        <v>1.0028999999999999</v>
      </c>
      <c r="E38" s="900">
        <v>120.369</v>
      </c>
      <c r="F38" s="897">
        <v>0.48099999999999998</v>
      </c>
      <c r="G38" s="897">
        <v>0.435</v>
      </c>
    </row>
    <row r="39" spans="1:26" s="227" customFormat="1" ht="38.1" customHeight="1" x14ac:dyDescent="0.2">
      <c r="A39" s="903" t="s">
        <v>156</v>
      </c>
      <c r="B39" s="902">
        <v>119.31</v>
      </c>
      <c r="C39" s="898">
        <v>0.12</v>
      </c>
      <c r="D39" s="899">
        <v>0.99380000000000002</v>
      </c>
      <c r="E39" s="900">
        <v>120.05</v>
      </c>
      <c r="F39" s="897">
        <v>0.16200000000000001</v>
      </c>
      <c r="G39" s="897">
        <v>0.127</v>
      </c>
    </row>
    <row r="40" spans="1:26" s="227" customFormat="1" ht="12.95" customHeight="1" x14ac:dyDescent="0.2">
      <c r="A40" s="903" t="s">
        <v>162</v>
      </c>
      <c r="B40" s="902">
        <v>121.29</v>
      </c>
      <c r="C40" s="898">
        <v>0.31</v>
      </c>
      <c r="D40" s="899">
        <v>1.0108999999999999</v>
      </c>
      <c r="E40" s="900">
        <v>119.98</v>
      </c>
      <c r="F40" s="897">
        <v>9.1999999999999998E-2</v>
      </c>
      <c r="G40" s="897">
        <v>0.28999999999999998</v>
      </c>
    </row>
    <row r="41" spans="1:26" s="227" customFormat="1" ht="12" customHeight="1" x14ac:dyDescent="0.2">
      <c r="A41" s="901" t="s">
        <v>161</v>
      </c>
      <c r="B41" s="902">
        <v>120.3</v>
      </c>
      <c r="C41" s="898">
        <v>0.21</v>
      </c>
      <c r="D41" s="899">
        <v>1.0032000000000001</v>
      </c>
      <c r="E41" s="900">
        <v>119.91500000000001</v>
      </c>
      <c r="F41" s="897">
        <v>2.7E-2</v>
      </c>
      <c r="G41" s="897">
        <v>0.26</v>
      </c>
    </row>
    <row r="42" spans="1:26" s="227" customFormat="1" ht="12" customHeight="1" x14ac:dyDescent="0.2">
      <c r="A42" s="903" t="s">
        <v>160</v>
      </c>
      <c r="B42" s="902">
        <v>120.03</v>
      </c>
      <c r="C42" s="900">
        <v>5.3999999999999999E-2</v>
      </c>
      <c r="D42" s="899">
        <v>1.0013000000000001</v>
      </c>
      <c r="E42" s="900">
        <v>119.88</v>
      </c>
      <c r="F42" s="903">
        <v>-8.0000000000000002E-3</v>
      </c>
      <c r="G42" s="897">
        <v>6.6000000000000003E-2</v>
      </c>
    </row>
    <row r="43" spans="1:26" s="227" customFormat="1" ht="12" customHeight="1" x14ac:dyDescent="0.2">
      <c r="A43" s="903" t="s">
        <v>157</v>
      </c>
      <c r="B43" s="902">
        <v>119.38</v>
      </c>
      <c r="C43" s="898">
        <v>0.18</v>
      </c>
      <c r="D43" s="899">
        <v>0.99609999999999999</v>
      </c>
      <c r="E43" s="900">
        <v>119.849</v>
      </c>
      <c r="F43" s="903">
        <v>-3.9E-2</v>
      </c>
      <c r="G43" s="897">
        <v>0.185</v>
      </c>
    </row>
    <row r="44" spans="1:26" s="227" customFormat="1" ht="12" customHeight="1" x14ac:dyDescent="0.2">
      <c r="A44" s="903" t="s">
        <v>153</v>
      </c>
      <c r="B44" s="902">
        <v>118.68</v>
      </c>
      <c r="C44" s="900">
        <v>6.5000000000000002E-2</v>
      </c>
      <c r="D44" s="899">
        <v>0.9909</v>
      </c>
      <c r="E44" s="900">
        <v>119.773</v>
      </c>
      <c r="F44" s="903">
        <v>-0.115</v>
      </c>
      <c r="G44" s="897">
        <v>7.5999999999999998E-2</v>
      </c>
    </row>
    <row r="45" spans="1:26" s="227" customFormat="1" ht="12" customHeight="1" x14ac:dyDescent="0.2">
      <c r="A45" s="904" t="s">
        <v>155</v>
      </c>
      <c r="B45" s="902">
        <v>119.87</v>
      </c>
      <c r="C45" s="898">
        <v>0.13</v>
      </c>
      <c r="D45" s="899">
        <v>1.0023</v>
      </c>
      <c r="E45" s="900">
        <v>119.601</v>
      </c>
      <c r="F45" s="903">
        <v>-0.28699999999999998</v>
      </c>
      <c r="G45" s="897">
        <v>0.13700000000000001</v>
      </c>
    </row>
    <row r="46" spans="1:26" s="227" customFormat="1" ht="12" customHeight="1" x14ac:dyDescent="0.2">
      <c r="A46" s="905" t="s">
        <v>997</v>
      </c>
      <c r="B46" s="906">
        <v>120.03</v>
      </c>
      <c r="C46" s="907">
        <v>0.6</v>
      </c>
      <c r="D46" s="908">
        <v>1.0044999999999999</v>
      </c>
      <c r="E46" s="909">
        <v>119.48699999999999</v>
      </c>
      <c r="F46" s="910">
        <v>-0.40100000000000002</v>
      </c>
      <c r="G46" s="911">
        <v>0.59899999999999998</v>
      </c>
    </row>
    <row r="47" spans="1:26" ht="14.25" x14ac:dyDescent="0.2">
      <c r="H47" s="9"/>
      <c r="X47" s="21"/>
      <c r="Y47" s="21"/>
      <c r="Z47" s="21"/>
    </row>
    <row r="48" spans="1:26" ht="14.25" x14ac:dyDescent="0.2">
      <c r="H48" s="9"/>
      <c r="X48" s="21"/>
      <c r="Y48" s="21"/>
      <c r="Z48" s="21"/>
    </row>
    <row r="49" spans="8:26" ht="14.25" x14ac:dyDescent="0.2">
      <c r="H49" s="9"/>
      <c r="X49" s="21"/>
      <c r="Y49" s="21"/>
      <c r="Z49" s="21"/>
    </row>
    <row r="50" spans="8:26" ht="14.25" x14ac:dyDescent="0.2">
      <c r="H50" s="9"/>
      <c r="X50" s="21"/>
      <c r="Y50" s="21"/>
      <c r="Z50" s="21"/>
    </row>
    <row r="51" spans="8:26" ht="14.25" x14ac:dyDescent="0.2">
      <c r="H51" s="9"/>
      <c r="X51" s="21"/>
      <c r="Y51" s="21"/>
      <c r="Z51" s="21"/>
    </row>
    <row r="52" spans="8:26" ht="14.25" x14ac:dyDescent="0.2">
      <c r="H52" s="9"/>
      <c r="X52" s="21"/>
      <c r="Y52" s="21"/>
      <c r="Z52" s="21"/>
    </row>
    <row r="53" spans="8:26" ht="14.25" x14ac:dyDescent="0.2">
      <c r="H53" s="9"/>
      <c r="X53" s="21"/>
      <c r="Y53" s="21"/>
      <c r="Z53" s="21"/>
    </row>
    <row r="54" spans="8:26" ht="14.25" x14ac:dyDescent="0.2">
      <c r="H54" s="9"/>
      <c r="X54" s="21"/>
      <c r="Y54" s="21"/>
      <c r="Z54" s="21"/>
    </row>
    <row r="55" spans="8:26" ht="14.25" x14ac:dyDescent="0.2">
      <c r="H55" s="9"/>
      <c r="X55" s="21"/>
      <c r="Y55" s="21"/>
      <c r="Z55" s="21"/>
    </row>
    <row r="56" spans="8:26" ht="14.25" x14ac:dyDescent="0.2">
      <c r="H56" s="9"/>
      <c r="X56" s="21"/>
      <c r="Y56" s="21"/>
      <c r="Z56" s="21"/>
    </row>
    <row r="57" spans="8:26" ht="14.25" x14ac:dyDescent="0.2">
      <c r="H57" s="9"/>
      <c r="X57" s="21"/>
      <c r="Y57" s="21"/>
      <c r="Z57" s="21"/>
    </row>
    <row r="58" spans="8:26" ht="14.25" x14ac:dyDescent="0.2">
      <c r="H58" s="9"/>
      <c r="X58" s="21"/>
      <c r="Y58" s="21"/>
      <c r="Z58" s="21"/>
    </row>
    <row r="59" spans="8:26" ht="14.25" x14ac:dyDescent="0.2">
      <c r="H59" s="9"/>
      <c r="U59" s="152"/>
      <c r="V59" s="21"/>
      <c r="W59" s="21"/>
      <c r="X59" s="21"/>
      <c r="Y59" s="21"/>
      <c r="Z59" s="21"/>
    </row>
    <row r="60" spans="8:26" ht="14.25" x14ac:dyDescent="0.2">
      <c r="H60" s="9"/>
      <c r="U60" s="152"/>
      <c r="V60" s="21"/>
      <c r="W60" s="21"/>
      <c r="X60" s="21"/>
      <c r="Y60" s="21"/>
      <c r="Z60" s="21"/>
    </row>
    <row r="61" spans="8:26" ht="14.25" x14ac:dyDescent="0.2">
      <c r="H61" s="9"/>
      <c r="U61" s="152"/>
      <c r="V61" s="21"/>
      <c r="W61" s="21"/>
      <c r="X61" s="21"/>
      <c r="Y61" s="21"/>
      <c r="Z61" s="21"/>
    </row>
    <row r="62" spans="8:26" ht="14.25" x14ac:dyDescent="0.2">
      <c r="H62" s="9"/>
      <c r="U62" s="152"/>
      <c r="V62" s="21"/>
      <c r="W62" s="21"/>
      <c r="X62" s="21"/>
      <c r="Y62" s="21"/>
      <c r="Z62" s="21"/>
    </row>
    <row r="63" spans="8:26" ht="14.25" x14ac:dyDescent="0.2">
      <c r="H63" s="9"/>
      <c r="U63" s="152"/>
      <c r="V63" s="21"/>
      <c r="W63" s="21"/>
      <c r="X63" s="21"/>
      <c r="Y63" s="21"/>
      <c r="Z63" s="21"/>
    </row>
    <row r="64" spans="8:26" ht="14.25" x14ac:dyDescent="0.2">
      <c r="H64" s="9"/>
      <c r="U64" s="152"/>
      <c r="V64" s="21"/>
      <c r="W64" s="21"/>
      <c r="X64" s="21"/>
      <c r="Y64" s="21"/>
      <c r="Z64" s="21"/>
    </row>
    <row r="65" spans="8:26" ht="14.25" x14ac:dyDescent="0.2">
      <c r="H65" s="9"/>
      <c r="U65" s="152"/>
      <c r="V65" s="21"/>
      <c r="W65" s="21"/>
      <c r="X65" s="21"/>
      <c r="Y65" s="21"/>
      <c r="Z65" s="21"/>
    </row>
    <row r="66" spans="8:26" ht="14.25" x14ac:dyDescent="0.2">
      <c r="H66" s="9"/>
      <c r="U66" s="152"/>
      <c r="V66" s="21"/>
      <c r="W66" s="21"/>
      <c r="X66" s="21"/>
      <c r="Y66" s="21"/>
      <c r="Z66" s="21"/>
    </row>
    <row r="67" spans="8:26" ht="14.25" x14ac:dyDescent="0.2">
      <c r="H67" s="9"/>
      <c r="U67" s="152"/>
      <c r="V67" s="21"/>
      <c r="W67" s="21"/>
      <c r="X67" s="21"/>
      <c r="Y67" s="21"/>
      <c r="Z67" s="21"/>
    </row>
    <row r="68" spans="8:26" ht="14.25" x14ac:dyDescent="0.2">
      <c r="H68" s="9"/>
      <c r="U68" s="152"/>
      <c r="V68" s="21"/>
      <c r="W68" s="21"/>
      <c r="X68" s="21"/>
      <c r="Y68" s="21"/>
      <c r="Z68" s="21"/>
    </row>
    <row r="69" spans="8:26" ht="14.25" x14ac:dyDescent="0.2">
      <c r="H69" s="9"/>
      <c r="U69" s="152"/>
      <c r="V69" s="21"/>
      <c r="W69" s="21"/>
      <c r="X69" s="21"/>
      <c r="Y69" s="21"/>
      <c r="Z69" s="21"/>
    </row>
    <row r="70" spans="8:26" ht="14.25" x14ac:dyDescent="0.2">
      <c r="H70" s="9"/>
      <c r="U70" s="152"/>
      <c r="V70" s="21"/>
      <c r="W70" s="21"/>
      <c r="X70" s="21"/>
      <c r="Y70" s="21"/>
      <c r="Z70" s="21"/>
    </row>
    <row r="71" spans="8:26" ht="14.25" x14ac:dyDescent="0.2">
      <c r="H71" s="9"/>
      <c r="U71" s="152"/>
      <c r="V71" s="21"/>
      <c r="W71" s="21"/>
      <c r="X71" s="21"/>
      <c r="Y71" s="21"/>
      <c r="Z71" s="21"/>
    </row>
    <row r="72" spans="8:26" ht="14.25" x14ac:dyDescent="0.2">
      <c r="H72" s="9"/>
      <c r="U72" s="152"/>
      <c r="V72" s="21"/>
      <c r="W72" s="21"/>
      <c r="X72" s="21"/>
      <c r="Y72" s="21"/>
      <c r="Z72" s="21"/>
    </row>
    <row r="73" spans="8:26" ht="14.25" x14ac:dyDescent="0.2">
      <c r="H73" s="9"/>
      <c r="U73" s="152"/>
      <c r="V73" s="21"/>
      <c r="W73" s="21"/>
      <c r="X73" s="21"/>
      <c r="Y73" s="21"/>
      <c r="Z73" s="21"/>
    </row>
    <row r="74" spans="8:26" ht="14.25" x14ac:dyDescent="0.2">
      <c r="H74" s="9"/>
      <c r="U74" s="152"/>
      <c r="V74" s="21"/>
      <c r="W74" s="21"/>
      <c r="X74" s="21"/>
      <c r="Y74" s="21"/>
      <c r="Z74" s="21"/>
    </row>
    <row r="75" spans="8:26" ht="14.25" x14ac:dyDescent="0.2">
      <c r="H75" s="9"/>
      <c r="U75" s="152"/>
      <c r="V75" s="21"/>
      <c r="W75" s="21"/>
      <c r="X75" s="21"/>
      <c r="Y75" s="21"/>
      <c r="Z75" s="21"/>
    </row>
    <row r="76" spans="8:26" ht="14.25" x14ac:dyDescent="0.2">
      <c r="H76" s="9"/>
      <c r="U76" s="152"/>
      <c r="V76" s="21"/>
      <c r="W76" s="21"/>
      <c r="X76" s="21"/>
      <c r="Y76" s="21"/>
      <c r="Z76" s="21"/>
    </row>
    <row r="77" spans="8:26" ht="14.25" x14ac:dyDescent="0.2">
      <c r="U77" s="152"/>
      <c r="V77" s="21"/>
      <c r="W77" s="21"/>
      <c r="X77" s="21"/>
      <c r="Y77" s="21"/>
      <c r="Z77" s="21"/>
    </row>
    <row r="78" spans="8:26" ht="14.25" x14ac:dyDescent="0.2">
      <c r="H78" s="9"/>
      <c r="U78" s="152"/>
      <c r="V78" s="21"/>
      <c r="W78" s="21"/>
      <c r="X78" s="21"/>
      <c r="Y78" s="21"/>
      <c r="Z78" s="21"/>
    </row>
    <row r="79" spans="8:26" ht="14.25" x14ac:dyDescent="0.2">
      <c r="H79" s="9"/>
      <c r="U79" s="152"/>
      <c r="V79" s="21"/>
      <c r="W79" s="21"/>
      <c r="X79" s="21"/>
      <c r="Y79" s="21"/>
      <c r="Z79" s="21"/>
    </row>
    <row r="80" spans="8:26" ht="14.25" x14ac:dyDescent="0.2">
      <c r="H80" s="9"/>
      <c r="U80" s="152"/>
      <c r="V80" s="21"/>
      <c r="W80" s="21"/>
      <c r="X80" s="21"/>
      <c r="Y80" s="21"/>
      <c r="Z80" s="21"/>
    </row>
    <row r="81" spans="1:26" ht="14.25" x14ac:dyDescent="0.2">
      <c r="H81" s="9"/>
      <c r="U81" s="152"/>
      <c r="V81" s="21"/>
      <c r="W81" s="21"/>
      <c r="X81" s="21"/>
      <c r="Y81" s="21"/>
      <c r="Z81" s="21"/>
    </row>
    <row r="82" spans="1:26" ht="14.25" x14ac:dyDescent="0.2">
      <c r="H82" s="9"/>
      <c r="U82" s="152"/>
      <c r="V82" s="21"/>
      <c r="W82" s="21"/>
      <c r="X82" s="21"/>
      <c r="Y82" s="21"/>
      <c r="Z82" s="21"/>
    </row>
    <row r="83" spans="1:26" ht="14.25" x14ac:dyDescent="0.2">
      <c r="H83" s="9"/>
      <c r="U83" s="152"/>
      <c r="V83" s="21"/>
      <c r="W83" s="21"/>
      <c r="X83" s="21"/>
      <c r="Y83" s="21"/>
      <c r="Z83" s="21"/>
    </row>
    <row r="84" spans="1:26" ht="14.25" x14ac:dyDescent="0.2">
      <c r="U84" s="152"/>
      <c r="V84" s="21"/>
      <c r="W84" s="21"/>
      <c r="X84" s="21"/>
      <c r="Y84" s="21"/>
      <c r="Z84" s="21"/>
    </row>
    <row r="85" spans="1:26" ht="14.25" x14ac:dyDescent="0.2">
      <c r="U85" s="152"/>
      <c r="V85" s="21"/>
      <c r="W85" s="21"/>
      <c r="X85" s="21"/>
      <c r="Y85" s="21"/>
      <c r="Z85" s="21"/>
    </row>
    <row r="86" spans="1:26" ht="14.25" x14ac:dyDescent="0.2">
      <c r="U86" s="152"/>
      <c r="V86" s="21"/>
      <c r="W86" s="21"/>
      <c r="X86" s="21"/>
      <c r="Y86" s="21"/>
      <c r="Z86" s="21"/>
    </row>
    <row r="87" spans="1:26" ht="14.25" x14ac:dyDescent="0.2">
      <c r="U87" s="152"/>
      <c r="V87" s="21"/>
      <c r="W87" s="21"/>
      <c r="X87" s="21"/>
      <c r="Y87" s="21"/>
      <c r="Z87" s="21"/>
    </row>
    <row r="88" spans="1:26" ht="14.25" x14ac:dyDescent="0.2">
      <c r="U88" s="152"/>
      <c r="V88" s="21"/>
      <c r="W88" s="21"/>
      <c r="X88" s="21"/>
      <c r="Y88" s="21"/>
      <c r="Z88" s="21"/>
    </row>
    <row r="89" spans="1:26" ht="14.25" x14ac:dyDescent="0.2">
      <c r="U89" s="152"/>
      <c r="V89" s="21"/>
      <c r="W89" s="21"/>
      <c r="X89" s="21"/>
      <c r="Y89" s="21"/>
      <c r="Z89" s="21"/>
    </row>
    <row r="90" spans="1:26" ht="14.25" x14ac:dyDescent="0.2">
      <c r="A90" s="23"/>
      <c r="B90" s="23"/>
      <c r="C90" s="23"/>
      <c r="D90" s="23"/>
      <c r="T90" s="151"/>
      <c r="U90" s="152"/>
      <c r="V90" s="21"/>
      <c r="W90" s="21"/>
      <c r="X90" s="21"/>
      <c r="Y90" s="21"/>
      <c r="Z90" s="21"/>
    </row>
    <row r="91" spans="1:26" ht="14.25" x14ac:dyDescent="0.2">
      <c r="T91" s="151"/>
      <c r="U91" s="152"/>
      <c r="V91" s="21"/>
      <c r="W91" s="21"/>
      <c r="X91" s="21"/>
      <c r="Y91" s="21"/>
      <c r="Z91" s="21"/>
    </row>
    <row r="92" spans="1:26" ht="14.25" x14ac:dyDescent="0.2">
      <c r="T92" s="151"/>
      <c r="U92" s="152"/>
      <c r="V92" s="21"/>
      <c r="W92" s="21"/>
      <c r="X92" s="21"/>
      <c r="Y92" s="21"/>
      <c r="Z92" s="21"/>
    </row>
    <row r="93" spans="1:26" ht="14.25" x14ac:dyDescent="0.2">
      <c r="T93" s="151"/>
      <c r="U93" s="152"/>
      <c r="V93" s="21"/>
      <c r="W93" s="21"/>
      <c r="X93" s="21"/>
      <c r="Y93" s="21"/>
      <c r="Z93" s="21"/>
    </row>
    <row r="94" spans="1:26" ht="14.25" x14ac:dyDescent="0.2">
      <c r="T94" s="151"/>
      <c r="U94" s="152"/>
      <c r="V94" s="21"/>
      <c r="W94" s="21"/>
      <c r="X94" s="21"/>
      <c r="Y94" s="21"/>
      <c r="Z94" s="21"/>
    </row>
    <row r="95" spans="1:26" ht="14.25" x14ac:dyDescent="0.2">
      <c r="T95" s="151"/>
      <c r="U95" s="152"/>
      <c r="V95" s="21"/>
      <c r="W95" s="21"/>
      <c r="X95" s="21"/>
      <c r="Y95" s="21"/>
      <c r="Z95" s="21"/>
    </row>
    <row r="96" spans="1:26" ht="14.25" x14ac:dyDescent="0.2">
      <c r="T96" s="151"/>
      <c r="U96" s="152"/>
      <c r="V96" s="21"/>
      <c r="W96" s="21"/>
      <c r="X96" s="21"/>
      <c r="Y96" s="21"/>
      <c r="Z96" s="21"/>
    </row>
    <row r="97" spans="1:26" ht="14.25" x14ac:dyDescent="0.2">
      <c r="T97" s="151"/>
      <c r="U97" s="152"/>
      <c r="V97" s="21"/>
      <c r="W97" s="21"/>
      <c r="X97" s="21"/>
      <c r="Y97" s="21"/>
      <c r="Z97" s="21"/>
    </row>
    <row r="98" spans="1:26" ht="14.25" x14ac:dyDescent="0.2">
      <c r="T98" s="151"/>
      <c r="U98" s="152"/>
      <c r="V98" s="21"/>
      <c r="W98" s="21"/>
      <c r="X98" s="21"/>
      <c r="Y98" s="21"/>
      <c r="Z98" s="21"/>
    </row>
    <row r="99" spans="1:26" ht="14.25" x14ac:dyDescent="0.2">
      <c r="T99" s="151"/>
      <c r="U99" s="152"/>
      <c r="V99" s="21"/>
      <c r="W99" s="21"/>
      <c r="X99" s="21"/>
      <c r="Y99" s="21"/>
      <c r="Z99" s="21"/>
    </row>
    <row r="100" spans="1:26" ht="14.25" x14ac:dyDescent="0.2">
      <c r="T100" s="151"/>
      <c r="U100" s="152"/>
      <c r="V100" s="21"/>
      <c r="W100" s="21"/>
      <c r="X100" s="21"/>
      <c r="Y100" s="21"/>
      <c r="Z100" s="21"/>
    </row>
    <row r="101" spans="1:26" ht="14.25" x14ac:dyDescent="0.2">
      <c r="T101" s="151"/>
      <c r="U101" s="152"/>
      <c r="V101" s="21"/>
      <c r="W101" s="21"/>
      <c r="X101" s="21"/>
      <c r="Y101" s="21"/>
      <c r="Z101" s="21"/>
    </row>
    <row r="102" spans="1:26" ht="14.25" x14ac:dyDescent="0.2">
      <c r="T102" s="151"/>
      <c r="U102" s="152"/>
      <c r="V102" s="21"/>
      <c r="W102" s="21"/>
      <c r="X102" s="21"/>
      <c r="Y102" s="21"/>
      <c r="Z102" s="21"/>
    </row>
    <row r="103" spans="1:26" ht="14.25" x14ac:dyDescent="0.2">
      <c r="A103" s="23"/>
      <c r="B103" s="23"/>
      <c r="C103" s="23"/>
      <c r="D103" s="23"/>
      <c r="T103" s="151"/>
      <c r="U103" s="152"/>
      <c r="V103" s="21"/>
      <c r="W103" s="21"/>
      <c r="X103" s="21"/>
      <c r="Y103" s="21"/>
      <c r="Z103" s="21"/>
    </row>
    <row r="104" spans="1:26" ht="14.25" x14ac:dyDescent="0.2">
      <c r="A104" s="23"/>
      <c r="B104" s="23"/>
      <c r="C104" s="23"/>
      <c r="D104" s="23"/>
      <c r="T104" s="151"/>
      <c r="U104" s="152"/>
      <c r="V104" s="21"/>
      <c r="W104" s="21"/>
      <c r="X104" s="21"/>
      <c r="Y104" s="21"/>
      <c r="Z104" s="21"/>
    </row>
    <row r="105" spans="1:26" ht="14.25" x14ac:dyDescent="0.2">
      <c r="A105" s="23"/>
      <c r="B105" s="23"/>
      <c r="C105" s="23"/>
      <c r="D105" s="23"/>
      <c r="T105" s="151"/>
      <c r="U105" s="152"/>
      <c r="V105" s="21"/>
      <c r="W105" s="21"/>
      <c r="X105" s="21"/>
      <c r="Y105" s="21"/>
      <c r="Z105" s="21"/>
    </row>
    <row r="106" spans="1:26" ht="14.25" x14ac:dyDescent="0.2">
      <c r="A106" s="23"/>
      <c r="B106" s="23"/>
      <c r="C106" s="23"/>
      <c r="D106" s="23"/>
      <c r="T106" s="151"/>
      <c r="U106" s="152"/>
      <c r="V106" s="21"/>
      <c r="W106" s="21"/>
      <c r="X106" s="21"/>
      <c r="Y106" s="21"/>
      <c r="Z106" s="21"/>
    </row>
    <row r="107" spans="1:26" ht="14.25" x14ac:dyDescent="0.2">
      <c r="A107" s="23"/>
      <c r="B107" s="23"/>
      <c r="C107" s="23"/>
      <c r="D107" s="23"/>
      <c r="T107" s="151"/>
      <c r="U107" s="152"/>
      <c r="V107" s="21"/>
      <c r="W107" s="21"/>
      <c r="X107" s="21"/>
      <c r="Y107" s="21"/>
      <c r="Z107" s="21"/>
    </row>
    <row r="108" spans="1:26" ht="14.25" x14ac:dyDescent="0.2">
      <c r="A108" s="23"/>
      <c r="B108" s="23"/>
      <c r="C108" s="23"/>
      <c r="D108" s="23"/>
      <c r="T108" s="151"/>
      <c r="U108" s="152"/>
      <c r="V108" s="21"/>
      <c r="W108" s="21"/>
      <c r="X108" s="21"/>
      <c r="Y108" s="21"/>
      <c r="Z108" s="21"/>
    </row>
    <row r="109" spans="1:26" ht="14.25" x14ac:dyDescent="0.2">
      <c r="A109" s="23"/>
      <c r="B109" s="23"/>
      <c r="C109" s="23"/>
      <c r="D109" s="23"/>
      <c r="T109" s="151"/>
      <c r="U109" s="152"/>
      <c r="V109" s="21"/>
      <c r="W109" s="21"/>
      <c r="X109" s="21"/>
      <c r="Y109" s="21"/>
      <c r="Z109" s="21"/>
    </row>
    <row r="110" spans="1:26" ht="14.25" x14ac:dyDescent="0.2">
      <c r="A110" s="23"/>
      <c r="B110" s="23"/>
      <c r="C110" s="23"/>
      <c r="D110" s="23"/>
      <c r="T110" s="151"/>
      <c r="U110" s="152"/>
      <c r="V110" s="21"/>
      <c r="W110" s="21"/>
      <c r="X110" s="21"/>
      <c r="Y110" s="21"/>
      <c r="Z110" s="21"/>
    </row>
    <row r="111" spans="1:26" ht="14.25" x14ac:dyDescent="0.2">
      <c r="A111" s="23"/>
      <c r="B111" s="23"/>
      <c r="C111" s="23"/>
      <c r="D111" s="23"/>
      <c r="T111" s="151"/>
      <c r="U111" s="152"/>
      <c r="V111" s="21"/>
      <c r="W111" s="21"/>
      <c r="X111" s="21"/>
      <c r="Y111" s="21"/>
      <c r="Z111" s="21"/>
    </row>
    <row r="112" spans="1:26" ht="14.25" x14ac:dyDescent="0.2">
      <c r="A112" s="23"/>
      <c r="B112" s="23"/>
      <c r="C112" s="23"/>
      <c r="D112" s="23"/>
      <c r="T112" s="151"/>
      <c r="U112" s="152"/>
      <c r="V112" s="21"/>
      <c r="W112" s="21"/>
      <c r="X112" s="21"/>
      <c r="Y112" s="21"/>
      <c r="Z112" s="21"/>
    </row>
    <row r="113" spans="1:26" ht="14.25" x14ac:dyDescent="0.2">
      <c r="A113" s="23"/>
      <c r="B113" s="23"/>
      <c r="C113" s="23"/>
      <c r="D113" s="23"/>
      <c r="T113" s="151"/>
      <c r="U113" s="152"/>
      <c r="V113" s="21"/>
      <c r="W113" s="21"/>
      <c r="X113" s="21"/>
      <c r="Y113" s="21"/>
      <c r="Z113" s="21"/>
    </row>
    <row r="114" spans="1:26" ht="14.25" x14ac:dyDescent="0.2">
      <c r="A114" s="23"/>
      <c r="B114" s="23"/>
      <c r="C114" s="23"/>
      <c r="D114" s="23"/>
      <c r="T114" s="151"/>
      <c r="U114" s="152"/>
      <c r="V114" s="21"/>
      <c r="W114" s="21"/>
      <c r="X114" s="21"/>
      <c r="Y114" s="21"/>
      <c r="Z114" s="21"/>
    </row>
    <row r="115" spans="1:26" ht="14.25" x14ac:dyDescent="0.2">
      <c r="A115" s="23"/>
      <c r="B115" s="23"/>
      <c r="C115" s="23"/>
      <c r="D115" s="23"/>
      <c r="T115" s="151"/>
      <c r="U115" s="152"/>
      <c r="V115" s="21"/>
      <c r="W115" s="21"/>
      <c r="X115" s="21"/>
      <c r="Y115" s="21"/>
      <c r="Z115" s="21"/>
    </row>
    <row r="116" spans="1:26" ht="14.25" x14ac:dyDescent="0.2">
      <c r="A116" s="23"/>
      <c r="B116" s="23"/>
      <c r="C116" s="23"/>
      <c r="D116" s="23"/>
      <c r="T116" s="151"/>
      <c r="U116" s="152"/>
      <c r="V116" s="21"/>
      <c r="W116" s="21"/>
      <c r="X116" s="21"/>
      <c r="Y116" s="21"/>
      <c r="Z116" s="21"/>
    </row>
    <row r="117" spans="1:26" ht="13.5" x14ac:dyDescent="0.2">
      <c r="A117" s="24"/>
      <c r="B117" s="24"/>
      <c r="T117" s="153"/>
      <c r="V117" s="21"/>
      <c r="W117" s="21"/>
      <c r="X117" s="21"/>
      <c r="Y117" s="21"/>
      <c r="Z117" s="21"/>
    </row>
    <row r="131" spans="1:26" ht="16.899999999999999" customHeight="1" x14ac:dyDescent="0.2">
      <c r="A131" s="25"/>
    </row>
    <row r="132" spans="1:26" ht="12" customHeight="1" x14ac:dyDescent="0.2">
      <c r="A132" s="4"/>
    </row>
    <row r="133" spans="1:26" ht="13.15" customHeight="1" x14ac:dyDescent="0.2"/>
    <row r="134" spans="1:26" ht="13.15" customHeight="1" x14ac:dyDescent="0.2"/>
    <row r="135" spans="1:26" ht="13.15" customHeight="1" x14ac:dyDescent="0.2"/>
    <row r="136" spans="1:26" s="149" customFormat="1" ht="13.15" customHeight="1" x14ac:dyDescent="0.2">
      <c r="A136" s="1"/>
      <c r="B136" s="1"/>
      <c r="C136" s="1"/>
      <c r="D136" s="1"/>
      <c r="E136" s="1"/>
      <c r="F136" s="1"/>
      <c r="G136" s="1"/>
      <c r="H136" s="1"/>
      <c r="P136" s="1"/>
      <c r="Q136" s="1"/>
      <c r="T136" s="150"/>
      <c r="U136" s="150"/>
      <c r="V136" s="1"/>
      <c r="W136" s="1"/>
      <c r="X136" s="1"/>
      <c r="Y136" s="1"/>
      <c r="Z136" s="1"/>
    </row>
    <row r="137" spans="1:26" s="149" customFormat="1" ht="13.15" customHeight="1" x14ac:dyDescent="0.2">
      <c r="A137" s="1"/>
      <c r="B137" s="1"/>
      <c r="C137" s="1"/>
      <c r="D137" s="1"/>
      <c r="E137" s="1"/>
      <c r="F137" s="1"/>
      <c r="G137" s="1"/>
      <c r="H137" s="1"/>
      <c r="P137" s="1"/>
      <c r="Q137" s="1"/>
      <c r="T137" s="150"/>
      <c r="U137" s="150"/>
      <c r="V137" s="1"/>
      <c r="W137" s="1"/>
      <c r="X137" s="1"/>
      <c r="Y137" s="1"/>
      <c r="Z137" s="1"/>
    </row>
    <row r="138" spans="1:26" s="149" customFormat="1" ht="13.15" customHeight="1" x14ac:dyDescent="0.2">
      <c r="A138" s="1"/>
      <c r="B138" s="1"/>
      <c r="C138" s="1"/>
      <c r="D138" s="1"/>
      <c r="E138" s="1"/>
      <c r="F138" s="1"/>
      <c r="G138" s="1"/>
      <c r="H138" s="1"/>
      <c r="P138" s="1"/>
      <c r="Q138" s="1"/>
      <c r="T138" s="150"/>
      <c r="U138" s="150"/>
      <c r="V138" s="1"/>
      <c r="W138" s="1"/>
      <c r="X138" s="1"/>
      <c r="Y138" s="1"/>
      <c r="Z138" s="1"/>
    </row>
    <row r="139" spans="1:26" s="149" customFormat="1" ht="12" customHeight="1" x14ac:dyDescent="0.2">
      <c r="A139" s="1"/>
      <c r="B139" s="1"/>
      <c r="C139" s="1"/>
      <c r="D139" s="1"/>
      <c r="E139" s="1"/>
      <c r="F139" s="1"/>
      <c r="G139" s="1"/>
      <c r="H139" s="1"/>
      <c r="P139" s="1"/>
      <c r="Q139" s="1"/>
      <c r="T139" s="150"/>
      <c r="U139" s="150"/>
      <c r="V139" s="1"/>
      <c r="W139" s="1"/>
      <c r="X139" s="1"/>
      <c r="Y139" s="1"/>
      <c r="Z139" s="1"/>
    </row>
    <row r="140" spans="1:26" s="149" customFormat="1" ht="12" customHeight="1" x14ac:dyDescent="0.2">
      <c r="A140" s="1"/>
      <c r="B140" s="1"/>
      <c r="C140" s="1"/>
      <c r="D140" s="1"/>
      <c r="E140" s="1"/>
      <c r="F140" s="1"/>
      <c r="G140" s="1"/>
      <c r="H140" s="1"/>
      <c r="P140" s="1"/>
      <c r="Q140" s="1"/>
      <c r="T140" s="150"/>
      <c r="U140" s="150"/>
      <c r="V140" s="1"/>
      <c r="W140" s="1"/>
      <c r="X140" s="1"/>
      <c r="Y140" s="1"/>
      <c r="Z140" s="1"/>
    </row>
    <row r="141" spans="1:26" s="149" customFormat="1" ht="15" customHeight="1" x14ac:dyDescent="0.2">
      <c r="A141" s="1"/>
      <c r="B141" s="1"/>
      <c r="C141" s="1"/>
      <c r="D141" s="1"/>
      <c r="E141" s="1"/>
      <c r="F141" s="1"/>
      <c r="G141" s="1"/>
      <c r="H141" s="1"/>
      <c r="P141" s="1"/>
      <c r="Q141" s="1"/>
      <c r="T141" s="150"/>
      <c r="U141" s="150"/>
      <c r="V141" s="1"/>
      <c r="W141" s="1"/>
      <c r="X141" s="1"/>
      <c r="Y141" s="1"/>
      <c r="Z141" s="1"/>
    </row>
    <row r="142" spans="1:26" s="149" customFormat="1" ht="15" customHeight="1" x14ac:dyDescent="0.2">
      <c r="A142" s="1"/>
      <c r="B142" s="1"/>
      <c r="C142" s="1"/>
      <c r="D142" s="1"/>
      <c r="E142" s="1"/>
      <c r="F142" s="1"/>
      <c r="G142" s="1"/>
      <c r="H142" s="1"/>
      <c r="P142" s="1"/>
      <c r="Q142" s="1"/>
      <c r="T142" s="150"/>
      <c r="U142" s="150"/>
      <c r="V142" s="1"/>
      <c r="W142" s="1"/>
      <c r="X142" s="1"/>
      <c r="Y142" s="1"/>
      <c r="Z142" s="1"/>
    </row>
  </sheetData>
  <sheetProtection sheet="1" formatCells="0" formatColumns="0" formatRows="0"/>
  <phoneticPr fontId="4"/>
  <pageMargins left="0.7" right="0.7" top="0.75" bottom="0.75" header="0.3" footer="0.3"/>
  <pageSetup paperSize="9"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D4717-2BE5-4A00-82F9-00E9928BC3EF}">
  <dimension ref="A1:Z139"/>
  <sheetViews>
    <sheetView zoomScale="160" zoomScaleNormal="160" workbookViewId="0">
      <selection activeCell="P21" sqref="P21"/>
    </sheetView>
  </sheetViews>
  <sheetFormatPr defaultColWidth="9.33203125" defaultRowHeight="12.75" x14ac:dyDescent="0.2"/>
  <cols>
    <col min="1" max="2" width="9.33203125" style="1"/>
    <col min="3" max="7" width="10.1640625" style="1" customWidth="1"/>
    <col min="8" max="8" width="9.33203125" style="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1" ht="20.25" x14ac:dyDescent="0.2">
      <c r="A1" s="96" t="s">
        <v>999</v>
      </c>
      <c r="B1" s="97"/>
      <c r="C1" s="97"/>
      <c r="D1" s="97"/>
      <c r="E1" s="97"/>
      <c r="F1" s="97"/>
      <c r="G1" s="97"/>
      <c r="H1" s="97"/>
      <c r="I1" s="113"/>
      <c r="J1" s="154" t="s">
        <v>130</v>
      </c>
      <c r="K1" s="210">
        <v>10</v>
      </c>
      <c r="L1" s="154" t="s">
        <v>129</v>
      </c>
      <c r="M1" s="113"/>
      <c r="N1" s="113" t="s">
        <v>1059</v>
      </c>
      <c r="O1" s="113"/>
      <c r="R1" s="113"/>
      <c r="S1" s="113"/>
      <c r="T1" s="146"/>
      <c r="U1" s="146"/>
    </row>
    <row r="2" spans="1:21" x14ac:dyDescent="0.2">
      <c r="A2" s="99" t="s">
        <v>1000</v>
      </c>
      <c r="B2" s="97"/>
      <c r="C2" s="97"/>
      <c r="D2" s="97"/>
      <c r="E2" s="97"/>
      <c r="F2" s="97"/>
      <c r="G2" s="97"/>
      <c r="H2" s="97"/>
      <c r="I2" s="113"/>
      <c r="J2" s="154" t="s">
        <v>4</v>
      </c>
      <c r="K2" s="210">
        <v>1</v>
      </c>
      <c r="L2" s="154" t="s">
        <v>129</v>
      </c>
      <c r="M2" s="113"/>
      <c r="N2" s="113" t="s">
        <v>79</v>
      </c>
      <c r="O2" s="113"/>
      <c r="R2" s="113"/>
      <c r="S2" s="113"/>
      <c r="T2" s="146"/>
      <c r="U2" s="146"/>
    </row>
    <row r="3" spans="1:21" x14ac:dyDescent="0.2">
      <c r="A3" s="97"/>
      <c r="B3" s="97"/>
      <c r="C3" s="97"/>
      <c r="D3" s="97"/>
      <c r="E3" s="97"/>
      <c r="F3" s="97"/>
      <c r="G3" s="97"/>
      <c r="H3" s="97"/>
      <c r="I3" s="113"/>
      <c r="J3" s="113"/>
      <c r="K3" s="113"/>
      <c r="L3" s="113"/>
      <c r="M3" s="113"/>
      <c r="N3" s="113" t="s">
        <v>311</v>
      </c>
      <c r="O3" s="113"/>
      <c r="R3" s="113"/>
      <c r="S3" s="113"/>
      <c r="T3" s="146"/>
      <c r="U3" s="146"/>
    </row>
    <row r="4" spans="1:21" x14ac:dyDescent="0.2">
      <c r="A4" s="100"/>
      <c r="B4" s="97"/>
      <c r="C4" s="97"/>
      <c r="D4" s="97"/>
      <c r="E4" s="97"/>
      <c r="F4" s="97"/>
      <c r="G4" s="97"/>
      <c r="H4" s="97"/>
      <c r="I4" s="113"/>
      <c r="J4" s="113"/>
      <c r="K4" s="113"/>
      <c r="L4" s="113"/>
      <c r="M4" s="113"/>
      <c r="N4" s="113"/>
      <c r="O4" s="113"/>
      <c r="R4" s="113"/>
      <c r="S4" s="113"/>
      <c r="T4" s="146"/>
      <c r="U4" s="146"/>
    </row>
    <row r="5" spans="1:21" ht="20.25" x14ac:dyDescent="0.2">
      <c r="A5" s="101" t="s">
        <v>78</v>
      </c>
      <c r="B5" s="97"/>
      <c r="C5" s="97"/>
      <c r="D5" s="97"/>
      <c r="E5" s="97"/>
      <c r="F5" s="97"/>
      <c r="G5" s="97"/>
      <c r="H5" s="97"/>
      <c r="I5" s="113"/>
      <c r="J5" s="113"/>
      <c r="K5" s="113"/>
      <c r="L5" s="113"/>
      <c r="M5" s="113"/>
      <c r="N5" s="113"/>
      <c r="O5" s="113"/>
      <c r="R5" s="113"/>
      <c r="S5" s="113"/>
      <c r="T5" s="146"/>
      <c r="U5" s="146"/>
    </row>
    <row r="6" spans="1:21" s="226" customFormat="1" x14ac:dyDescent="0.2">
      <c r="A6" s="226" t="s">
        <v>1001</v>
      </c>
    </row>
    <row r="7" spans="1:21" s="226" customFormat="1" x14ac:dyDescent="0.2">
      <c r="A7" s="226" t="s">
        <v>1002</v>
      </c>
    </row>
    <row r="8" spans="1:21" s="226" customFormat="1" x14ac:dyDescent="0.2">
      <c r="A8" s="226" t="s">
        <v>1003</v>
      </c>
    </row>
    <row r="9" spans="1:21" s="226" customFormat="1" x14ac:dyDescent="0.2">
      <c r="A9" s="226" t="s">
        <v>1004</v>
      </c>
    </row>
    <row r="10" spans="1:21" s="226" customFormat="1" x14ac:dyDescent="0.2">
      <c r="A10" s="226" t="s">
        <v>1005</v>
      </c>
    </row>
    <row r="11" spans="1:21" s="226" customFormat="1" x14ac:dyDescent="0.2">
      <c r="A11" s="226" t="s">
        <v>1006</v>
      </c>
    </row>
    <row r="12" spans="1:21" s="226" customFormat="1" x14ac:dyDescent="0.2">
      <c r="A12" s="226" t="s">
        <v>1007</v>
      </c>
    </row>
    <row r="13" spans="1:21" s="226" customFormat="1" x14ac:dyDescent="0.2">
      <c r="A13" s="227" t="s">
        <v>1008</v>
      </c>
    </row>
    <row r="14" spans="1:21" s="226" customFormat="1" x14ac:dyDescent="0.2">
      <c r="A14" s="227" t="s">
        <v>1009</v>
      </c>
    </row>
    <row r="15" spans="1:21" s="226" customFormat="1" x14ac:dyDescent="0.2">
      <c r="A15" s="227" t="s">
        <v>1010</v>
      </c>
    </row>
    <row r="16" spans="1:21" s="226" customFormat="1" x14ac:dyDescent="0.2">
      <c r="A16" s="227" t="s">
        <v>1011</v>
      </c>
    </row>
    <row r="17" spans="1:26" s="226" customFormat="1" x14ac:dyDescent="0.2">
      <c r="A17" s="227" t="s">
        <v>1012</v>
      </c>
    </row>
    <row r="18" spans="1:26" x14ac:dyDescent="0.2">
      <c r="A18" s="97"/>
      <c r="B18" s="97"/>
      <c r="C18" s="97"/>
      <c r="D18" s="97"/>
      <c r="E18" s="97"/>
      <c r="F18" s="97"/>
      <c r="G18" s="97"/>
      <c r="H18" s="97"/>
      <c r="I18" s="113"/>
      <c r="J18" s="113"/>
      <c r="K18" s="113"/>
      <c r="L18" s="113"/>
      <c r="M18" s="113"/>
      <c r="N18" s="113"/>
      <c r="O18" s="113"/>
      <c r="R18" s="113"/>
      <c r="S18" s="113"/>
      <c r="T18" s="146"/>
      <c r="U18" s="146"/>
    </row>
    <row r="19" spans="1:26" x14ac:dyDescent="0.2">
      <c r="A19" s="97"/>
      <c r="B19" s="97"/>
      <c r="C19" s="97"/>
      <c r="D19" s="97"/>
      <c r="E19" s="97"/>
      <c r="F19" s="97"/>
      <c r="G19" s="97"/>
      <c r="H19" s="97"/>
      <c r="I19" s="113"/>
      <c r="J19" s="113"/>
      <c r="K19" s="113"/>
      <c r="L19" s="113"/>
      <c r="M19" s="113"/>
      <c r="N19" s="113"/>
      <c r="O19" s="113"/>
      <c r="R19" s="113"/>
      <c r="S19" s="113"/>
      <c r="T19" s="146"/>
      <c r="U19" s="146"/>
    </row>
    <row r="20" spans="1:26" ht="15.75" x14ac:dyDescent="0.2">
      <c r="A20" s="103" t="s">
        <v>1004</v>
      </c>
      <c r="B20" s="97"/>
      <c r="C20" s="97"/>
      <c r="D20" s="97"/>
      <c r="E20" s="97"/>
      <c r="F20" s="97"/>
      <c r="G20" s="97"/>
      <c r="H20" s="97"/>
      <c r="I20" s="113"/>
      <c r="J20" s="113"/>
      <c r="K20" s="113"/>
      <c r="L20" s="113"/>
      <c r="M20" s="113"/>
      <c r="N20" s="113"/>
      <c r="O20" s="113"/>
      <c r="R20" s="113"/>
      <c r="S20" s="113"/>
      <c r="T20" s="146"/>
      <c r="U20" s="146"/>
    </row>
    <row r="21" spans="1:26" ht="102" x14ac:dyDescent="0.2">
      <c r="A21" s="211" t="s">
        <v>0</v>
      </c>
      <c r="B21" s="212" t="s">
        <v>1</v>
      </c>
      <c r="C21" s="212" t="s">
        <v>133</v>
      </c>
      <c r="D21" s="212" t="s">
        <v>199</v>
      </c>
      <c r="E21" s="212" t="s">
        <v>135</v>
      </c>
      <c r="F21" s="212" t="s">
        <v>200</v>
      </c>
      <c r="G21" s="212" t="s">
        <v>137</v>
      </c>
      <c r="H21" s="212" t="s">
        <v>201</v>
      </c>
      <c r="I21" s="104" t="s">
        <v>8</v>
      </c>
      <c r="J21" s="104" t="s">
        <v>9</v>
      </c>
      <c r="K21" s="104" t="s">
        <v>107</v>
      </c>
      <c r="L21" s="104" t="s">
        <v>14</v>
      </c>
      <c r="M21" s="104" t="s">
        <v>12</v>
      </c>
      <c r="N21" s="104" t="s">
        <v>1058</v>
      </c>
      <c r="O21" s="104" t="s">
        <v>100</v>
      </c>
      <c r="P21" s="6" t="s">
        <v>105</v>
      </c>
      <c r="Q21" s="6" t="s">
        <v>106</v>
      </c>
      <c r="R21" s="104" t="s">
        <v>1051</v>
      </c>
      <c r="S21" s="104" t="s">
        <v>1052</v>
      </c>
      <c r="T21" s="147" t="s">
        <v>80</v>
      </c>
      <c r="U21" s="147" t="s">
        <v>81</v>
      </c>
      <c r="V21" s="5" t="s">
        <v>101</v>
      </c>
      <c r="W21" s="5" t="s">
        <v>102</v>
      </c>
      <c r="X21" s="112" t="s">
        <v>103</v>
      </c>
      <c r="Y21" s="112" t="s">
        <v>104</v>
      </c>
    </row>
    <row r="22" spans="1:26" x14ac:dyDescent="0.2">
      <c r="A22" s="213" t="str">
        <f>A31</f>
        <v>VSL</v>
      </c>
      <c r="B22" s="213" t="str">
        <f>B31</f>
        <v>D929219</v>
      </c>
      <c r="C22" s="219">
        <f>C31</f>
        <v>10.289</v>
      </c>
      <c r="D22" s="219">
        <f>F31</f>
        <v>0.08</v>
      </c>
      <c r="E22" s="219">
        <f>G31</f>
        <v>10.44</v>
      </c>
      <c r="F22" s="219">
        <f>H31</f>
        <v>0.04</v>
      </c>
      <c r="G22" s="219">
        <f>I31</f>
        <v>0.15</v>
      </c>
      <c r="H22" s="219">
        <f>J31</f>
        <v>0.18</v>
      </c>
      <c r="I22" s="155">
        <f t="shared" ref="I22:I26" si="0">IF(ABS(G22)&gt;ABS(H22), 1, 0)</f>
        <v>0</v>
      </c>
      <c r="J22" s="155">
        <f t="shared" ref="J22:J26" si="1">I22*ABS(C22-E22)</f>
        <v>0</v>
      </c>
      <c r="K22" s="155">
        <f t="shared" ref="K22:K26" si="2">SQRT(SUMSQ(F22,J22))*2</f>
        <v>0.08</v>
      </c>
      <c r="L22" s="155">
        <f t="shared" ref="L22:L26" si="3">IF(C22&lt;$K$2, C22, $K$1)</f>
        <v>10</v>
      </c>
      <c r="M22" s="156">
        <f t="shared" ref="M22:M26" si="4">IF(AND(C22&lt;$K$1,C22&gt; $K$2), K22/L22*100, K22/C22*100)</f>
        <v>0.77752940033045004</v>
      </c>
      <c r="N22" s="157">
        <f t="shared" ref="N22" si="5">M22*L22/100</f>
        <v>7.7752940033045004E-2</v>
      </c>
      <c r="O22" s="155">
        <f t="shared" ref="O22" si="6">N22/(M22*L22/100)*100</f>
        <v>100</v>
      </c>
      <c r="P22" s="250">
        <v>1</v>
      </c>
      <c r="Q22" s="250">
        <v>1000</v>
      </c>
      <c r="R22" s="148">
        <f>IF( IF(P22&lt;L22, M22*L22/P22, M22)&gt;100, "ERROR",  IF(P22&lt;L22, M22*L22/P22, M22))</f>
        <v>7.7752940033045004</v>
      </c>
      <c r="S22" s="148">
        <f>IF(IF(Q22&lt;L22, M22*L22/Q22, M22)&gt;100, "ERROR", IF(Q22&lt;L22, M22*L22/Q22, M22))</f>
        <v>0.77752940033045004</v>
      </c>
      <c r="T22" s="148">
        <f>R22*P22*0.01</f>
        <v>7.7752940033045004E-2</v>
      </c>
      <c r="U22" s="148">
        <f>S22*Q22*0.01</f>
        <v>7.7752940033045004</v>
      </c>
      <c r="V22" s="7">
        <f>P22*1000</f>
        <v>1000</v>
      </c>
      <c r="W22" s="7">
        <f>Q22*1000</f>
        <v>1000000</v>
      </c>
      <c r="X22" s="1345">
        <f>T22*1000</f>
        <v>77.752940033045007</v>
      </c>
      <c r="Y22" s="1345">
        <f>U22*1000</f>
        <v>7775.2940033045006</v>
      </c>
    </row>
    <row r="23" spans="1:26" x14ac:dyDescent="0.2">
      <c r="A23" s="213" t="str">
        <f t="shared" ref="A23:C23" si="7">A32</f>
        <v>NPL</v>
      </c>
      <c r="B23" s="213" t="str">
        <f t="shared" si="7"/>
        <v>D929214</v>
      </c>
      <c r="C23" s="219">
        <f t="shared" si="7"/>
        <v>10.311</v>
      </c>
      <c r="D23" s="219">
        <f t="shared" ref="D23:H23" si="8">F32</f>
        <v>0.08</v>
      </c>
      <c r="E23" s="219">
        <f t="shared" si="8"/>
        <v>10.359</v>
      </c>
      <c r="F23" s="219">
        <f t="shared" si="8"/>
        <v>5.1999999999999998E-2</v>
      </c>
      <c r="G23" s="219">
        <f t="shared" si="8"/>
        <v>4.8000000000000001E-2</v>
      </c>
      <c r="H23" s="219">
        <f t="shared" si="8"/>
        <v>0.192</v>
      </c>
      <c r="I23" s="155">
        <f t="shared" si="0"/>
        <v>0</v>
      </c>
      <c r="J23" s="155">
        <f t="shared" si="1"/>
        <v>0</v>
      </c>
      <c r="K23" s="155">
        <f t="shared" si="2"/>
        <v>0.104</v>
      </c>
      <c r="L23" s="155">
        <f t="shared" si="3"/>
        <v>10</v>
      </c>
      <c r="M23" s="156">
        <f t="shared" si="4"/>
        <v>1.0086315585297256</v>
      </c>
      <c r="N23" s="157">
        <f t="shared" ref="N23:N26" si="9">M23*L23/100</f>
        <v>0.10086315585297256</v>
      </c>
      <c r="O23" s="155">
        <f t="shared" ref="O23:O26" si="10">N23/(M23*L23/100)*100</f>
        <v>100</v>
      </c>
      <c r="P23" s="250">
        <v>1</v>
      </c>
      <c r="Q23" s="250">
        <v>1000</v>
      </c>
      <c r="R23" s="148">
        <f t="shared" ref="R23:R26" si="11">IF( IF(P23&lt;L23, M23*L23/P23, M23)&gt;100, "ERROR",  IF(P23&lt;L23, M23*L23/P23, M23))</f>
        <v>10.086315585297257</v>
      </c>
      <c r="S23" s="148">
        <f t="shared" ref="S23:S26" si="12">IF(IF(Q23&lt;L23, M23*L23/Q23, M23)&gt;100, "ERROR", IF(Q23&lt;L23, M23*L23/Q23, M23))</f>
        <v>1.0086315585297256</v>
      </c>
      <c r="T23" s="148">
        <f t="shared" ref="T23:U26" si="13">R23*P23*0.01</f>
        <v>0.10086315585297256</v>
      </c>
      <c r="U23" s="148">
        <f t="shared" si="13"/>
        <v>10.086315585297257</v>
      </c>
      <c r="V23" s="7">
        <f t="shared" ref="V23:W26" si="14">P23*1000</f>
        <v>1000</v>
      </c>
      <c r="W23" s="7">
        <f t="shared" si="14"/>
        <v>1000000</v>
      </c>
      <c r="X23" s="1345">
        <f t="shared" ref="X23:Y26" si="15">T23*1000</f>
        <v>100.86315585297257</v>
      </c>
      <c r="Y23" s="1345">
        <f t="shared" si="15"/>
        <v>10086.315585297256</v>
      </c>
    </row>
    <row r="24" spans="1:26" x14ac:dyDescent="0.2">
      <c r="A24" s="213" t="str">
        <f t="shared" ref="A24:C24" si="16">A33</f>
        <v>VNIIM</v>
      </c>
      <c r="B24" s="213" t="str">
        <f t="shared" si="16"/>
        <v>D929234</v>
      </c>
      <c r="C24" s="219">
        <f t="shared" si="16"/>
        <v>10.334</v>
      </c>
      <c r="D24" s="219">
        <f t="shared" ref="D24:H24" si="17">F33</f>
        <v>0.08</v>
      </c>
      <c r="E24" s="219">
        <f t="shared" si="17"/>
        <v>10.54</v>
      </c>
      <c r="F24" s="219">
        <f t="shared" si="17"/>
        <v>0.03</v>
      </c>
      <c r="G24" s="219">
        <f t="shared" si="17"/>
        <v>0.21</v>
      </c>
      <c r="H24" s="219">
        <f t="shared" si="17"/>
        <v>0.17</v>
      </c>
      <c r="I24" s="155">
        <f t="shared" si="0"/>
        <v>1</v>
      </c>
      <c r="J24" s="155">
        <f t="shared" si="1"/>
        <v>0.20599999999999952</v>
      </c>
      <c r="K24" s="155">
        <f t="shared" si="2"/>
        <v>0.41634600994845522</v>
      </c>
      <c r="L24" s="155">
        <f t="shared" si="3"/>
        <v>10</v>
      </c>
      <c r="M24" s="156">
        <f t="shared" si="4"/>
        <v>4.0288950062749684</v>
      </c>
      <c r="N24" s="157">
        <f t="shared" si="9"/>
        <v>0.40288950062749684</v>
      </c>
      <c r="O24" s="155">
        <f t="shared" si="10"/>
        <v>100</v>
      </c>
      <c r="P24" s="250">
        <v>1</v>
      </c>
      <c r="Q24" s="250">
        <v>1000</v>
      </c>
      <c r="R24" s="148">
        <f t="shared" si="11"/>
        <v>40.288950062749684</v>
      </c>
      <c r="S24" s="148">
        <f t="shared" si="12"/>
        <v>4.0288950062749684</v>
      </c>
      <c r="T24" s="148">
        <f t="shared" si="13"/>
        <v>0.40288950062749684</v>
      </c>
      <c r="U24" s="148">
        <f t="shared" si="13"/>
        <v>40.288950062749684</v>
      </c>
      <c r="V24" s="7">
        <f t="shared" si="14"/>
        <v>1000</v>
      </c>
      <c r="W24" s="7">
        <f t="shared" si="14"/>
        <v>1000000</v>
      </c>
      <c r="X24" s="1345">
        <f t="shared" si="15"/>
        <v>402.88950062749683</v>
      </c>
      <c r="Y24" s="1345">
        <f t="shared" si="15"/>
        <v>40288.950062749682</v>
      </c>
    </row>
    <row r="25" spans="1:26" x14ac:dyDescent="0.2">
      <c r="A25" s="213" t="str">
        <f t="shared" ref="A25:C25" si="18">A34</f>
        <v>NIM</v>
      </c>
      <c r="B25" s="213" t="str">
        <f t="shared" si="18"/>
        <v>D727499</v>
      </c>
      <c r="C25" s="219">
        <f t="shared" si="18"/>
        <v>10.457000000000001</v>
      </c>
      <c r="D25" s="219">
        <f t="shared" ref="D25:H25" si="19">F34</f>
        <v>0.08</v>
      </c>
      <c r="E25" s="219">
        <f t="shared" si="19"/>
        <v>10.253</v>
      </c>
      <c r="F25" s="219">
        <f t="shared" si="19"/>
        <v>6.8000000000000005E-2</v>
      </c>
      <c r="G25" s="219">
        <f t="shared" si="19"/>
        <v>-0.20399999999999999</v>
      </c>
      <c r="H25" s="219">
        <f t="shared" si="19"/>
        <v>0.21099999999999999</v>
      </c>
      <c r="I25" s="155">
        <f t="shared" si="0"/>
        <v>0</v>
      </c>
      <c r="J25" s="155">
        <f t="shared" si="1"/>
        <v>0</v>
      </c>
      <c r="K25" s="155">
        <f t="shared" si="2"/>
        <v>0.13600000000000001</v>
      </c>
      <c r="L25" s="155">
        <f t="shared" si="3"/>
        <v>10</v>
      </c>
      <c r="M25" s="156">
        <f t="shared" si="4"/>
        <v>1.3005642153581334</v>
      </c>
      <c r="N25" s="157">
        <f t="shared" si="9"/>
        <v>0.13005642153581334</v>
      </c>
      <c r="O25" s="155">
        <f t="shared" si="10"/>
        <v>100</v>
      </c>
      <c r="P25" s="250">
        <v>1</v>
      </c>
      <c r="Q25" s="250">
        <v>1000</v>
      </c>
      <c r="R25" s="148">
        <f t="shared" si="11"/>
        <v>13.005642153581334</v>
      </c>
      <c r="S25" s="148">
        <f t="shared" si="12"/>
        <v>1.3005642153581334</v>
      </c>
      <c r="T25" s="148">
        <f t="shared" si="13"/>
        <v>0.13005642153581334</v>
      </c>
      <c r="U25" s="148">
        <f t="shared" si="13"/>
        <v>13.005642153581334</v>
      </c>
      <c r="V25" s="7">
        <f t="shared" si="14"/>
        <v>1000</v>
      </c>
      <c r="W25" s="7">
        <f t="shared" si="14"/>
        <v>1000000</v>
      </c>
      <c r="X25" s="1345">
        <f t="shared" si="15"/>
        <v>130.05642153581334</v>
      </c>
      <c r="Y25" s="1345">
        <f t="shared" si="15"/>
        <v>13005.642153581335</v>
      </c>
    </row>
    <row r="26" spans="1:26" x14ac:dyDescent="0.2">
      <c r="A26" s="213" t="str">
        <f t="shared" ref="A26:C26" si="20">A35</f>
        <v>KRISS</v>
      </c>
      <c r="B26" s="213" t="str">
        <f t="shared" si="20"/>
        <v>D731952</v>
      </c>
      <c r="C26" s="219">
        <f t="shared" si="20"/>
        <v>10.282</v>
      </c>
      <c r="D26" s="219">
        <f t="shared" ref="D26:H26" si="21">F35</f>
        <v>0.08</v>
      </c>
      <c r="E26" s="219">
        <f t="shared" si="21"/>
        <v>10.252000000000001</v>
      </c>
      <c r="F26" s="219">
        <f t="shared" si="21"/>
        <v>0.03</v>
      </c>
      <c r="G26" s="219">
        <f t="shared" si="21"/>
        <v>-0.03</v>
      </c>
      <c r="H26" s="219">
        <f t="shared" si="21"/>
        <v>0.17199999999999999</v>
      </c>
      <c r="I26" s="155">
        <f t="shared" si="0"/>
        <v>0</v>
      </c>
      <c r="J26" s="155">
        <f t="shared" si="1"/>
        <v>0</v>
      </c>
      <c r="K26" s="155">
        <f t="shared" si="2"/>
        <v>0.06</v>
      </c>
      <c r="L26" s="155">
        <f t="shared" si="3"/>
        <v>10</v>
      </c>
      <c r="M26" s="156">
        <f t="shared" si="4"/>
        <v>0.58354405757634698</v>
      </c>
      <c r="N26" s="157">
        <f t="shared" si="9"/>
        <v>5.8354405757634703E-2</v>
      </c>
      <c r="O26" s="155">
        <f t="shared" si="10"/>
        <v>100</v>
      </c>
      <c r="P26" s="250">
        <v>1</v>
      </c>
      <c r="Q26" s="250">
        <v>1000</v>
      </c>
      <c r="R26" s="148">
        <f t="shared" si="11"/>
        <v>5.83544057576347</v>
      </c>
      <c r="S26" s="148">
        <f t="shared" si="12"/>
        <v>0.58354405757634698</v>
      </c>
      <c r="T26" s="148">
        <f t="shared" si="13"/>
        <v>5.8354405757634703E-2</v>
      </c>
      <c r="U26" s="148">
        <f t="shared" si="13"/>
        <v>5.83544057576347</v>
      </c>
      <c r="V26" s="7">
        <f t="shared" si="14"/>
        <v>1000</v>
      </c>
      <c r="W26" s="7">
        <f t="shared" si="14"/>
        <v>1000000</v>
      </c>
      <c r="X26" s="1345">
        <f t="shared" si="15"/>
        <v>58.354405757634702</v>
      </c>
      <c r="Y26" s="1345">
        <f t="shared" si="15"/>
        <v>5835.4405757634704</v>
      </c>
    </row>
    <row r="27" spans="1:26" ht="14.25" x14ac:dyDescent="0.2">
      <c r="H27" s="9"/>
      <c r="U27" s="152"/>
      <c r="V27" s="21"/>
      <c r="W27" s="21"/>
      <c r="X27" s="21"/>
      <c r="Y27" s="21"/>
      <c r="Z27" s="21"/>
    </row>
    <row r="28" spans="1:26" ht="14.25" x14ac:dyDescent="0.2">
      <c r="H28" s="9"/>
      <c r="U28" s="152"/>
      <c r="V28" s="21"/>
      <c r="W28" s="21"/>
      <c r="X28" s="21"/>
      <c r="Y28" s="21"/>
      <c r="Z28" s="21"/>
    </row>
    <row r="29" spans="1:26" s="227" customFormat="1" x14ac:dyDescent="0.2">
      <c r="A29" s="226" t="s">
        <v>1013</v>
      </c>
      <c r="B29" s="226" t="s">
        <v>1014</v>
      </c>
      <c r="C29" s="226"/>
    </row>
    <row r="30" spans="1:26" s="227" customFormat="1" ht="28.5" customHeight="1" x14ac:dyDescent="0.2">
      <c r="A30" s="912" t="s">
        <v>1015</v>
      </c>
      <c r="B30" s="913" t="s">
        <v>1016</v>
      </c>
      <c r="C30" s="912" t="s">
        <v>1017</v>
      </c>
      <c r="D30" s="403" t="s">
        <v>1018</v>
      </c>
      <c r="E30" s="403" t="s">
        <v>1019</v>
      </c>
      <c r="F30" s="914" t="s">
        <v>1020</v>
      </c>
      <c r="G30" s="403" t="s">
        <v>1021</v>
      </c>
      <c r="H30" s="403" t="s">
        <v>1022</v>
      </c>
      <c r="I30" s="403" t="s">
        <v>1023</v>
      </c>
      <c r="J30" s="913" t="s">
        <v>1024</v>
      </c>
    </row>
    <row r="31" spans="1:26" s="227" customFormat="1" x14ac:dyDescent="0.2">
      <c r="A31" s="404" t="s">
        <v>21</v>
      </c>
      <c r="B31" s="404" t="s">
        <v>1025</v>
      </c>
      <c r="C31" s="404">
        <v>10.289</v>
      </c>
      <c r="D31" s="404">
        <v>2.5000000000000001E-2</v>
      </c>
      <c r="E31" s="404">
        <v>7.6999999999999999E-2</v>
      </c>
      <c r="F31" s="404">
        <v>0.08</v>
      </c>
      <c r="G31" s="404">
        <v>10.44</v>
      </c>
      <c r="H31" s="404">
        <v>0.04</v>
      </c>
      <c r="I31" s="404">
        <v>0.15</v>
      </c>
      <c r="J31" s="404">
        <v>0.18</v>
      </c>
    </row>
    <row r="32" spans="1:26" s="227" customFormat="1" x14ac:dyDescent="0.2">
      <c r="A32" s="227" t="s">
        <v>16</v>
      </c>
      <c r="B32" s="227" t="s">
        <v>1026</v>
      </c>
      <c r="C32" s="227">
        <v>10.311</v>
      </c>
      <c r="D32" s="227">
        <v>2.5000000000000001E-2</v>
      </c>
      <c r="E32" s="227">
        <v>7.6999999999999999E-2</v>
      </c>
      <c r="F32" s="227">
        <v>0.08</v>
      </c>
      <c r="G32" s="227">
        <v>10.359</v>
      </c>
      <c r="H32" s="227">
        <v>5.1999999999999998E-2</v>
      </c>
      <c r="I32" s="227">
        <v>4.8000000000000001E-2</v>
      </c>
      <c r="J32" s="227">
        <v>0.192</v>
      </c>
    </row>
    <row r="33" spans="1:26" s="227" customFormat="1" x14ac:dyDescent="0.2">
      <c r="A33" s="227" t="s">
        <v>2</v>
      </c>
      <c r="B33" s="227" t="s">
        <v>1027</v>
      </c>
      <c r="C33" s="227">
        <v>10.334</v>
      </c>
      <c r="D33" s="227">
        <v>2.5000000000000001E-2</v>
      </c>
      <c r="E33" s="227">
        <v>7.6999999999999999E-2</v>
      </c>
      <c r="F33" s="227">
        <v>0.08</v>
      </c>
      <c r="G33" s="227">
        <v>10.54</v>
      </c>
      <c r="H33" s="227">
        <v>0.03</v>
      </c>
      <c r="I33" s="227">
        <v>0.21</v>
      </c>
      <c r="J33" s="227">
        <v>0.17</v>
      </c>
    </row>
    <row r="34" spans="1:26" s="227" customFormat="1" x14ac:dyDescent="0.2">
      <c r="A34" s="227" t="s">
        <v>173</v>
      </c>
      <c r="B34" s="227" t="s">
        <v>1028</v>
      </c>
      <c r="C34" s="227">
        <v>10.457000000000001</v>
      </c>
      <c r="D34" s="227">
        <v>2.5000000000000001E-2</v>
      </c>
      <c r="E34" s="227">
        <v>7.6999999999999999E-2</v>
      </c>
      <c r="F34" s="227">
        <v>0.08</v>
      </c>
      <c r="G34" s="227">
        <v>10.253</v>
      </c>
      <c r="H34" s="227">
        <v>6.8000000000000005E-2</v>
      </c>
      <c r="I34" s="227">
        <v>-0.20399999999999999</v>
      </c>
      <c r="J34" s="227">
        <v>0.21099999999999999</v>
      </c>
    </row>
    <row r="35" spans="1:26" s="227" customFormat="1" x14ac:dyDescent="0.2">
      <c r="A35" s="915" t="s">
        <v>1029</v>
      </c>
      <c r="B35" s="915" t="s">
        <v>1030</v>
      </c>
      <c r="C35" s="405">
        <v>10.282</v>
      </c>
      <c r="D35" s="405">
        <v>2.5000000000000001E-2</v>
      </c>
      <c r="E35" s="405">
        <v>7.6999999999999999E-2</v>
      </c>
      <c r="F35" s="405">
        <v>0.08</v>
      </c>
      <c r="G35" s="405">
        <v>10.252000000000001</v>
      </c>
      <c r="H35" s="405">
        <v>0.03</v>
      </c>
      <c r="I35" s="405">
        <v>-0.03</v>
      </c>
      <c r="J35" s="405">
        <v>0.17199999999999999</v>
      </c>
    </row>
    <row r="36" spans="1:26" ht="14.25" x14ac:dyDescent="0.2">
      <c r="H36" s="9"/>
      <c r="U36" s="152"/>
      <c r="V36" s="21"/>
      <c r="W36" s="21"/>
      <c r="X36" s="21"/>
      <c r="Y36" s="21"/>
      <c r="Z36" s="21"/>
    </row>
    <row r="37" spans="1:26" ht="14.25" x14ac:dyDescent="0.2">
      <c r="H37" s="9"/>
      <c r="U37" s="152"/>
      <c r="V37" s="21"/>
      <c r="W37" s="21"/>
      <c r="X37" s="21"/>
      <c r="Y37" s="21"/>
      <c r="Z37" s="21"/>
    </row>
    <row r="38" spans="1:26" ht="14.25" x14ac:dyDescent="0.2">
      <c r="H38" s="9"/>
      <c r="U38" s="152"/>
      <c r="V38" s="21"/>
      <c r="W38" s="21"/>
      <c r="X38" s="21"/>
      <c r="Y38" s="21"/>
      <c r="Z38" s="21"/>
    </row>
    <row r="39" spans="1:26" ht="14.25" x14ac:dyDescent="0.2">
      <c r="H39" s="9"/>
      <c r="U39" s="152"/>
      <c r="V39" s="21"/>
      <c r="W39" s="21"/>
      <c r="X39" s="21"/>
      <c r="Y39" s="21"/>
      <c r="Z39" s="21"/>
    </row>
    <row r="40" spans="1:26" ht="14.25" x14ac:dyDescent="0.2">
      <c r="H40" s="9"/>
      <c r="U40" s="152"/>
      <c r="V40" s="21"/>
      <c r="W40" s="21"/>
      <c r="X40" s="21"/>
      <c r="Y40" s="21"/>
      <c r="Z40" s="21"/>
    </row>
    <row r="41" spans="1:26" ht="14.25" x14ac:dyDescent="0.2">
      <c r="H41" s="9"/>
      <c r="X41" s="21"/>
      <c r="Y41" s="21"/>
      <c r="Z41" s="21"/>
    </row>
    <row r="42" spans="1:26" ht="14.25" x14ac:dyDescent="0.2">
      <c r="H42" s="9"/>
      <c r="X42" s="21"/>
      <c r="Y42" s="21"/>
      <c r="Z42" s="21"/>
    </row>
    <row r="43" spans="1:26" ht="14.25" x14ac:dyDescent="0.2">
      <c r="H43" s="9"/>
      <c r="X43" s="21"/>
      <c r="Y43" s="21"/>
      <c r="Z43" s="21"/>
    </row>
    <row r="44" spans="1:26" ht="14.25" x14ac:dyDescent="0.2">
      <c r="H44" s="9"/>
      <c r="X44" s="21"/>
      <c r="Y44" s="21"/>
      <c r="Z44" s="21"/>
    </row>
    <row r="45" spans="1:26" ht="14.25" x14ac:dyDescent="0.2">
      <c r="H45" s="9"/>
      <c r="X45" s="21"/>
      <c r="Y45" s="21"/>
      <c r="Z45" s="21"/>
    </row>
    <row r="46" spans="1:26" ht="14.25" x14ac:dyDescent="0.2">
      <c r="H46" s="9"/>
      <c r="X46" s="21"/>
      <c r="Y46" s="21"/>
      <c r="Z46" s="21"/>
    </row>
    <row r="47" spans="1:26" ht="14.25" x14ac:dyDescent="0.2">
      <c r="H47" s="9"/>
      <c r="X47" s="21"/>
      <c r="Y47" s="21"/>
      <c r="Z47" s="21"/>
    </row>
    <row r="48" spans="1:26" ht="14.25" x14ac:dyDescent="0.2">
      <c r="H48" s="9"/>
      <c r="X48" s="21"/>
      <c r="Y48" s="21"/>
      <c r="Z48" s="21"/>
    </row>
    <row r="49" spans="8:26" ht="14.25" x14ac:dyDescent="0.2">
      <c r="H49" s="9"/>
      <c r="X49" s="21"/>
      <c r="Y49" s="21"/>
      <c r="Z49" s="21"/>
    </row>
    <row r="50" spans="8:26" ht="14.25" x14ac:dyDescent="0.2">
      <c r="H50" s="9"/>
      <c r="X50" s="21"/>
      <c r="Y50" s="21"/>
      <c r="Z50" s="21"/>
    </row>
    <row r="51" spans="8:26" ht="14.25" x14ac:dyDescent="0.2">
      <c r="H51" s="9"/>
      <c r="X51" s="21"/>
      <c r="Y51" s="21"/>
      <c r="Z51" s="21"/>
    </row>
    <row r="52" spans="8:26" ht="14.25" x14ac:dyDescent="0.2">
      <c r="H52" s="9"/>
      <c r="X52" s="21"/>
      <c r="Y52" s="21"/>
      <c r="Z52" s="21"/>
    </row>
    <row r="53" spans="8:26" ht="14.25" x14ac:dyDescent="0.2">
      <c r="H53" s="9"/>
      <c r="X53" s="21"/>
      <c r="Y53" s="21"/>
      <c r="Z53" s="21"/>
    </row>
    <row r="54" spans="8:26" ht="14.25" x14ac:dyDescent="0.2">
      <c r="H54" s="9"/>
      <c r="X54" s="21"/>
      <c r="Y54" s="21"/>
      <c r="Z54" s="21"/>
    </row>
    <row r="55" spans="8:26" ht="14.25" x14ac:dyDescent="0.2">
      <c r="H55" s="9"/>
      <c r="X55" s="21"/>
      <c r="Y55" s="21"/>
      <c r="Z55" s="21"/>
    </row>
    <row r="56" spans="8:26" ht="14.25" x14ac:dyDescent="0.2">
      <c r="H56" s="9"/>
      <c r="U56" s="152"/>
      <c r="V56" s="21"/>
      <c r="W56" s="21"/>
      <c r="X56" s="21"/>
      <c r="Y56" s="21"/>
      <c r="Z56" s="21"/>
    </row>
    <row r="57" spans="8:26" ht="14.25" x14ac:dyDescent="0.2">
      <c r="H57" s="9"/>
      <c r="U57" s="152"/>
      <c r="V57" s="21"/>
      <c r="W57" s="21"/>
      <c r="X57" s="21"/>
      <c r="Y57" s="21"/>
      <c r="Z57" s="21"/>
    </row>
    <row r="58" spans="8:26" ht="14.25" x14ac:dyDescent="0.2">
      <c r="H58" s="9"/>
      <c r="U58" s="152"/>
      <c r="V58" s="21"/>
      <c r="W58" s="21"/>
      <c r="X58" s="21"/>
      <c r="Y58" s="21"/>
      <c r="Z58" s="21"/>
    </row>
    <row r="59" spans="8:26" ht="14.25" x14ac:dyDescent="0.2">
      <c r="H59" s="9"/>
      <c r="U59" s="152"/>
      <c r="V59" s="21"/>
      <c r="W59" s="21"/>
      <c r="X59" s="21"/>
      <c r="Y59" s="21"/>
      <c r="Z59" s="21"/>
    </row>
    <row r="60" spans="8:26" ht="14.25" x14ac:dyDescent="0.2">
      <c r="H60" s="9"/>
      <c r="U60" s="152"/>
      <c r="V60" s="21"/>
      <c r="W60" s="21"/>
      <c r="X60" s="21"/>
      <c r="Y60" s="21"/>
      <c r="Z60" s="21"/>
    </row>
    <row r="61" spans="8:26" ht="14.25" x14ac:dyDescent="0.2">
      <c r="H61" s="9"/>
      <c r="U61" s="152"/>
      <c r="V61" s="21"/>
      <c r="W61" s="21"/>
      <c r="X61" s="21"/>
      <c r="Y61" s="21"/>
      <c r="Z61" s="21"/>
    </row>
    <row r="62" spans="8:26" ht="14.25" x14ac:dyDescent="0.2">
      <c r="H62" s="9"/>
      <c r="U62" s="152"/>
      <c r="V62" s="21"/>
      <c r="W62" s="21"/>
      <c r="X62" s="21"/>
      <c r="Y62" s="21"/>
      <c r="Z62" s="21"/>
    </row>
    <row r="63" spans="8:26" ht="14.25" x14ac:dyDescent="0.2">
      <c r="H63" s="9"/>
      <c r="U63" s="152"/>
      <c r="V63" s="21"/>
      <c r="W63" s="21"/>
      <c r="X63" s="21"/>
      <c r="Y63" s="21"/>
      <c r="Z63" s="21"/>
    </row>
    <row r="64" spans="8:26" ht="14.25" x14ac:dyDescent="0.2">
      <c r="H64" s="9"/>
      <c r="U64" s="152"/>
      <c r="V64" s="21"/>
      <c r="W64" s="21"/>
      <c r="X64" s="21"/>
      <c r="Y64" s="21"/>
      <c r="Z64" s="21"/>
    </row>
    <row r="65" spans="8:26" ht="14.25" x14ac:dyDescent="0.2">
      <c r="H65" s="9"/>
      <c r="U65" s="152"/>
      <c r="V65" s="21"/>
      <c r="W65" s="21"/>
      <c r="X65" s="21"/>
      <c r="Y65" s="21"/>
      <c r="Z65" s="21"/>
    </row>
    <row r="66" spans="8:26" ht="14.25" x14ac:dyDescent="0.2">
      <c r="H66" s="9"/>
      <c r="U66" s="152"/>
      <c r="V66" s="21"/>
      <c r="W66" s="21"/>
      <c r="X66" s="21"/>
      <c r="Y66" s="21"/>
      <c r="Z66" s="21"/>
    </row>
    <row r="67" spans="8:26" ht="14.25" x14ac:dyDescent="0.2">
      <c r="H67" s="9"/>
      <c r="U67" s="152"/>
      <c r="V67" s="21"/>
      <c r="W67" s="21"/>
      <c r="X67" s="21"/>
      <c r="Y67" s="21"/>
      <c r="Z67" s="21"/>
    </row>
    <row r="68" spans="8:26" ht="14.25" x14ac:dyDescent="0.2">
      <c r="H68" s="9"/>
      <c r="U68" s="152"/>
      <c r="V68" s="21"/>
      <c r="W68" s="21"/>
      <c r="X68" s="21"/>
      <c r="Y68" s="21"/>
      <c r="Z68" s="21"/>
    </row>
    <row r="69" spans="8:26" ht="14.25" x14ac:dyDescent="0.2">
      <c r="H69" s="9"/>
      <c r="U69" s="152"/>
      <c r="V69" s="21"/>
      <c r="W69" s="21"/>
      <c r="X69" s="21"/>
      <c r="Y69" s="21"/>
      <c r="Z69" s="21"/>
    </row>
    <row r="70" spans="8:26" ht="14.25" x14ac:dyDescent="0.2">
      <c r="H70" s="9"/>
      <c r="U70" s="152"/>
      <c r="V70" s="21"/>
      <c r="W70" s="21"/>
      <c r="X70" s="21"/>
      <c r="Y70" s="21"/>
      <c r="Z70" s="21"/>
    </row>
    <row r="71" spans="8:26" ht="14.25" x14ac:dyDescent="0.2">
      <c r="H71" s="9"/>
      <c r="U71" s="152"/>
      <c r="V71" s="21"/>
      <c r="W71" s="21"/>
      <c r="X71" s="21"/>
      <c r="Y71" s="21"/>
      <c r="Z71" s="21"/>
    </row>
    <row r="72" spans="8:26" ht="14.25" x14ac:dyDescent="0.2">
      <c r="H72" s="9"/>
      <c r="U72" s="152"/>
      <c r="V72" s="21"/>
      <c r="W72" s="21"/>
      <c r="X72" s="21"/>
      <c r="Y72" s="21"/>
      <c r="Z72" s="21"/>
    </row>
    <row r="73" spans="8:26" ht="14.25" x14ac:dyDescent="0.2">
      <c r="H73" s="9"/>
      <c r="U73" s="152"/>
      <c r="V73" s="21"/>
      <c r="W73" s="21"/>
      <c r="X73" s="21"/>
      <c r="Y73" s="21"/>
      <c r="Z73" s="21"/>
    </row>
    <row r="74" spans="8:26" ht="14.25" x14ac:dyDescent="0.2">
      <c r="U74" s="152"/>
      <c r="V74" s="21"/>
      <c r="W74" s="21"/>
      <c r="X74" s="21"/>
      <c r="Y74" s="21"/>
      <c r="Z74" s="21"/>
    </row>
    <row r="75" spans="8:26" ht="14.25" x14ac:dyDescent="0.2">
      <c r="H75" s="9"/>
      <c r="U75" s="152"/>
      <c r="V75" s="21"/>
      <c r="W75" s="21"/>
      <c r="X75" s="21"/>
      <c r="Y75" s="21"/>
      <c r="Z75" s="21"/>
    </row>
    <row r="76" spans="8:26" ht="14.25" x14ac:dyDescent="0.2">
      <c r="H76" s="9"/>
      <c r="U76" s="152"/>
      <c r="V76" s="21"/>
      <c r="W76" s="21"/>
      <c r="X76" s="21"/>
      <c r="Y76" s="21"/>
      <c r="Z76" s="21"/>
    </row>
    <row r="77" spans="8:26" ht="14.25" x14ac:dyDescent="0.2">
      <c r="H77" s="9"/>
      <c r="U77" s="152"/>
      <c r="V77" s="21"/>
      <c r="W77" s="21"/>
      <c r="X77" s="21"/>
      <c r="Y77" s="21"/>
      <c r="Z77" s="21"/>
    </row>
    <row r="78" spans="8:26" ht="14.25" x14ac:dyDescent="0.2">
      <c r="H78" s="9"/>
      <c r="U78" s="152"/>
      <c r="V78" s="21"/>
      <c r="W78" s="21"/>
      <c r="X78" s="21"/>
      <c r="Y78" s="21"/>
      <c r="Z78" s="21"/>
    </row>
    <row r="79" spans="8:26" ht="14.25" x14ac:dyDescent="0.2">
      <c r="H79" s="9"/>
      <c r="U79" s="152"/>
      <c r="V79" s="21"/>
      <c r="W79" s="21"/>
      <c r="X79" s="21"/>
      <c r="Y79" s="21"/>
      <c r="Z79" s="21"/>
    </row>
    <row r="80" spans="8:26" ht="14.25" x14ac:dyDescent="0.2">
      <c r="H80" s="9"/>
      <c r="U80" s="152"/>
      <c r="V80" s="21"/>
      <c r="W80" s="21"/>
      <c r="X80" s="21"/>
      <c r="Y80" s="21"/>
      <c r="Z80" s="21"/>
    </row>
    <row r="81" spans="1:26" ht="14.25" x14ac:dyDescent="0.2">
      <c r="U81" s="152"/>
      <c r="V81" s="21"/>
      <c r="W81" s="21"/>
      <c r="X81" s="21"/>
      <c r="Y81" s="21"/>
      <c r="Z81" s="21"/>
    </row>
    <row r="82" spans="1:26" ht="14.25" x14ac:dyDescent="0.2">
      <c r="U82" s="152"/>
      <c r="V82" s="21"/>
      <c r="W82" s="21"/>
      <c r="X82" s="21"/>
      <c r="Y82" s="21"/>
      <c r="Z82" s="21"/>
    </row>
    <row r="83" spans="1:26" ht="14.25" x14ac:dyDescent="0.2">
      <c r="U83" s="152"/>
      <c r="V83" s="21"/>
      <c r="W83" s="21"/>
      <c r="X83" s="21"/>
      <c r="Y83" s="21"/>
      <c r="Z83" s="21"/>
    </row>
    <row r="84" spans="1:26" ht="14.25" x14ac:dyDescent="0.2">
      <c r="U84" s="152"/>
      <c r="V84" s="21"/>
      <c r="W84" s="21"/>
      <c r="X84" s="21"/>
      <c r="Y84" s="21"/>
      <c r="Z84" s="21"/>
    </row>
    <row r="85" spans="1:26" ht="14.25" x14ac:dyDescent="0.2">
      <c r="U85" s="152"/>
      <c r="V85" s="21"/>
      <c r="W85" s="21"/>
      <c r="X85" s="21"/>
      <c r="Y85" s="21"/>
      <c r="Z85" s="21"/>
    </row>
    <row r="86" spans="1:26" ht="14.25" x14ac:dyDescent="0.2">
      <c r="U86" s="152"/>
      <c r="V86" s="21"/>
      <c r="W86" s="21"/>
      <c r="X86" s="21"/>
      <c r="Y86" s="21"/>
      <c r="Z86" s="21"/>
    </row>
    <row r="87" spans="1:26" ht="14.25" x14ac:dyDescent="0.2">
      <c r="A87" s="23"/>
      <c r="B87" s="23"/>
      <c r="C87" s="23"/>
      <c r="D87" s="23"/>
      <c r="T87" s="151"/>
      <c r="U87" s="152"/>
      <c r="V87" s="21"/>
      <c r="W87" s="21"/>
      <c r="X87" s="21"/>
      <c r="Y87" s="21"/>
      <c r="Z87" s="21"/>
    </row>
    <row r="88" spans="1:26" ht="14.25" x14ac:dyDescent="0.2">
      <c r="T88" s="151"/>
      <c r="U88" s="152"/>
      <c r="V88" s="21"/>
      <c r="W88" s="21"/>
      <c r="X88" s="21"/>
      <c r="Y88" s="21"/>
      <c r="Z88" s="21"/>
    </row>
    <row r="89" spans="1:26" ht="14.25" x14ac:dyDescent="0.2">
      <c r="T89" s="151"/>
      <c r="U89" s="152"/>
      <c r="V89" s="21"/>
      <c r="W89" s="21"/>
      <c r="X89" s="21"/>
      <c r="Y89" s="21"/>
      <c r="Z89" s="21"/>
    </row>
    <row r="90" spans="1:26" ht="14.25" x14ac:dyDescent="0.2">
      <c r="T90" s="151"/>
      <c r="U90" s="152"/>
      <c r="V90" s="21"/>
      <c r="W90" s="21"/>
      <c r="X90" s="21"/>
      <c r="Y90" s="21"/>
      <c r="Z90" s="21"/>
    </row>
    <row r="91" spans="1:26" ht="14.25" x14ac:dyDescent="0.2">
      <c r="T91" s="151"/>
      <c r="U91" s="152"/>
      <c r="V91" s="21"/>
      <c r="W91" s="21"/>
      <c r="X91" s="21"/>
      <c r="Y91" s="21"/>
      <c r="Z91" s="21"/>
    </row>
    <row r="92" spans="1:26" ht="14.25" x14ac:dyDescent="0.2">
      <c r="T92" s="151"/>
      <c r="U92" s="152"/>
      <c r="V92" s="21"/>
      <c r="W92" s="21"/>
      <c r="X92" s="21"/>
      <c r="Y92" s="21"/>
      <c r="Z92" s="21"/>
    </row>
    <row r="93" spans="1:26" ht="14.25" x14ac:dyDescent="0.2">
      <c r="T93" s="151"/>
      <c r="U93" s="152"/>
      <c r="V93" s="21"/>
      <c r="W93" s="21"/>
      <c r="X93" s="21"/>
      <c r="Y93" s="21"/>
      <c r="Z93" s="21"/>
    </row>
    <row r="94" spans="1:26" ht="14.25" x14ac:dyDescent="0.2">
      <c r="T94" s="151"/>
      <c r="U94" s="152"/>
      <c r="V94" s="21"/>
      <c r="W94" s="21"/>
      <c r="X94" s="21"/>
      <c r="Y94" s="21"/>
      <c r="Z94" s="21"/>
    </row>
    <row r="95" spans="1:26" ht="14.25" x14ac:dyDescent="0.2">
      <c r="T95" s="151"/>
      <c r="U95" s="152"/>
      <c r="V95" s="21"/>
      <c r="W95" s="21"/>
      <c r="X95" s="21"/>
      <c r="Y95" s="21"/>
      <c r="Z95" s="21"/>
    </row>
    <row r="96" spans="1:26" ht="14.25" x14ac:dyDescent="0.2">
      <c r="T96" s="151"/>
      <c r="U96" s="152"/>
      <c r="V96" s="21"/>
      <c r="W96" s="21"/>
      <c r="X96" s="21"/>
      <c r="Y96" s="21"/>
      <c r="Z96" s="21"/>
    </row>
    <row r="97" spans="1:26" ht="14.25" x14ac:dyDescent="0.2">
      <c r="T97" s="151"/>
      <c r="U97" s="152"/>
      <c r="V97" s="21"/>
      <c r="W97" s="21"/>
      <c r="X97" s="21"/>
      <c r="Y97" s="21"/>
      <c r="Z97" s="21"/>
    </row>
    <row r="98" spans="1:26" ht="14.25" x14ac:dyDescent="0.2">
      <c r="T98" s="151"/>
      <c r="U98" s="152"/>
      <c r="V98" s="21"/>
      <c r="W98" s="21"/>
      <c r="X98" s="21"/>
      <c r="Y98" s="21"/>
      <c r="Z98" s="21"/>
    </row>
    <row r="99" spans="1:26" ht="14.25" x14ac:dyDescent="0.2">
      <c r="T99" s="151"/>
      <c r="U99" s="152"/>
      <c r="V99" s="21"/>
      <c r="W99" s="21"/>
      <c r="X99" s="21"/>
      <c r="Y99" s="21"/>
      <c r="Z99" s="21"/>
    </row>
    <row r="100" spans="1:26" ht="14.25" x14ac:dyDescent="0.2">
      <c r="A100" s="23"/>
      <c r="B100" s="23"/>
      <c r="C100" s="23"/>
      <c r="D100" s="23"/>
      <c r="T100" s="151"/>
      <c r="U100" s="152"/>
      <c r="V100" s="21"/>
      <c r="W100" s="21"/>
      <c r="X100" s="21"/>
      <c r="Y100" s="21"/>
      <c r="Z100" s="21"/>
    </row>
    <row r="101" spans="1:26" ht="14.25" x14ac:dyDescent="0.2">
      <c r="A101" s="23"/>
      <c r="B101" s="23"/>
      <c r="C101" s="23"/>
      <c r="D101" s="23"/>
      <c r="T101" s="151"/>
      <c r="U101" s="152"/>
      <c r="V101" s="21"/>
      <c r="W101" s="21"/>
      <c r="X101" s="21"/>
      <c r="Y101" s="21"/>
      <c r="Z101" s="21"/>
    </row>
    <row r="102" spans="1:26" ht="14.25" x14ac:dyDescent="0.2">
      <c r="A102" s="23"/>
      <c r="B102" s="23"/>
      <c r="C102" s="23"/>
      <c r="D102" s="23"/>
      <c r="T102" s="151"/>
      <c r="U102" s="152"/>
      <c r="V102" s="21"/>
      <c r="W102" s="21"/>
      <c r="X102" s="21"/>
      <c r="Y102" s="21"/>
      <c r="Z102" s="21"/>
    </row>
    <row r="103" spans="1:26" ht="14.25" x14ac:dyDescent="0.2">
      <c r="A103" s="23"/>
      <c r="B103" s="23"/>
      <c r="C103" s="23"/>
      <c r="D103" s="23"/>
      <c r="T103" s="151"/>
      <c r="U103" s="152"/>
      <c r="V103" s="21"/>
      <c r="W103" s="21"/>
      <c r="X103" s="21"/>
      <c r="Y103" s="21"/>
      <c r="Z103" s="21"/>
    </row>
    <row r="104" spans="1:26" ht="14.25" x14ac:dyDescent="0.2">
      <c r="A104" s="23"/>
      <c r="B104" s="23"/>
      <c r="C104" s="23"/>
      <c r="D104" s="23"/>
      <c r="T104" s="151"/>
      <c r="U104" s="152"/>
      <c r="V104" s="21"/>
      <c r="W104" s="21"/>
      <c r="X104" s="21"/>
      <c r="Y104" s="21"/>
      <c r="Z104" s="21"/>
    </row>
    <row r="105" spans="1:26" ht="14.25" x14ac:dyDescent="0.2">
      <c r="A105" s="23"/>
      <c r="B105" s="23"/>
      <c r="C105" s="23"/>
      <c r="D105" s="23"/>
      <c r="T105" s="151"/>
      <c r="U105" s="152"/>
      <c r="V105" s="21"/>
      <c r="W105" s="21"/>
      <c r="X105" s="21"/>
      <c r="Y105" s="21"/>
      <c r="Z105" s="21"/>
    </row>
    <row r="106" spans="1:26" ht="14.25" x14ac:dyDescent="0.2">
      <c r="A106" s="23"/>
      <c r="B106" s="23"/>
      <c r="C106" s="23"/>
      <c r="D106" s="23"/>
      <c r="T106" s="151"/>
      <c r="U106" s="152"/>
      <c r="V106" s="21"/>
      <c r="W106" s="21"/>
      <c r="X106" s="21"/>
      <c r="Y106" s="21"/>
      <c r="Z106" s="21"/>
    </row>
    <row r="107" spans="1:26" ht="14.25" x14ac:dyDescent="0.2">
      <c r="A107" s="23"/>
      <c r="B107" s="23"/>
      <c r="C107" s="23"/>
      <c r="D107" s="23"/>
      <c r="T107" s="151"/>
      <c r="U107" s="152"/>
      <c r="V107" s="21"/>
      <c r="W107" s="21"/>
      <c r="X107" s="21"/>
      <c r="Y107" s="21"/>
      <c r="Z107" s="21"/>
    </row>
    <row r="108" spans="1:26" ht="14.25" x14ac:dyDescent="0.2">
      <c r="A108" s="23"/>
      <c r="B108" s="23"/>
      <c r="C108" s="23"/>
      <c r="D108" s="23"/>
      <c r="T108" s="151"/>
      <c r="U108" s="152"/>
      <c r="V108" s="21"/>
      <c r="W108" s="21"/>
      <c r="X108" s="21"/>
      <c r="Y108" s="21"/>
      <c r="Z108" s="21"/>
    </row>
    <row r="109" spans="1:26" ht="14.25" x14ac:dyDescent="0.2">
      <c r="A109" s="23"/>
      <c r="B109" s="23"/>
      <c r="C109" s="23"/>
      <c r="D109" s="23"/>
      <c r="T109" s="151"/>
      <c r="U109" s="152"/>
      <c r="V109" s="21"/>
      <c r="W109" s="21"/>
      <c r="X109" s="21"/>
      <c r="Y109" s="21"/>
      <c r="Z109" s="21"/>
    </row>
    <row r="110" spans="1:26" ht="14.25" x14ac:dyDescent="0.2">
      <c r="A110" s="23"/>
      <c r="B110" s="23"/>
      <c r="C110" s="23"/>
      <c r="D110" s="23"/>
      <c r="T110" s="151"/>
      <c r="U110" s="152"/>
      <c r="V110" s="21"/>
      <c r="W110" s="21"/>
      <c r="X110" s="21"/>
      <c r="Y110" s="21"/>
      <c r="Z110" s="21"/>
    </row>
    <row r="111" spans="1:26" ht="14.25" x14ac:dyDescent="0.2">
      <c r="A111" s="23"/>
      <c r="B111" s="23"/>
      <c r="C111" s="23"/>
      <c r="D111" s="23"/>
      <c r="T111" s="151"/>
      <c r="U111" s="152"/>
      <c r="V111" s="21"/>
      <c r="W111" s="21"/>
      <c r="X111" s="21"/>
      <c r="Y111" s="21"/>
      <c r="Z111" s="21"/>
    </row>
    <row r="112" spans="1:26" ht="14.25" x14ac:dyDescent="0.2">
      <c r="A112" s="23"/>
      <c r="B112" s="23"/>
      <c r="C112" s="23"/>
      <c r="D112" s="23"/>
      <c r="T112" s="151"/>
      <c r="U112" s="152"/>
      <c r="V112" s="21"/>
      <c r="W112" s="21"/>
      <c r="X112" s="21"/>
      <c r="Y112" s="21"/>
      <c r="Z112" s="21"/>
    </row>
    <row r="113" spans="1:26" ht="14.25" x14ac:dyDescent="0.2">
      <c r="A113" s="23"/>
      <c r="B113" s="23"/>
      <c r="C113" s="23"/>
      <c r="D113" s="23"/>
      <c r="T113" s="151"/>
      <c r="U113" s="152"/>
      <c r="V113" s="21"/>
      <c r="W113" s="21"/>
      <c r="X113" s="21"/>
      <c r="Y113" s="21"/>
      <c r="Z113" s="21"/>
    </row>
    <row r="114" spans="1:26" ht="13.5" x14ac:dyDescent="0.2">
      <c r="A114" s="24"/>
      <c r="B114" s="24"/>
      <c r="T114" s="153"/>
      <c r="V114" s="21"/>
      <c r="W114" s="21"/>
      <c r="X114" s="21"/>
      <c r="Y114" s="21"/>
      <c r="Z114" s="21"/>
    </row>
    <row r="128" spans="1:26" ht="16.899999999999999" customHeight="1" x14ac:dyDescent="0.2">
      <c r="A128" s="25"/>
    </row>
    <row r="129" spans="1:26" ht="12" customHeight="1" x14ac:dyDescent="0.2">
      <c r="A129" s="4"/>
    </row>
    <row r="130" spans="1:26" ht="13.15" customHeight="1" x14ac:dyDescent="0.2"/>
    <row r="131" spans="1:26" ht="13.15" customHeight="1" x14ac:dyDescent="0.2"/>
    <row r="132" spans="1:26" ht="13.15" customHeight="1" x14ac:dyDescent="0.2"/>
    <row r="133" spans="1:26" s="149" customFormat="1" ht="13.15" customHeight="1" x14ac:dyDescent="0.2">
      <c r="A133" s="1"/>
      <c r="B133" s="1"/>
      <c r="C133" s="1"/>
      <c r="D133" s="1"/>
      <c r="E133" s="1"/>
      <c r="F133" s="1"/>
      <c r="G133" s="1"/>
      <c r="H133" s="1"/>
      <c r="P133" s="1"/>
      <c r="Q133" s="1"/>
      <c r="T133" s="150"/>
      <c r="U133" s="150"/>
      <c r="V133" s="1"/>
      <c r="W133" s="1"/>
      <c r="X133" s="1"/>
      <c r="Y133" s="1"/>
      <c r="Z133" s="1"/>
    </row>
    <row r="134" spans="1:26" s="149" customFormat="1" ht="13.15" customHeight="1" x14ac:dyDescent="0.2">
      <c r="A134" s="1"/>
      <c r="B134" s="1"/>
      <c r="C134" s="1"/>
      <c r="D134" s="1"/>
      <c r="E134" s="1"/>
      <c r="F134" s="1"/>
      <c r="G134" s="1"/>
      <c r="H134" s="1"/>
      <c r="P134" s="1"/>
      <c r="Q134" s="1"/>
      <c r="T134" s="150"/>
      <c r="U134" s="150"/>
      <c r="V134" s="1"/>
      <c r="W134" s="1"/>
      <c r="X134" s="1"/>
      <c r="Y134" s="1"/>
      <c r="Z134" s="1"/>
    </row>
    <row r="135" spans="1:26" s="149" customFormat="1" ht="13.15" customHeight="1" x14ac:dyDescent="0.2">
      <c r="A135" s="1"/>
      <c r="B135" s="1"/>
      <c r="C135" s="1"/>
      <c r="D135" s="1"/>
      <c r="E135" s="1"/>
      <c r="F135" s="1"/>
      <c r="G135" s="1"/>
      <c r="H135" s="1"/>
      <c r="P135" s="1"/>
      <c r="Q135" s="1"/>
      <c r="T135" s="150"/>
      <c r="U135" s="150"/>
      <c r="V135" s="1"/>
      <c r="W135" s="1"/>
      <c r="X135" s="1"/>
      <c r="Y135" s="1"/>
      <c r="Z135" s="1"/>
    </row>
    <row r="136" spans="1:26" s="149" customFormat="1" ht="12" customHeight="1" x14ac:dyDescent="0.2">
      <c r="A136" s="1"/>
      <c r="B136" s="1"/>
      <c r="C136" s="1"/>
      <c r="D136" s="1"/>
      <c r="E136" s="1"/>
      <c r="F136" s="1"/>
      <c r="G136" s="1"/>
      <c r="H136" s="1"/>
      <c r="P136" s="1"/>
      <c r="Q136" s="1"/>
      <c r="T136" s="150"/>
      <c r="U136" s="150"/>
      <c r="V136" s="1"/>
      <c r="W136" s="1"/>
      <c r="X136" s="1"/>
      <c r="Y136" s="1"/>
      <c r="Z136" s="1"/>
    </row>
    <row r="137" spans="1:26" s="149" customFormat="1" ht="12" customHeight="1" x14ac:dyDescent="0.2">
      <c r="A137" s="1"/>
      <c r="B137" s="1"/>
      <c r="C137" s="1"/>
      <c r="D137" s="1"/>
      <c r="E137" s="1"/>
      <c r="F137" s="1"/>
      <c r="G137" s="1"/>
      <c r="H137" s="1"/>
      <c r="P137" s="1"/>
      <c r="Q137" s="1"/>
      <c r="T137" s="150"/>
      <c r="U137" s="150"/>
      <c r="V137" s="1"/>
      <c r="W137" s="1"/>
      <c r="X137" s="1"/>
      <c r="Y137" s="1"/>
      <c r="Z137" s="1"/>
    </row>
    <row r="138" spans="1:26" s="149" customFormat="1" ht="15" customHeight="1" x14ac:dyDescent="0.2">
      <c r="A138" s="1"/>
      <c r="B138" s="1"/>
      <c r="C138" s="1"/>
      <c r="D138" s="1"/>
      <c r="E138" s="1"/>
      <c r="F138" s="1"/>
      <c r="G138" s="1"/>
      <c r="H138" s="1"/>
      <c r="P138" s="1"/>
      <c r="Q138" s="1"/>
      <c r="T138" s="150"/>
      <c r="U138" s="150"/>
      <c r="V138" s="1"/>
      <c r="W138" s="1"/>
      <c r="X138" s="1"/>
      <c r="Y138" s="1"/>
      <c r="Z138" s="1"/>
    </row>
    <row r="139" spans="1:26" s="149" customFormat="1" ht="15" customHeight="1" x14ac:dyDescent="0.2">
      <c r="A139" s="1"/>
      <c r="B139" s="1"/>
      <c r="C139" s="1"/>
      <c r="D139" s="1"/>
      <c r="E139" s="1"/>
      <c r="F139" s="1"/>
      <c r="G139" s="1"/>
      <c r="H139" s="1"/>
      <c r="P139" s="1"/>
      <c r="Q139" s="1"/>
      <c r="T139" s="150"/>
      <c r="U139" s="150"/>
      <c r="V139" s="1"/>
      <c r="W139" s="1"/>
      <c r="X139" s="1"/>
      <c r="Y139" s="1"/>
      <c r="Z139" s="1"/>
    </row>
  </sheetData>
  <sheetProtection sheet="1" formatCells="0" formatColumns="0" formatRows="0"/>
  <phoneticPr fontId="4"/>
  <pageMargins left="0.7" right="0.7" top="0.75" bottom="0.75" header="0.3" footer="0.3"/>
  <pageSetup paperSize="9"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9B341-421A-44BC-B8BF-50E727495CE1}">
  <dimension ref="A1:Z137"/>
  <sheetViews>
    <sheetView zoomScale="160" zoomScaleNormal="160" workbookViewId="0">
      <selection activeCell="Q5" sqref="Q5"/>
    </sheetView>
  </sheetViews>
  <sheetFormatPr defaultColWidth="9.33203125" defaultRowHeight="12.75" x14ac:dyDescent="0.2"/>
  <cols>
    <col min="1" max="2" width="9.33203125" style="1"/>
    <col min="3" max="7" width="10.1640625" style="1" customWidth="1"/>
    <col min="8" max="8" width="10.33203125" style="1" bestFit="1" customWidth="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1031</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1037</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27" customFormat="1" ht="15" customHeight="1" x14ac:dyDescent="0.2">
      <c r="A6" s="574" t="s">
        <v>1032</v>
      </c>
      <c r="N6" s="113"/>
      <c r="O6" s="113"/>
      <c r="P6" s="2"/>
      <c r="Q6" s="2"/>
      <c r="R6" s="113"/>
      <c r="S6" s="113"/>
    </row>
    <row r="7" spans="1:25" s="227" customFormat="1" ht="15" customHeight="1" x14ac:dyDescent="0.2">
      <c r="A7" s="852" t="s">
        <v>1033</v>
      </c>
      <c r="N7" s="113"/>
      <c r="O7" s="113"/>
      <c r="P7" s="2"/>
      <c r="Q7" s="2"/>
      <c r="R7" s="113"/>
      <c r="S7" s="113"/>
    </row>
    <row r="8" spans="1:25" s="227" customFormat="1" ht="15" customHeight="1" x14ac:dyDescent="0.2">
      <c r="A8" s="852" t="s">
        <v>1034</v>
      </c>
      <c r="N8" s="113"/>
      <c r="O8" s="113"/>
      <c r="P8" s="2"/>
      <c r="Q8" s="2"/>
      <c r="R8" s="113"/>
      <c r="S8" s="113"/>
    </row>
    <row r="9" spans="1:25" s="227" customFormat="1" ht="15" customHeight="1" x14ac:dyDescent="0.2">
      <c r="A9" s="852" t="s">
        <v>1035</v>
      </c>
      <c r="N9" s="113"/>
      <c r="O9" s="113"/>
      <c r="P9" s="2"/>
      <c r="Q9" s="2"/>
      <c r="R9" s="113"/>
      <c r="S9" s="113"/>
    </row>
    <row r="10" spans="1:25" s="227" customFormat="1" ht="15" customHeight="1" x14ac:dyDescent="0.2">
      <c r="A10" s="574" t="s">
        <v>1036</v>
      </c>
      <c r="N10" s="113"/>
      <c r="O10" s="113"/>
      <c r="P10" s="1"/>
      <c r="Q10" s="1"/>
      <c r="R10" s="113"/>
      <c r="S10" s="113"/>
    </row>
    <row r="11" spans="1:25" x14ac:dyDescent="0.2">
      <c r="A11" s="97"/>
      <c r="B11" s="97"/>
      <c r="C11" s="97"/>
      <c r="D11" s="97"/>
      <c r="E11" s="97"/>
      <c r="F11" s="97"/>
      <c r="G11" s="97"/>
      <c r="H11" s="97"/>
      <c r="I11" s="113"/>
      <c r="J11" s="113"/>
      <c r="K11" s="113"/>
      <c r="L11" s="113"/>
      <c r="M11" s="113"/>
      <c r="N11" s="113"/>
      <c r="O11" s="113"/>
      <c r="R11" s="113"/>
      <c r="S11" s="113"/>
      <c r="T11" s="146"/>
      <c r="U11" s="146"/>
    </row>
    <row r="12" spans="1:25" x14ac:dyDescent="0.2">
      <c r="A12" s="97"/>
      <c r="B12" s="97"/>
      <c r="C12" s="97"/>
      <c r="D12" s="97"/>
      <c r="E12" s="97"/>
      <c r="F12" s="97"/>
      <c r="G12" s="97"/>
      <c r="H12" s="97"/>
      <c r="I12" s="113"/>
      <c r="J12" s="113"/>
      <c r="K12" s="113"/>
      <c r="L12" s="113"/>
      <c r="M12" s="113"/>
      <c r="N12" s="113"/>
      <c r="O12" s="113"/>
      <c r="R12" s="113"/>
      <c r="S12" s="113"/>
      <c r="T12" s="146"/>
      <c r="U12" s="146"/>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
        <v>197</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12</v>
      </c>
      <c r="N16" s="104" t="s">
        <v>1058</v>
      </c>
      <c r="O16" s="104" t="s">
        <v>100</v>
      </c>
      <c r="P16" s="6" t="s">
        <v>105</v>
      </c>
      <c r="Q16" s="6" t="s">
        <v>106</v>
      </c>
      <c r="R16" s="104" t="s">
        <v>1051</v>
      </c>
      <c r="S16" s="104" t="s">
        <v>1052</v>
      </c>
      <c r="T16" s="147" t="s">
        <v>80</v>
      </c>
      <c r="U16" s="147" t="s">
        <v>81</v>
      </c>
      <c r="V16" s="5" t="s">
        <v>101</v>
      </c>
      <c r="W16" s="5" t="s">
        <v>102</v>
      </c>
      <c r="X16" s="112" t="s">
        <v>103</v>
      </c>
      <c r="Y16" s="112" t="s">
        <v>104</v>
      </c>
    </row>
    <row r="17" spans="1:26" x14ac:dyDescent="0.2">
      <c r="A17" s="213" t="str">
        <f>A29</f>
        <v>CERI</v>
      </c>
      <c r="B17" s="213">
        <f>B29</f>
        <v>153748</v>
      </c>
      <c r="C17" s="214">
        <f>C29</f>
        <v>992.99</v>
      </c>
      <c r="D17" s="214">
        <f>F29</f>
        <v>0.44</v>
      </c>
      <c r="E17" s="214">
        <f>G29</f>
        <v>993.1</v>
      </c>
      <c r="F17" s="214">
        <f>H29/I29</f>
        <v>0.55000000000000004</v>
      </c>
      <c r="G17" s="214">
        <f>J29</f>
        <v>0.1</v>
      </c>
      <c r="H17" s="214">
        <f>L29</f>
        <v>1.4</v>
      </c>
      <c r="I17" s="155">
        <f t="shared" ref="I17:I24" si="0">IF(ABS(G17)&gt;ABS(H17), 1, 0)</f>
        <v>0</v>
      </c>
      <c r="J17" s="155">
        <f t="shared" ref="J17:J24" si="1">I17*ABS(C17-E17)</f>
        <v>0</v>
      </c>
      <c r="K17" s="155">
        <f t="shared" ref="K17:K24" si="2">SQRT(SUMSQ(F17,J17))*2</f>
        <v>1.1000000000000001</v>
      </c>
      <c r="L17" s="155">
        <f t="shared" ref="L17:L24" si="3">IF(C17&lt;$K$2, C17, $K$1)</f>
        <v>10</v>
      </c>
      <c r="M17" s="156">
        <f t="shared" ref="M17:M24" si="4">IF(AND(C17&lt;$K$1,C17&gt; $K$2), K17/L17*100, K17/C17*100)</f>
        <v>0.11077654357042871</v>
      </c>
      <c r="N17" s="157">
        <f t="shared" ref="N17" si="5">M17*L17/100</f>
        <v>1.107765435704287E-2</v>
      </c>
      <c r="O17" s="155">
        <f t="shared" ref="O17" si="6">N17/(M17*L17/100)*100</f>
        <v>100</v>
      </c>
      <c r="P17" s="250">
        <v>1</v>
      </c>
      <c r="Q17" s="250">
        <v>1000</v>
      </c>
      <c r="R17" s="148">
        <f>IF( IF(P17&lt;L17, M17*L17/P17, M17)&gt;100, "ERROR",  IF(P17&lt;L17, M17*L17/P17, M17))</f>
        <v>1.107765435704287</v>
      </c>
      <c r="S17" s="148">
        <f>IF(IF(Q17&lt;L17, M17*L17/Q17, M17)&gt;100, "ERROR", IF(Q17&lt;L17, M17*L17/Q17, M17))</f>
        <v>0.11077654357042871</v>
      </c>
      <c r="T17" s="148">
        <f>R17*P17*0.01</f>
        <v>1.107765435704287E-2</v>
      </c>
      <c r="U17" s="148">
        <f>S17*Q17*0.01</f>
        <v>1.1077654357042872</v>
      </c>
      <c r="V17" s="7">
        <f>P17*1000</f>
        <v>1000</v>
      </c>
      <c r="W17" s="7">
        <f>Q17*1000</f>
        <v>1000000</v>
      </c>
      <c r="X17" s="1345">
        <f>T17*1000</f>
        <v>11.077654357042871</v>
      </c>
      <c r="Y17" s="1345">
        <f>U17*1000</f>
        <v>1107.7654357042873</v>
      </c>
    </row>
    <row r="18" spans="1:26" x14ac:dyDescent="0.2">
      <c r="A18" s="213" t="str">
        <f t="shared" ref="A18:C18" si="7">A30</f>
        <v>INMETRO</v>
      </c>
      <c r="B18" s="213">
        <f t="shared" si="7"/>
        <v>153926</v>
      </c>
      <c r="C18" s="214">
        <f t="shared" si="7"/>
        <v>991.44</v>
      </c>
      <c r="D18" s="214">
        <f t="shared" ref="D18:E18" si="8">F30</f>
        <v>0.44</v>
      </c>
      <c r="E18" s="214">
        <f t="shared" si="8"/>
        <v>990.9</v>
      </c>
      <c r="F18" s="214">
        <f t="shared" ref="F18:F24" si="9">H30/I30</f>
        <v>1.1499999999999999</v>
      </c>
      <c r="G18" s="214">
        <f t="shared" ref="G18:G24" si="10">J30</f>
        <v>-0.5</v>
      </c>
      <c r="H18" s="214">
        <f t="shared" ref="H18:H24" si="11">L30</f>
        <v>2.5</v>
      </c>
      <c r="I18" s="155">
        <f t="shared" si="0"/>
        <v>0</v>
      </c>
      <c r="J18" s="155">
        <f t="shared" si="1"/>
        <v>0</v>
      </c>
      <c r="K18" s="155">
        <f t="shared" si="2"/>
        <v>2.2999999999999998</v>
      </c>
      <c r="L18" s="155">
        <f t="shared" si="3"/>
        <v>10</v>
      </c>
      <c r="M18" s="156">
        <f t="shared" si="4"/>
        <v>0.23198579843460015</v>
      </c>
      <c r="N18" s="157">
        <f t="shared" ref="N18:N24" si="12">M18*L18/100</f>
        <v>2.3198579843460014E-2</v>
      </c>
      <c r="O18" s="155">
        <f t="shared" ref="O18:O24" si="13">N18/(M18*L18/100)*100</f>
        <v>100</v>
      </c>
      <c r="P18" s="250">
        <v>1</v>
      </c>
      <c r="Q18" s="250">
        <v>1000</v>
      </c>
      <c r="R18" s="148">
        <f t="shared" ref="R18:R24" si="14">IF( IF(P18&lt;L18, M18*L18/P18, M18)&gt;100, "ERROR",  IF(P18&lt;L18, M18*L18/P18, M18))</f>
        <v>2.3198579843460014</v>
      </c>
      <c r="S18" s="148">
        <f t="shared" ref="S18:S24" si="15">IF(IF(Q18&lt;L18, M18*L18/Q18, M18)&gt;100, "ERROR", IF(Q18&lt;L18, M18*L18/Q18, M18))</f>
        <v>0.23198579843460015</v>
      </c>
      <c r="T18" s="148">
        <f t="shared" ref="T18:U24" si="16">R18*P18*0.01</f>
        <v>2.3198579843460014E-2</v>
      </c>
      <c r="U18" s="148">
        <f t="shared" si="16"/>
        <v>2.3198579843460014</v>
      </c>
      <c r="V18" s="7">
        <f t="shared" ref="V18:W24" si="17">P18*1000</f>
        <v>1000</v>
      </c>
      <c r="W18" s="7">
        <f t="shared" si="17"/>
        <v>1000000</v>
      </c>
      <c r="X18" s="1345">
        <f t="shared" ref="X18:Y24" si="18">T18*1000</f>
        <v>23.198579843460013</v>
      </c>
      <c r="Y18" s="1345">
        <f t="shared" si="18"/>
        <v>2319.8579843460016</v>
      </c>
    </row>
    <row r="19" spans="1:26" x14ac:dyDescent="0.2">
      <c r="A19" s="213" t="str">
        <f t="shared" ref="A19:C19" si="19">A31</f>
        <v>KRISS</v>
      </c>
      <c r="B19" s="213">
        <f t="shared" si="19"/>
        <v>153769</v>
      </c>
      <c r="C19" s="214">
        <f t="shared" si="19"/>
        <v>991.01</v>
      </c>
      <c r="D19" s="214">
        <f t="shared" ref="D19:E19" si="20">F31</f>
        <v>0.44</v>
      </c>
      <c r="E19" s="214">
        <f t="shared" si="20"/>
        <v>991.2</v>
      </c>
      <c r="F19" s="214">
        <f t="shared" si="9"/>
        <v>0.5</v>
      </c>
      <c r="G19" s="214">
        <f t="shared" si="10"/>
        <v>0.2</v>
      </c>
      <c r="H19" s="214">
        <f t="shared" si="11"/>
        <v>1.3</v>
      </c>
      <c r="I19" s="155">
        <f t="shared" si="0"/>
        <v>0</v>
      </c>
      <c r="J19" s="155">
        <f t="shared" si="1"/>
        <v>0</v>
      </c>
      <c r="K19" s="155">
        <f t="shared" si="2"/>
        <v>1</v>
      </c>
      <c r="L19" s="155">
        <f t="shared" si="3"/>
        <v>10</v>
      </c>
      <c r="M19" s="156">
        <f t="shared" si="4"/>
        <v>0.1009071553263842</v>
      </c>
      <c r="N19" s="157">
        <f t="shared" si="12"/>
        <v>1.009071553263842E-2</v>
      </c>
      <c r="O19" s="155">
        <f t="shared" si="13"/>
        <v>100</v>
      </c>
      <c r="P19" s="250">
        <v>1</v>
      </c>
      <c r="Q19" s="250">
        <v>1000</v>
      </c>
      <c r="R19" s="148">
        <f t="shared" si="14"/>
        <v>1.0090715532638419</v>
      </c>
      <c r="S19" s="148">
        <f t="shared" si="15"/>
        <v>0.1009071553263842</v>
      </c>
      <c r="T19" s="148">
        <f t="shared" si="16"/>
        <v>1.009071553263842E-2</v>
      </c>
      <c r="U19" s="148">
        <f t="shared" si="16"/>
        <v>1.0090715532638419</v>
      </c>
      <c r="V19" s="7">
        <f t="shared" si="17"/>
        <v>1000</v>
      </c>
      <c r="W19" s="7">
        <f t="shared" si="17"/>
        <v>1000000</v>
      </c>
      <c r="X19" s="1345">
        <f t="shared" si="18"/>
        <v>10.09071553263842</v>
      </c>
      <c r="Y19" s="1345">
        <f t="shared" si="18"/>
        <v>1009.0715532638419</v>
      </c>
    </row>
    <row r="20" spans="1:26" x14ac:dyDescent="0.2">
      <c r="A20" s="213" t="str">
        <f t="shared" ref="A20:C20" si="21">A32</f>
        <v>NIST</v>
      </c>
      <c r="B20" s="213">
        <f t="shared" si="21"/>
        <v>153887</v>
      </c>
      <c r="C20" s="214">
        <f t="shared" si="21"/>
        <v>992.51</v>
      </c>
      <c r="D20" s="214">
        <f t="shared" ref="D20:E20" si="22">F32</f>
        <v>0.44</v>
      </c>
      <c r="E20" s="214">
        <f t="shared" si="22"/>
        <v>994.3</v>
      </c>
      <c r="F20" s="214">
        <f t="shared" si="9"/>
        <v>0.75539568345323749</v>
      </c>
      <c r="G20" s="214">
        <f t="shared" si="10"/>
        <v>1.8</v>
      </c>
      <c r="H20" s="214">
        <f t="shared" si="11"/>
        <v>1.8</v>
      </c>
      <c r="I20" s="155">
        <f t="shared" si="0"/>
        <v>0</v>
      </c>
      <c r="J20" s="155">
        <f t="shared" si="1"/>
        <v>0</v>
      </c>
      <c r="K20" s="155">
        <f t="shared" si="2"/>
        <v>1.510791366906475</v>
      </c>
      <c r="L20" s="155">
        <f t="shared" si="3"/>
        <v>10</v>
      </c>
      <c r="M20" s="156">
        <f t="shared" si="4"/>
        <v>0.15221925894010893</v>
      </c>
      <c r="N20" s="157">
        <f t="shared" si="12"/>
        <v>1.5221925894010892E-2</v>
      </c>
      <c r="O20" s="155">
        <f t="shared" si="13"/>
        <v>100</v>
      </c>
      <c r="P20" s="250">
        <v>1</v>
      </c>
      <c r="Q20" s="250">
        <v>1000</v>
      </c>
      <c r="R20" s="148">
        <f t="shared" si="14"/>
        <v>1.5221925894010893</v>
      </c>
      <c r="S20" s="148">
        <f t="shared" si="15"/>
        <v>0.15221925894010893</v>
      </c>
      <c r="T20" s="148">
        <f t="shared" si="16"/>
        <v>1.5221925894010892E-2</v>
      </c>
      <c r="U20" s="148">
        <f t="shared" si="16"/>
        <v>1.5221925894010895</v>
      </c>
      <c r="V20" s="7">
        <f t="shared" si="17"/>
        <v>1000</v>
      </c>
      <c r="W20" s="7">
        <f t="shared" si="17"/>
        <v>1000000</v>
      </c>
      <c r="X20" s="1345">
        <f t="shared" si="18"/>
        <v>15.221925894010893</v>
      </c>
      <c r="Y20" s="1345">
        <f t="shared" si="18"/>
        <v>1522.1925894010894</v>
      </c>
    </row>
    <row r="21" spans="1:26" x14ac:dyDescent="0.2">
      <c r="A21" s="213" t="str">
        <f t="shared" ref="A21:C21" si="23">A33</f>
        <v>NMISA</v>
      </c>
      <c r="B21" s="213">
        <f t="shared" si="23"/>
        <v>153929</v>
      </c>
      <c r="C21" s="214">
        <f t="shared" si="23"/>
        <v>989.47</v>
      </c>
      <c r="D21" s="214">
        <f t="shared" ref="D21:E21" si="24">F33</f>
        <v>0.44</v>
      </c>
      <c r="E21" s="214">
        <f t="shared" si="24"/>
        <v>1000.2</v>
      </c>
      <c r="F21" s="214">
        <f t="shared" si="9"/>
        <v>1</v>
      </c>
      <c r="G21" s="214">
        <f t="shared" si="10"/>
        <v>10.7</v>
      </c>
      <c r="H21" s="214">
        <f t="shared" si="11"/>
        <v>2.2000000000000002</v>
      </c>
      <c r="I21" s="155">
        <f t="shared" si="0"/>
        <v>1</v>
      </c>
      <c r="J21" s="155">
        <f t="shared" si="1"/>
        <v>10.730000000000018</v>
      </c>
      <c r="K21" s="155">
        <f t="shared" si="2"/>
        <v>21.552995151486524</v>
      </c>
      <c r="L21" s="155">
        <f t="shared" si="3"/>
        <v>10</v>
      </c>
      <c r="M21" s="156">
        <f t="shared" si="4"/>
        <v>2.1782363438493864</v>
      </c>
      <c r="N21" s="157">
        <f t="shared" si="12"/>
        <v>0.21782363438493862</v>
      </c>
      <c r="O21" s="155">
        <f t="shared" si="13"/>
        <v>100</v>
      </c>
      <c r="P21" s="250">
        <v>1</v>
      </c>
      <c r="Q21" s="250">
        <v>1000</v>
      </c>
      <c r="R21" s="148">
        <f t="shared" si="14"/>
        <v>21.782363438493864</v>
      </c>
      <c r="S21" s="148">
        <f t="shared" si="15"/>
        <v>2.1782363438493864</v>
      </c>
      <c r="T21" s="148">
        <f t="shared" si="16"/>
        <v>0.21782363438493865</v>
      </c>
      <c r="U21" s="148">
        <f t="shared" si="16"/>
        <v>21.782363438493864</v>
      </c>
      <c r="V21" s="7">
        <f t="shared" si="17"/>
        <v>1000</v>
      </c>
      <c r="W21" s="7">
        <f t="shared" si="17"/>
        <v>1000000</v>
      </c>
      <c r="X21" s="1345">
        <f t="shared" si="18"/>
        <v>217.82363438493866</v>
      </c>
      <c r="Y21" s="1345">
        <f t="shared" si="18"/>
        <v>21782.363438493863</v>
      </c>
    </row>
    <row r="22" spans="1:26" x14ac:dyDescent="0.2">
      <c r="A22" s="213" t="str">
        <f t="shared" ref="A22:C22" si="25">A34</f>
        <v>NPL</v>
      </c>
      <c r="B22" s="213">
        <f t="shared" si="25"/>
        <v>153465</v>
      </c>
      <c r="C22" s="214">
        <f t="shared" si="25"/>
        <v>990.47</v>
      </c>
      <c r="D22" s="214">
        <f t="shared" ref="D22:E22" si="26">F34</f>
        <v>0.44</v>
      </c>
      <c r="E22" s="214">
        <f t="shared" si="26"/>
        <v>989.4</v>
      </c>
      <c r="F22" s="214">
        <f t="shared" si="9"/>
        <v>0.495</v>
      </c>
      <c r="G22" s="214">
        <f t="shared" si="10"/>
        <v>-1.1000000000000001</v>
      </c>
      <c r="H22" s="214">
        <f t="shared" si="11"/>
        <v>1.3</v>
      </c>
      <c r="I22" s="155">
        <f t="shared" si="0"/>
        <v>0</v>
      </c>
      <c r="J22" s="155">
        <f t="shared" si="1"/>
        <v>0</v>
      </c>
      <c r="K22" s="155">
        <f t="shared" si="2"/>
        <v>0.99</v>
      </c>
      <c r="L22" s="155">
        <f t="shared" si="3"/>
        <v>10</v>
      </c>
      <c r="M22" s="156">
        <f t="shared" si="4"/>
        <v>9.9952547780346693E-2</v>
      </c>
      <c r="N22" s="157">
        <f t="shared" si="12"/>
        <v>9.9952547780346682E-3</v>
      </c>
      <c r="O22" s="155">
        <f t="shared" si="13"/>
        <v>100</v>
      </c>
      <c r="P22" s="250">
        <v>1</v>
      </c>
      <c r="Q22" s="250">
        <v>1000</v>
      </c>
      <c r="R22" s="148">
        <f t="shared" si="14"/>
        <v>0.9995254778034669</v>
      </c>
      <c r="S22" s="148">
        <f t="shared" si="15"/>
        <v>9.9952547780346693E-2</v>
      </c>
      <c r="T22" s="148">
        <f t="shared" si="16"/>
        <v>9.99525477803467E-3</v>
      </c>
      <c r="U22" s="148">
        <f t="shared" si="16"/>
        <v>0.9995254778034669</v>
      </c>
      <c r="V22" s="7">
        <f t="shared" si="17"/>
        <v>1000</v>
      </c>
      <c r="W22" s="7">
        <f t="shared" si="17"/>
        <v>1000000</v>
      </c>
      <c r="X22" s="1345">
        <f t="shared" si="18"/>
        <v>9.9952547780346706</v>
      </c>
      <c r="Y22" s="1345">
        <f t="shared" si="18"/>
        <v>999.52547780346686</v>
      </c>
    </row>
    <row r="23" spans="1:26" x14ac:dyDescent="0.2">
      <c r="A23" s="213" t="str">
        <f t="shared" ref="A23:C23" si="27">A35</f>
        <v>VNIIM</v>
      </c>
      <c r="B23" s="213">
        <f t="shared" si="27"/>
        <v>153166</v>
      </c>
      <c r="C23" s="214">
        <f t="shared" si="27"/>
        <v>993.56</v>
      </c>
      <c r="D23" s="214">
        <f t="shared" ref="D23:E23" si="28">F35</f>
        <v>0.44</v>
      </c>
      <c r="E23" s="214">
        <f t="shared" si="28"/>
        <v>994.46</v>
      </c>
      <c r="F23" s="214">
        <f t="shared" si="9"/>
        <v>0.7</v>
      </c>
      <c r="G23" s="214">
        <f t="shared" si="10"/>
        <v>0.9</v>
      </c>
      <c r="H23" s="214">
        <f t="shared" si="11"/>
        <v>1.7</v>
      </c>
      <c r="I23" s="155">
        <f t="shared" si="0"/>
        <v>0</v>
      </c>
      <c r="J23" s="155">
        <f t="shared" si="1"/>
        <v>0</v>
      </c>
      <c r="K23" s="155">
        <f t="shared" si="2"/>
        <v>1.4</v>
      </c>
      <c r="L23" s="155">
        <f t="shared" si="3"/>
        <v>10</v>
      </c>
      <c r="M23" s="156">
        <f t="shared" si="4"/>
        <v>0.14090744393896693</v>
      </c>
      <c r="N23" s="157">
        <f t="shared" si="12"/>
        <v>1.4090744393896692E-2</v>
      </c>
      <c r="O23" s="155">
        <f t="shared" si="13"/>
        <v>100</v>
      </c>
      <c r="P23" s="250">
        <v>1</v>
      </c>
      <c r="Q23" s="250">
        <v>1000</v>
      </c>
      <c r="R23" s="148">
        <f t="shared" si="14"/>
        <v>1.4090744393896693</v>
      </c>
      <c r="S23" s="148">
        <f t="shared" si="15"/>
        <v>0.14090744393896693</v>
      </c>
      <c r="T23" s="148">
        <f t="shared" si="16"/>
        <v>1.4090744393896694E-2</v>
      </c>
      <c r="U23" s="148">
        <f t="shared" si="16"/>
        <v>1.4090744393896695</v>
      </c>
      <c r="V23" s="7">
        <f t="shared" si="17"/>
        <v>1000</v>
      </c>
      <c r="W23" s="7">
        <f t="shared" si="17"/>
        <v>1000000</v>
      </c>
      <c r="X23" s="1345">
        <f t="shared" si="18"/>
        <v>14.090744393896694</v>
      </c>
      <c r="Y23" s="1345">
        <f t="shared" si="18"/>
        <v>1409.0744393896696</v>
      </c>
    </row>
    <row r="24" spans="1:26" x14ac:dyDescent="0.2">
      <c r="A24" s="213" t="str">
        <f t="shared" ref="A24:C24" si="29">A36</f>
        <v>VSL</v>
      </c>
      <c r="B24" s="213">
        <f t="shared" si="29"/>
        <v>153513</v>
      </c>
      <c r="C24" s="214">
        <f t="shared" si="29"/>
        <v>993.4</v>
      </c>
      <c r="D24" s="214">
        <f t="shared" ref="D24:E24" si="30">F36</f>
        <v>0.44</v>
      </c>
      <c r="E24" s="214">
        <f t="shared" si="30"/>
        <v>993.4</v>
      </c>
      <c r="F24" s="214">
        <f t="shared" si="9"/>
        <v>0.35</v>
      </c>
      <c r="G24" s="214">
        <f t="shared" si="10"/>
        <v>0</v>
      </c>
      <c r="H24" s="214">
        <f t="shared" si="11"/>
        <v>1.1000000000000001</v>
      </c>
      <c r="I24" s="155">
        <f t="shared" si="0"/>
        <v>0</v>
      </c>
      <c r="J24" s="155">
        <f t="shared" si="1"/>
        <v>0</v>
      </c>
      <c r="K24" s="155">
        <f t="shared" si="2"/>
        <v>0.7</v>
      </c>
      <c r="L24" s="155">
        <f t="shared" si="3"/>
        <v>10</v>
      </c>
      <c r="M24" s="156">
        <f t="shared" si="4"/>
        <v>7.0465069458425608E-2</v>
      </c>
      <c r="N24" s="157">
        <f t="shared" si="12"/>
        <v>7.0465069458425615E-3</v>
      </c>
      <c r="O24" s="155">
        <f t="shared" si="13"/>
        <v>100</v>
      </c>
      <c r="P24" s="250">
        <v>1</v>
      </c>
      <c r="Q24" s="250">
        <v>1000</v>
      </c>
      <c r="R24" s="148">
        <f t="shared" si="14"/>
        <v>0.70465069458425611</v>
      </c>
      <c r="S24" s="148">
        <f t="shared" si="15"/>
        <v>7.0465069458425608E-2</v>
      </c>
      <c r="T24" s="148">
        <f t="shared" si="16"/>
        <v>7.0465069458425615E-3</v>
      </c>
      <c r="U24" s="148">
        <f t="shared" si="16"/>
        <v>0.704650694584256</v>
      </c>
      <c r="V24" s="7">
        <f t="shared" si="17"/>
        <v>1000</v>
      </c>
      <c r="W24" s="7">
        <f t="shared" si="17"/>
        <v>1000000</v>
      </c>
      <c r="X24" s="1345">
        <f t="shared" si="18"/>
        <v>7.0465069458425615</v>
      </c>
      <c r="Y24" s="1345">
        <f t="shared" si="18"/>
        <v>704.65069458425603</v>
      </c>
    </row>
    <row r="25" spans="1:26" ht="14.25" x14ac:dyDescent="0.2">
      <c r="H25" s="9"/>
      <c r="U25" s="152"/>
      <c r="V25" s="21"/>
      <c r="W25" s="21"/>
      <c r="X25" s="21"/>
      <c r="Y25" s="21"/>
      <c r="Z25" s="21"/>
    </row>
    <row r="26" spans="1:26" ht="14.25" x14ac:dyDescent="0.2">
      <c r="H26" s="9"/>
      <c r="U26" s="152"/>
      <c r="V26" s="21"/>
      <c r="W26" s="21"/>
      <c r="X26" s="21"/>
      <c r="Y26" s="21"/>
      <c r="Z26" s="21"/>
    </row>
    <row r="27" spans="1:26" s="227" customFormat="1" ht="14.1" customHeight="1" x14ac:dyDescent="0.2">
      <c r="A27" s="420" t="s">
        <v>1038</v>
      </c>
    </row>
    <row r="28" spans="1:26" s="227" customFormat="1" ht="15.95" customHeight="1" x14ac:dyDescent="0.2">
      <c r="A28" s="585" t="s">
        <v>1039</v>
      </c>
      <c r="B28" s="585" t="s">
        <v>1040</v>
      </c>
      <c r="C28" s="582" t="s">
        <v>1041</v>
      </c>
      <c r="D28" s="855" t="s">
        <v>1042</v>
      </c>
      <c r="E28" s="682" t="s">
        <v>1043</v>
      </c>
      <c r="F28" s="917" t="s">
        <v>1044</v>
      </c>
      <c r="G28" s="582" t="s">
        <v>1045</v>
      </c>
      <c r="H28" s="876" t="s">
        <v>1046</v>
      </c>
      <c r="I28" s="584" t="s">
        <v>1047</v>
      </c>
      <c r="J28" s="582" t="s">
        <v>1048</v>
      </c>
      <c r="K28" s="918" t="s">
        <v>1049</v>
      </c>
      <c r="L28" s="584" t="s">
        <v>1050</v>
      </c>
    </row>
    <row r="29" spans="1:26" s="227" customFormat="1" ht="17.100000000000001" customHeight="1" x14ac:dyDescent="0.2">
      <c r="A29" s="919" t="s">
        <v>322</v>
      </c>
      <c r="B29" s="920">
        <v>153748</v>
      </c>
      <c r="C29" s="921">
        <v>992.99</v>
      </c>
      <c r="D29" s="858">
        <v>0.27</v>
      </c>
      <c r="E29" s="858">
        <v>0.35</v>
      </c>
      <c r="F29" s="922">
        <v>0.44</v>
      </c>
      <c r="G29" s="923">
        <v>993.1</v>
      </c>
      <c r="H29" s="924">
        <v>1.1000000000000001</v>
      </c>
      <c r="I29" s="925">
        <v>2</v>
      </c>
      <c r="J29" s="926">
        <v>0.1</v>
      </c>
      <c r="K29" s="927">
        <v>2</v>
      </c>
      <c r="L29" s="928">
        <v>1.4</v>
      </c>
    </row>
    <row r="30" spans="1:26" s="227" customFormat="1" ht="15" customHeight="1" x14ac:dyDescent="0.2">
      <c r="A30" s="929" t="s">
        <v>567</v>
      </c>
      <c r="B30" s="930">
        <v>153926</v>
      </c>
      <c r="C30" s="931">
        <v>991.44</v>
      </c>
      <c r="D30" s="862">
        <v>0.26</v>
      </c>
      <c r="E30" s="862">
        <v>0.35</v>
      </c>
      <c r="F30" s="932">
        <v>0.44</v>
      </c>
      <c r="G30" s="933">
        <v>990.9</v>
      </c>
      <c r="H30" s="934">
        <v>2.2999999999999998</v>
      </c>
      <c r="I30" s="935">
        <v>2</v>
      </c>
      <c r="J30" s="933">
        <v>-0.5</v>
      </c>
      <c r="K30" s="936">
        <v>2</v>
      </c>
      <c r="L30" s="937">
        <v>2.5</v>
      </c>
    </row>
    <row r="31" spans="1:26" s="227" customFormat="1" ht="15" customHeight="1" x14ac:dyDescent="0.2">
      <c r="A31" s="929" t="s">
        <v>609</v>
      </c>
      <c r="B31" s="930">
        <v>153769</v>
      </c>
      <c r="C31" s="931">
        <v>991.01</v>
      </c>
      <c r="D31" s="862">
        <v>0.26</v>
      </c>
      <c r="E31" s="862">
        <v>0.35</v>
      </c>
      <c r="F31" s="932">
        <v>0.44</v>
      </c>
      <c r="G31" s="933">
        <v>991.2</v>
      </c>
      <c r="H31" s="934">
        <v>1</v>
      </c>
      <c r="I31" s="935">
        <v>2</v>
      </c>
      <c r="J31" s="938">
        <v>0.2</v>
      </c>
      <c r="K31" s="936">
        <v>2</v>
      </c>
      <c r="L31" s="937">
        <v>1.3</v>
      </c>
    </row>
    <row r="32" spans="1:26" s="227" customFormat="1" ht="15" customHeight="1" x14ac:dyDescent="0.2">
      <c r="A32" s="929" t="s">
        <v>638</v>
      </c>
      <c r="B32" s="930">
        <v>153887</v>
      </c>
      <c r="C32" s="931">
        <v>992.51</v>
      </c>
      <c r="D32" s="862">
        <v>0.27</v>
      </c>
      <c r="E32" s="862">
        <v>0.35</v>
      </c>
      <c r="F32" s="932">
        <v>0.44</v>
      </c>
      <c r="G32" s="933">
        <v>994.3</v>
      </c>
      <c r="H32" s="934">
        <v>2.1</v>
      </c>
      <c r="I32" s="939">
        <v>2.78</v>
      </c>
      <c r="J32" s="938">
        <v>1.8</v>
      </c>
      <c r="K32" s="936">
        <v>2</v>
      </c>
      <c r="L32" s="937">
        <v>1.8</v>
      </c>
    </row>
    <row r="33" spans="1:26" s="227" customFormat="1" ht="15" customHeight="1" x14ac:dyDescent="0.2">
      <c r="A33" s="929" t="s">
        <v>643</v>
      </c>
      <c r="B33" s="930">
        <v>153929</v>
      </c>
      <c r="C33" s="931">
        <v>989.47</v>
      </c>
      <c r="D33" s="862">
        <v>0.27</v>
      </c>
      <c r="E33" s="862">
        <v>0.35</v>
      </c>
      <c r="F33" s="932">
        <v>0.44</v>
      </c>
      <c r="G33" s="940">
        <v>1000.2</v>
      </c>
      <c r="H33" s="941">
        <v>2</v>
      </c>
      <c r="I33" s="935">
        <v>2</v>
      </c>
      <c r="J33" s="933">
        <v>10.7</v>
      </c>
      <c r="K33" s="936">
        <v>2</v>
      </c>
      <c r="L33" s="937">
        <v>2.2000000000000002</v>
      </c>
    </row>
    <row r="34" spans="1:26" s="227" customFormat="1" ht="15" customHeight="1" x14ac:dyDescent="0.2">
      <c r="A34" s="929" t="s">
        <v>633</v>
      </c>
      <c r="B34" s="930">
        <v>153465</v>
      </c>
      <c r="C34" s="931">
        <v>990.47</v>
      </c>
      <c r="D34" s="862">
        <v>0.27</v>
      </c>
      <c r="E34" s="862">
        <v>0.35</v>
      </c>
      <c r="F34" s="932">
        <v>0.44</v>
      </c>
      <c r="G34" s="940">
        <v>989.4</v>
      </c>
      <c r="H34" s="941">
        <v>0.99</v>
      </c>
      <c r="I34" s="935">
        <v>2</v>
      </c>
      <c r="J34" s="933">
        <v>-1.1000000000000001</v>
      </c>
      <c r="K34" s="936">
        <v>2</v>
      </c>
      <c r="L34" s="937">
        <v>1.3</v>
      </c>
    </row>
    <row r="35" spans="1:26" s="227" customFormat="1" ht="15" customHeight="1" x14ac:dyDescent="0.2">
      <c r="A35" s="929" t="s">
        <v>623</v>
      </c>
      <c r="B35" s="930">
        <v>153166</v>
      </c>
      <c r="C35" s="931">
        <v>993.56</v>
      </c>
      <c r="D35" s="862">
        <v>0.27</v>
      </c>
      <c r="E35" s="862">
        <v>0.35</v>
      </c>
      <c r="F35" s="932">
        <v>0.44</v>
      </c>
      <c r="G35" s="940">
        <v>994.46</v>
      </c>
      <c r="H35" s="941">
        <v>1.4</v>
      </c>
      <c r="I35" s="935">
        <v>2</v>
      </c>
      <c r="J35" s="938">
        <v>0.9</v>
      </c>
      <c r="K35" s="936">
        <v>2</v>
      </c>
      <c r="L35" s="937">
        <v>1.7</v>
      </c>
    </row>
    <row r="36" spans="1:26" s="227" customFormat="1" ht="14.1" customHeight="1" x14ac:dyDescent="0.2">
      <c r="A36" s="942" t="s">
        <v>684</v>
      </c>
      <c r="B36" s="943">
        <v>153513</v>
      </c>
      <c r="C36" s="944">
        <v>993.4</v>
      </c>
      <c r="D36" s="868">
        <v>0.27</v>
      </c>
      <c r="E36" s="868">
        <v>0.35</v>
      </c>
      <c r="F36" s="945">
        <v>0.44</v>
      </c>
      <c r="G36" s="946">
        <v>993.4</v>
      </c>
      <c r="H36" s="947">
        <v>0.7</v>
      </c>
      <c r="I36" s="948">
        <v>2</v>
      </c>
      <c r="J36" s="949">
        <v>0</v>
      </c>
      <c r="K36" s="950">
        <v>2</v>
      </c>
      <c r="L36" s="951">
        <v>1.1000000000000001</v>
      </c>
    </row>
    <row r="37" spans="1:26" ht="14.25" x14ac:dyDescent="0.2">
      <c r="H37" s="9"/>
      <c r="U37" s="152"/>
      <c r="V37" s="21"/>
      <c r="W37" s="21"/>
      <c r="X37" s="21"/>
      <c r="Y37" s="21"/>
      <c r="Z37" s="21"/>
    </row>
    <row r="38" spans="1:26" ht="14.25" x14ac:dyDescent="0.2">
      <c r="H38" s="9"/>
      <c r="U38" s="152"/>
      <c r="V38" s="21"/>
      <c r="W38" s="21"/>
      <c r="X38" s="21"/>
      <c r="Y38" s="21"/>
      <c r="Z38" s="21"/>
    </row>
    <row r="39" spans="1:26" ht="14.25" x14ac:dyDescent="0.2">
      <c r="H39" s="9"/>
      <c r="X39" s="21"/>
      <c r="Y39" s="21"/>
      <c r="Z39" s="21"/>
    </row>
    <row r="40" spans="1:26" ht="14.25" x14ac:dyDescent="0.2">
      <c r="H40" s="9"/>
      <c r="X40" s="21"/>
      <c r="Y40" s="21"/>
      <c r="Z40" s="21"/>
    </row>
    <row r="41" spans="1:26" ht="14.25" x14ac:dyDescent="0.2">
      <c r="H41" s="9"/>
      <c r="X41" s="21"/>
      <c r="Y41" s="21"/>
      <c r="Z41" s="21"/>
    </row>
    <row r="42" spans="1:26" ht="14.25" x14ac:dyDescent="0.2">
      <c r="H42" s="9"/>
      <c r="X42" s="21"/>
      <c r="Y42" s="21"/>
      <c r="Z42" s="21"/>
    </row>
    <row r="43" spans="1:26" ht="14.25" x14ac:dyDescent="0.2">
      <c r="H43" s="9"/>
      <c r="X43" s="21"/>
      <c r="Y43" s="21"/>
      <c r="Z43" s="21"/>
    </row>
    <row r="44" spans="1:26" ht="14.25" x14ac:dyDescent="0.2">
      <c r="H44" s="9"/>
      <c r="X44" s="21"/>
      <c r="Y44" s="21"/>
      <c r="Z44" s="21"/>
    </row>
    <row r="45" spans="1:26" ht="14.25" x14ac:dyDescent="0.2">
      <c r="H45" s="9"/>
      <c r="X45" s="21"/>
      <c r="Y45" s="21"/>
      <c r="Z45" s="21"/>
    </row>
    <row r="46" spans="1:26" ht="14.25" x14ac:dyDescent="0.2">
      <c r="H46" s="9"/>
      <c r="X46" s="21"/>
      <c r="Y46" s="21"/>
      <c r="Z46" s="21"/>
    </row>
    <row r="47" spans="1:26" ht="14.25" x14ac:dyDescent="0.2">
      <c r="H47" s="9"/>
      <c r="X47" s="21"/>
      <c r="Y47" s="21"/>
      <c r="Z47" s="21"/>
    </row>
    <row r="48" spans="1:26" ht="14.25" x14ac:dyDescent="0.2">
      <c r="H48" s="9"/>
      <c r="X48" s="21"/>
      <c r="Y48" s="21"/>
      <c r="Z48" s="21"/>
    </row>
    <row r="49" spans="8:26" ht="14.25" x14ac:dyDescent="0.2">
      <c r="H49" s="9"/>
      <c r="X49" s="21"/>
      <c r="Y49" s="21"/>
      <c r="Z49" s="21"/>
    </row>
    <row r="50" spans="8:26" ht="14.25" x14ac:dyDescent="0.2">
      <c r="H50" s="9"/>
      <c r="X50" s="21"/>
      <c r="Y50" s="21"/>
      <c r="Z50" s="21"/>
    </row>
    <row r="51" spans="8:26" ht="14.25" x14ac:dyDescent="0.2">
      <c r="H51" s="9"/>
      <c r="X51" s="21"/>
      <c r="Y51" s="21"/>
      <c r="Z51" s="21"/>
    </row>
    <row r="52" spans="8:26" ht="14.25" x14ac:dyDescent="0.2">
      <c r="H52" s="9"/>
      <c r="X52" s="21"/>
      <c r="Y52" s="21"/>
      <c r="Z52" s="21"/>
    </row>
    <row r="53" spans="8:26" ht="14.25" x14ac:dyDescent="0.2">
      <c r="H53" s="9"/>
      <c r="X53" s="21"/>
      <c r="Y53" s="21"/>
      <c r="Z53" s="21"/>
    </row>
    <row r="54" spans="8:26" ht="14.25" x14ac:dyDescent="0.2">
      <c r="H54" s="9"/>
      <c r="U54" s="152"/>
      <c r="V54" s="21"/>
      <c r="W54" s="21"/>
      <c r="X54" s="21"/>
      <c r="Y54" s="21"/>
      <c r="Z54" s="21"/>
    </row>
    <row r="55" spans="8:26" ht="14.25" x14ac:dyDescent="0.2">
      <c r="H55" s="9"/>
      <c r="U55" s="152"/>
      <c r="V55" s="21"/>
      <c r="W55" s="21"/>
      <c r="X55" s="21"/>
      <c r="Y55" s="21"/>
      <c r="Z55" s="21"/>
    </row>
    <row r="56" spans="8:26" ht="14.25" x14ac:dyDescent="0.2">
      <c r="H56" s="9"/>
      <c r="U56" s="152"/>
      <c r="V56" s="21"/>
      <c r="W56" s="21"/>
      <c r="X56" s="21"/>
      <c r="Y56" s="21"/>
      <c r="Z56" s="21"/>
    </row>
    <row r="57" spans="8:26" ht="14.25" x14ac:dyDescent="0.2">
      <c r="H57" s="9"/>
      <c r="U57" s="152"/>
      <c r="V57" s="21"/>
      <c r="W57" s="21"/>
      <c r="X57" s="21"/>
      <c r="Y57" s="21"/>
      <c r="Z57" s="21"/>
    </row>
    <row r="58" spans="8:26" ht="14.25" x14ac:dyDescent="0.2">
      <c r="H58" s="9"/>
      <c r="U58" s="152"/>
      <c r="V58" s="21"/>
      <c r="W58" s="21"/>
      <c r="X58" s="21"/>
      <c r="Y58" s="21"/>
      <c r="Z58" s="21"/>
    </row>
    <row r="59" spans="8:26" ht="14.25" x14ac:dyDescent="0.2">
      <c r="H59" s="9"/>
      <c r="U59" s="152"/>
      <c r="V59" s="21"/>
      <c r="W59" s="21"/>
      <c r="X59" s="21"/>
      <c r="Y59" s="21"/>
      <c r="Z59" s="21"/>
    </row>
    <row r="60" spans="8:26" ht="14.25" x14ac:dyDescent="0.2">
      <c r="H60" s="9"/>
      <c r="U60" s="152"/>
      <c r="V60" s="21"/>
      <c r="W60" s="21"/>
      <c r="X60" s="21"/>
      <c r="Y60" s="21"/>
      <c r="Z60" s="21"/>
    </row>
    <row r="61" spans="8:26" ht="14.25" x14ac:dyDescent="0.2">
      <c r="H61" s="9"/>
      <c r="U61" s="152"/>
      <c r="V61" s="21"/>
      <c r="W61" s="21"/>
      <c r="X61" s="21"/>
      <c r="Y61" s="21"/>
      <c r="Z61" s="21"/>
    </row>
    <row r="62" spans="8:26" ht="14.25" x14ac:dyDescent="0.2">
      <c r="H62" s="9"/>
      <c r="U62" s="152"/>
      <c r="V62" s="21"/>
      <c r="W62" s="21"/>
      <c r="X62" s="21"/>
      <c r="Y62" s="21"/>
      <c r="Z62" s="21"/>
    </row>
    <row r="63" spans="8:26" ht="14.25" x14ac:dyDescent="0.2">
      <c r="H63" s="9"/>
      <c r="U63" s="152"/>
      <c r="V63" s="21"/>
      <c r="W63" s="21"/>
      <c r="X63" s="21"/>
      <c r="Y63" s="21"/>
      <c r="Z63" s="21"/>
    </row>
    <row r="64" spans="8:26" ht="14.25" x14ac:dyDescent="0.2">
      <c r="H64" s="9"/>
      <c r="U64" s="152"/>
      <c r="V64" s="21"/>
      <c r="W64" s="21"/>
      <c r="X64" s="21"/>
      <c r="Y64" s="21"/>
      <c r="Z64" s="21"/>
    </row>
    <row r="65" spans="8:26" ht="14.25" x14ac:dyDescent="0.2">
      <c r="H65" s="9"/>
      <c r="U65" s="152"/>
      <c r="V65" s="21"/>
      <c r="W65" s="21"/>
      <c r="X65" s="21"/>
      <c r="Y65" s="21"/>
      <c r="Z65" s="21"/>
    </row>
    <row r="66" spans="8:26" ht="14.25" x14ac:dyDescent="0.2">
      <c r="H66" s="9"/>
      <c r="U66" s="152"/>
      <c r="V66" s="21"/>
      <c r="W66" s="21"/>
      <c r="X66" s="21"/>
      <c r="Y66" s="21"/>
      <c r="Z66" s="21"/>
    </row>
    <row r="67" spans="8:26" ht="14.25" x14ac:dyDescent="0.2">
      <c r="H67" s="9"/>
      <c r="U67" s="152"/>
      <c r="V67" s="21"/>
      <c r="W67" s="21"/>
      <c r="X67" s="21"/>
      <c r="Y67" s="21"/>
      <c r="Z67" s="21"/>
    </row>
    <row r="68" spans="8:26" ht="14.25" x14ac:dyDescent="0.2">
      <c r="H68" s="9"/>
      <c r="U68" s="152"/>
      <c r="V68" s="21"/>
      <c r="W68" s="21"/>
      <c r="X68" s="21"/>
      <c r="Y68" s="21"/>
      <c r="Z68" s="21"/>
    </row>
    <row r="69" spans="8:26" ht="14.25" x14ac:dyDescent="0.2">
      <c r="H69" s="9"/>
      <c r="U69" s="152"/>
      <c r="V69" s="21"/>
      <c r="W69" s="21"/>
      <c r="X69" s="21"/>
      <c r="Y69" s="21"/>
      <c r="Z69" s="21"/>
    </row>
    <row r="70" spans="8:26" ht="14.25" x14ac:dyDescent="0.2">
      <c r="H70" s="9"/>
      <c r="U70" s="152"/>
      <c r="V70" s="21"/>
      <c r="W70" s="21"/>
      <c r="X70" s="21"/>
      <c r="Y70" s="21"/>
      <c r="Z70" s="21"/>
    </row>
    <row r="71" spans="8:26" ht="14.25" x14ac:dyDescent="0.2">
      <c r="H71" s="9"/>
      <c r="U71" s="152"/>
      <c r="V71" s="21"/>
      <c r="W71" s="21"/>
      <c r="X71" s="21"/>
      <c r="Y71" s="21"/>
      <c r="Z71" s="21"/>
    </row>
    <row r="72" spans="8:26" ht="14.25" x14ac:dyDescent="0.2">
      <c r="U72" s="152"/>
      <c r="V72" s="21"/>
      <c r="W72" s="21"/>
      <c r="X72" s="21"/>
      <c r="Y72" s="21"/>
      <c r="Z72" s="21"/>
    </row>
    <row r="73" spans="8:26" ht="14.25" x14ac:dyDescent="0.2">
      <c r="H73" s="9"/>
      <c r="U73" s="152"/>
      <c r="V73" s="21"/>
      <c r="W73" s="21"/>
      <c r="X73" s="21"/>
      <c r="Y73" s="21"/>
      <c r="Z73" s="21"/>
    </row>
    <row r="74" spans="8:26" ht="14.25" x14ac:dyDescent="0.2">
      <c r="H74" s="9"/>
      <c r="U74" s="152"/>
      <c r="V74" s="21"/>
      <c r="W74" s="21"/>
      <c r="X74" s="21"/>
      <c r="Y74" s="21"/>
      <c r="Z74" s="21"/>
    </row>
    <row r="75" spans="8:26" ht="14.25" x14ac:dyDescent="0.2">
      <c r="H75" s="9"/>
      <c r="U75" s="152"/>
      <c r="V75" s="21"/>
      <c r="W75" s="21"/>
      <c r="X75" s="21"/>
      <c r="Y75" s="21"/>
      <c r="Z75" s="21"/>
    </row>
    <row r="76" spans="8:26" ht="14.25" x14ac:dyDescent="0.2">
      <c r="H76" s="9"/>
      <c r="U76" s="152"/>
      <c r="V76" s="21"/>
      <c r="W76" s="21"/>
      <c r="X76" s="21"/>
      <c r="Y76" s="21"/>
      <c r="Z76" s="21"/>
    </row>
    <row r="77" spans="8:26" ht="14.25" x14ac:dyDescent="0.2">
      <c r="H77" s="9"/>
      <c r="U77" s="152"/>
      <c r="V77" s="21"/>
      <c r="W77" s="21"/>
      <c r="X77" s="21"/>
      <c r="Y77" s="21"/>
      <c r="Z77" s="21"/>
    </row>
    <row r="78" spans="8:26" ht="14.25" x14ac:dyDescent="0.2">
      <c r="H78" s="9"/>
      <c r="U78" s="152"/>
      <c r="V78" s="21"/>
      <c r="W78" s="21"/>
      <c r="X78" s="21"/>
      <c r="Y78" s="21"/>
      <c r="Z78" s="21"/>
    </row>
    <row r="79" spans="8:26" ht="14.25" x14ac:dyDescent="0.2">
      <c r="U79" s="152"/>
      <c r="V79" s="21"/>
      <c r="W79" s="21"/>
      <c r="X79" s="21"/>
      <c r="Y79" s="21"/>
      <c r="Z79" s="21"/>
    </row>
    <row r="80" spans="8:26" ht="14.25" x14ac:dyDescent="0.2">
      <c r="U80" s="152"/>
      <c r="V80" s="21"/>
      <c r="W80" s="21"/>
      <c r="X80" s="21"/>
      <c r="Y80" s="21"/>
      <c r="Z80" s="21"/>
    </row>
    <row r="81" spans="1:26" ht="14.25" x14ac:dyDescent="0.2">
      <c r="U81" s="152"/>
      <c r="V81" s="21"/>
      <c r="W81" s="21"/>
      <c r="X81" s="21"/>
      <c r="Y81" s="21"/>
      <c r="Z81" s="21"/>
    </row>
    <row r="82" spans="1:26" ht="14.25" x14ac:dyDescent="0.2">
      <c r="U82" s="152"/>
      <c r="V82" s="21"/>
      <c r="W82" s="21"/>
      <c r="X82" s="21"/>
      <c r="Y82" s="21"/>
      <c r="Z82" s="21"/>
    </row>
    <row r="83" spans="1:26" ht="14.25" x14ac:dyDescent="0.2">
      <c r="U83" s="152"/>
      <c r="V83" s="21"/>
      <c r="W83" s="21"/>
      <c r="X83" s="21"/>
      <c r="Y83" s="21"/>
      <c r="Z83" s="21"/>
    </row>
    <row r="84" spans="1:26" ht="14.25" x14ac:dyDescent="0.2">
      <c r="U84" s="152"/>
      <c r="V84" s="21"/>
      <c r="W84" s="21"/>
      <c r="X84" s="21"/>
      <c r="Y84" s="21"/>
      <c r="Z84" s="21"/>
    </row>
    <row r="85" spans="1:26" ht="14.25" x14ac:dyDescent="0.2">
      <c r="A85" s="23"/>
      <c r="B85" s="23"/>
      <c r="C85" s="23"/>
      <c r="D85" s="23"/>
      <c r="T85" s="151"/>
      <c r="U85" s="152"/>
      <c r="V85" s="21"/>
      <c r="W85" s="21"/>
      <c r="X85" s="21"/>
      <c r="Y85" s="21"/>
      <c r="Z85" s="21"/>
    </row>
    <row r="86" spans="1:26" ht="14.25" x14ac:dyDescent="0.2">
      <c r="T86" s="151"/>
      <c r="U86" s="152"/>
      <c r="V86" s="21"/>
      <c r="W86" s="21"/>
      <c r="X86" s="21"/>
      <c r="Y86" s="21"/>
      <c r="Z86" s="21"/>
    </row>
    <row r="87" spans="1:26" ht="14.25" x14ac:dyDescent="0.2">
      <c r="T87" s="151"/>
      <c r="U87" s="152"/>
      <c r="V87" s="21"/>
      <c r="W87" s="21"/>
      <c r="X87" s="21"/>
      <c r="Y87" s="21"/>
      <c r="Z87" s="21"/>
    </row>
    <row r="88" spans="1:26" ht="14.25" x14ac:dyDescent="0.2">
      <c r="T88" s="151"/>
      <c r="U88" s="152"/>
      <c r="V88" s="21"/>
      <c r="W88" s="21"/>
      <c r="X88" s="21"/>
      <c r="Y88" s="21"/>
      <c r="Z88" s="21"/>
    </row>
    <row r="89" spans="1:26" ht="14.25" x14ac:dyDescent="0.2">
      <c r="T89" s="151"/>
      <c r="U89" s="152"/>
      <c r="V89" s="21"/>
      <c r="W89" s="21"/>
      <c r="X89" s="21"/>
      <c r="Y89" s="21"/>
      <c r="Z89" s="21"/>
    </row>
    <row r="90" spans="1:26" ht="14.25" x14ac:dyDescent="0.2">
      <c r="T90" s="151"/>
      <c r="U90" s="152"/>
      <c r="V90" s="21"/>
      <c r="W90" s="21"/>
      <c r="X90" s="21"/>
      <c r="Y90" s="21"/>
      <c r="Z90" s="21"/>
    </row>
    <row r="91" spans="1:26" ht="14.25" x14ac:dyDescent="0.2">
      <c r="T91" s="151"/>
      <c r="U91" s="152"/>
      <c r="V91" s="21"/>
      <c r="W91" s="21"/>
      <c r="X91" s="21"/>
      <c r="Y91" s="21"/>
      <c r="Z91" s="21"/>
    </row>
    <row r="92" spans="1:26" ht="14.25" x14ac:dyDescent="0.2">
      <c r="T92" s="151"/>
      <c r="U92" s="152"/>
      <c r="V92" s="21"/>
      <c r="W92" s="21"/>
      <c r="X92" s="21"/>
      <c r="Y92" s="21"/>
      <c r="Z92" s="21"/>
    </row>
    <row r="93" spans="1:26" ht="14.25" x14ac:dyDescent="0.2">
      <c r="T93" s="151"/>
      <c r="U93" s="152"/>
      <c r="V93" s="21"/>
      <c r="W93" s="21"/>
      <c r="X93" s="21"/>
      <c r="Y93" s="21"/>
      <c r="Z93" s="21"/>
    </row>
    <row r="94" spans="1:26" ht="14.25" x14ac:dyDescent="0.2">
      <c r="T94" s="151"/>
      <c r="U94" s="152"/>
      <c r="V94" s="21"/>
      <c r="W94" s="21"/>
      <c r="X94" s="21"/>
      <c r="Y94" s="21"/>
      <c r="Z94" s="21"/>
    </row>
    <row r="95" spans="1:26" ht="14.25" x14ac:dyDescent="0.2">
      <c r="T95" s="151"/>
      <c r="U95" s="152"/>
      <c r="V95" s="21"/>
      <c r="W95" s="21"/>
      <c r="X95" s="21"/>
      <c r="Y95" s="21"/>
      <c r="Z95" s="21"/>
    </row>
    <row r="96" spans="1:26" ht="14.25" x14ac:dyDescent="0.2">
      <c r="T96" s="151"/>
      <c r="U96" s="152"/>
      <c r="V96" s="21"/>
      <c r="W96" s="21"/>
      <c r="X96" s="21"/>
      <c r="Y96" s="21"/>
      <c r="Z96" s="21"/>
    </row>
    <row r="97" spans="1:26" ht="14.25" x14ac:dyDescent="0.2">
      <c r="T97" s="151"/>
      <c r="U97" s="152"/>
      <c r="V97" s="21"/>
      <c r="W97" s="21"/>
      <c r="X97" s="21"/>
      <c r="Y97" s="21"/>
      <c r="Z97" s="21"/>
    </row>
    <row r="98" spans="1:26" ht="14.25" x14ac:dyDescent="0.2">
      <c r="A98" s="23"/>
      <c r="B98" s="23"/>
      <c r="C98" s="23"/>
      <c r="D98" s="23"/>
      <c r="T98" s="151"/>
      <c r="U98" s="152"/>
      <c r="V98" s="21"/>
      <c r="W98" s="21"/>
      <c r="X98" s="21"/>
      <c r="Y98" s="21"/>
      <c r="Z98" s="21"/>
    </row>
    <row r="99" spans="1:26" ht="14.25" x14ac:dyDescent="0.2">
      <c r="A99" s="23"/>
      <c r="B99" s="23"/>
      <c r="C99" s="23"/>
      <c r="D99" s="23"/>
      <c r="T99" s="151"/>
      <c r="U99" s="152"/>
      <c r="V99" s="21"/>
      <c r="W99" s="21"/>
      <c r="X99" s="21"/>
      <c r="Y99" s="21"/>
      <c r="Z99" s="21"/>
    </row>
    <row r="100" spans="1:26" ht="14.25" x14ac:dyDescent="0.2">
      <c r="A100" s="23"/>
      <c r="B100" s="23"/>
      <c r="C100" s="23"/>
      <c r="D100" s="23"/>
      <c r="T100" s="151"/>
      <c r="U100" s="152"/>
      <c r="V100" s="21"/>
      <c r="W100" s="21"/>
      <c r="X100" s="21"/>
      <c r="Y100" s="21"/>
      <c r="Z100" s="21"/>
    </row>
    <row r="101" spans="1:26" ht="14.25" x14ac:dyDescent="0.2">
      <c r="A101" s="23"/>
      <c r="B101" s="23"/>
      <c r="C101" s="23"/>
      <c r="D101" s="23"/>
      <c r="T101" s="151"/>
      <c r="U101" s="152"/>
      <c r="V101" s="21"/>
      <c r="W101" s="21"/>
      <c r="X101" s="21"/>
      <c r="Y101" s="21"/>
      <c r="Z101" s="21"/>
    </row>
    <row r="102" spans="1:26" ht="14.25" x14ac:dyDescent="0.2">
      <c r="A102" s="23"/>
      <c r="B102" s="23"/>
      <c r="C102" s="23"/>
      <c r="D102" s="23"/>
      <c r="T102" s="151"/>
      <c r="U102" s="152"/>
      <c r="V102" s="21"/>
      <c r="W102" s="21"/>
      <c r="X102" s="21"/>
      <c r="Y102" s="21"/>
      <c r="Z102" s="21"/>
    </row>
    <row r="103" spans="1:26" ht="14.25" x14ac:dyDescent="0.2">
      <c r="A103" s="23"/>
      <c r="B103" s="23"/>
      <c r="C103" s="23"/>
      <c r="D103" s="23"/>
      <c r="T103" s="151"/>
      <c r="U103" s="152"/>
      <c r="V103" s="21"/>
      <c r="W103" s="21"/>
      <c r="X103" s="21"/>
      <c r="Y103" s="21"/>
      <c r="Z103" s="21"/>
    </row>
    <row r="104" spans="1:26" ht="14.25" x14ac:dyDescent="0.2">
      <c r="A104" s="23"/>
      <c r="B104" s="23"/>
      <c r="C104" s="23"/>
      <c r="D104" s="23"/>
      <c r="T104" s="151"/>
      <c r="U104" s="152"/>
      <c r="V104" s="21"/>
      <c r="W104" s="21"/>
      <c r="X104" s="21"/>
      <c r="Y104" s="21"/>
      <c r="Z104" s="21"/>
    </row>
    <row r="105" spans="1:26" ht="14.25" x14ac:dyDescent="0.2">
      <c r="A105" s="23"/>
      <c r="B105" s="23"/>
      <c r="C105" s="23"/>
      <c r="D105" s="23"/>
      <c r="T105" s="151"/>
      <c r="U105" s="152"/>
      <c r="V105" s="21"/>
      <c r="W105" s="21"/>
      <c r="X105" s="21"/>
      <c r="Y105" s="21"/>
      <c r="Z105" s="21"/>
    </row>
    <row r="106" spans="1:26" ht="14.25" x14ac:dyDescent="0.2">
      <c r="A106" s="23"/>
      <c r="B106" s="23"/>
      <c r="C106" s="23"/>
      <c r="D106" s="23"/>
      <c r="T106" s="151"/>
      <c r="U106" s="152"/>
      <c r="V106" s="21"/>
      <c r="W106" s="21"/>
      <c r="X106" s="21"/>
      <c r="Y106" s="21"/>
      <c r="Z106" s="21"/>
    </row>
    <row r="107" spans="1:26" ht="14.25" x14ac:dyDescent="0.2">
      <c r="A107" s="23"/>
      <c r="B107" s="23"/>
      <c r="C107" s="23"/>
      <c r="D107" s="23"/>
      <c r="T107" s="151"/>
      <c r="U107" s="152"/>
      <c r="V107" s="21"/>
      <c r="W107" s="21"/>
      <c r="X107" s="21"/>
      <c r="Y107" s="21"/>
      <c r="Z107" s="21"/>
    </row>
    <row r="108" spans="1:26" ht="14.25" x14ac:dyDescent="0.2">
      <c r="A108" s="23"/>
      <c r="B108" s="23"/>
      <c r="C108" s="23"/>
      <c r="D108" s="23"/>
      <c r="T108" s="151"/>
      <c r="U108" s="152"/>
      <c r="V108" s="21"/>
      <c r="W108" s="21"/>
      <c r="X108" s="21"/>
      <c r="Y108" s="21"/>
      <c r="Z108" s="21"/>
    </row>
    <row r="109" spans="1:26" ht="14.25" x14ac:dyDescent="0.2">
      <c r="A109" s="23"/>
      <c r="B109" s="23"/>
      <c r="C109" s="23"/>
      <c r="D109" s="23"/>
      <c r="T109" s="151"/>
      <c r="U109" s="152"/>
      <c r="V109" s="21"/>
      <c r="W109" s="21"/>
      <c r="X109" s="21"/>
      <c r="Y109" s="21"/>
      <c r="Z109" s="21"/>
    </row>
    <row r="110" spans="1:26" ht="14.25" x14ac:dyDescent="0.2">
      <c r="A110" s="23"/>
      <c r="B110" s="23"/>
      <c r="C110" s="23"/>
      <c r="D110" s="23"/>
      <c r="T110" s="151"/>
      <c r="U110" s="152"/>
      <c r="V110" s="21"/>
      <c r="W110" s="21"/>
      <c r="X110" s="21"/>
      <c r="Y110" s="21"/>
      <c r="Z110" s="21"/>
    </row>
    <row r="111" spans="1:26" ht="14.25" x14ac:dyDescent="0.2">
      <c r="A111" s="23"/>
      <c r="B111" s="23"/>
      <c r="C111" s="23"/>
      <c r="D111" s="23"/>
      <c r="T111" s="151"/>
      <c r="U111" s="152"/>
      <c r="V111" s="21"/>
      <c r="W111" s="21"/>
      <c r="X111" s="21"/>
      <c r="Y111" s="21"/>
      <c r="Z111" s="21"/>
    </row>
    <row r="112" spans="1:26" ht="13.5" x14ac:dyDescent="0.2">
      <c r="A112" s="24"/>
      <c r="B112" s="24"/>
      <c r="T112" s="153"/>
      <c r="V112" s="21"/>
      <c r="W112" s="21"/>
      <c r="X112" s="21"/>
      <c r="Y112" s="21"/>
      <c r="Z112" s="21"/>
    </row>
    <row r="126" spans="1:1" ht="16.899999999999999" customHeight="1" x14ac:dyDescent="0.2">
      <c r="A126" s="25"/>
    </row>
    <row r="127" spans="1:1" ht="12" customHeight="1" x14ac:dyDescent="0.2">
      <c r="A127" s="4"/>
    </row>
    <row r="128" spans="1:1" ht="13.15" customHeight="1" x14ac:dyDescent="0.2"/>
    <row r="129" spans="1:26" ht="13.15" customHeight="1" x14ac:dyDescent="0.2"/>
    <row r="130" spans="1:26" ht="13.15" customHeight="1" x14ac:dyDescent="0.2"/>
    <row r="131" spans="1:26" s="149" customFormat="1" ht="13.15" customHeight="1" x14ac:dyDescent="0.2">
      <c r="A131" s="1"/>
      <c r="B131" s="1"/>
      <c r="C131" s="1"/>
      <c r="D131" s="1"/>
      <c r="E131" s="1"/>
      <c r="F131" s="1"/>
      <c r="G131" s="1"/>
      <c r="H131" s="1"/>
      <c r="P131" s="1"/>
      <c r="Q131" s="1"/>
      <c r="T131" s="150"/>
      <c r="U131" s="150"/>
      <c r="V131" s="1"/>
      <c r="W131" s="1"/>
      <c r="X131" s="1"/>
      <c r="Y131" s="1"/>
      <c r="Z131" s="1"/>
    </row>
    <row r="132" spans="1:26" s="149" customFormat="1" ht="13.15" customHeight="1" x14ac:dyDescent="0.2">
      <c r="A132" s="1"/>
      <c r="B132" s="1"/>
      <c r="C132" s="1"/>
      <c r="D132" s="1"/>
      <c r="E132" s="1"/>
      <c r="F132" s="1"/>
      <c r="G132" s="1"/>
      <c r="H132" s="1"/>
      <c r="P132" s="1"/>
      <c r="Q132" s="1"/>
      <c r="T132" s="150"/>
      <c r="U132" s="150"/>
      <c r="V132" s="1"/>
      <c r="W132" s="1"/>
      <c r="X132" s="1"/>
      <c r="Y132" s="1"/>
      <c r="Z132" s="1"/>
    </row>
    <row r="133" spans="1:26" s="149" customFormat="1" ht="13.15" customHeight="1" x14ac:dyDescent="0.2">
      <c r="A133" s="1"/>
      <c r="B133" s="1"/>
      <c r="C133" s="1"/>
      <c r="D133" s="1"/>
      <c r="E133" s="1"/>
      <c r="F133" s="1"/>
      <c r="G133" s="1"/>
      <c r="H133" s="1"/>
      <c r="P133" s="1"/>
      <c r="Q133" s="1"/>
      <c r="T133" s="150"/>
      <c r="U133" s="150"/>
      <c r="V133" s="1"/>
      <c r="W133" s="1"/>
      <c r="X133" s="1"/>
      <c r="Y133" s="1"/>
      <c r="Z133" s="1"/>
    </row>
    <row r="134" spans="1:26" s="149" customFormat="1" ht="12" customHeight="1" x14ac:dyDescent="0.2">
      <c r="A134" s="1"/>
      <c r="B134" s="1"/>
      <c r="C134" s="1"/>
      <c r="D134" s="1"/>
      <c r="E134" s="1"/>
      <c r="F134" s="1"/>
      <c r="G134" s="1"/>
      <c r="H134" s="1"/>
      <c r="P134" s="1"/>
      <c r="Q134" s="1"/>
      <c r="T134" s="150"/>
      <c r="U134" s="150"/>
      <c r="V134" s="1"/>
      <c r="W134" s="1"/>
      <c r="X134" s="1"/>
      <c r="Y134" s="1"/>
      <c r="Z134" s="1"/>
    </row>
    <row r="135" spans="1:26" s="149" customFormat="1" ht="12" customHeight="1" x14ac:dyDescent="0.2">
      <c r="A135" s="1"/>
      <c r="B135" s="1"/>
      <c r="C135" s="1"/>
      <c r="D135" s="1"/>
      <c r="E135" s="1"/>
      <c r="F135" s="1"/>
      <c r="G135" s="1"/>
      <c r="H135" s="1"/>
      <c r="P135" s="1"/>
      <c r="Q135" s="1"/>
      <c r="T135" s="150"/>
      <c r="U135" s="150"/>
      <c r="V135" s="1"/>
      <c r="W135" s="1"/>
      <c r="X135" s="1"/>
      <c r="Y135" s="1"/>
      <c r="Z135" s="1"/>
    </row>
    <row r="136" spans="1:26" s="149" customFormat="1" ht="15" customHeight="1" x14ac:dyDescent="0.2">
      <c r="A136" s="1"/>
      <c r="B136" s="1"/>
      <c r="C136" s="1"/>
      <c r="D136" s="1"/>
      <c r="E136" s="1"/>
      <c r="F136" s="1"/>
      <c r="G136" s="1"/>
      <c r="H136" s="1"/>
      <c r="P136" s="1"/>
      <c r="Q136" s="1"/>
      <c r="T136" s="150"/>
      <c r="U136" s="150"/>
      <c r="V136" s="1"/>
      <c r="W136" s="1"/>
      <c r="X136" s="1"/>
      <c r="Y136" s="1"/>
      <c r="Z136" s="1"/>
    </row>
    <row r="137" spans="1:26" s="149" customFormat="1" ht="15" customHeight="1" x14ac:dyDescent="0.2">
      <c r="A137" s="1"/>
      <c r="B137" s="1"/>
      <c r="C137" s="1"/>
      <c r="D137" s="1"/>
      <c r="E137" s="1"/>
      <c r="F137" s="1"/>
      <c r="G137" s="1"/>
      <c r="H137" s="1"/>
      <c r="P137" s="1"/>
      <c r="Q137" s="1"/>
      <c r="T137" s="150"/>
      <c r="U137" s="150"/>
      <c r="V137" s="1"/>
      <c r="W137" s="1"/>
      <c r="X137" s="1"/>
      <c r="Y137" s="1"/>
      <c r="Z137" s="1"/>
    </row>
  </sheetData>
  <sheetProtection sheet="1" formatCells="0" formatColumns="0" formatRows="0"/>
  <phoneticPr fontId="4"/>
  <pageMargins left="0.7" right="0.7" top="0.75" bottom="0.75" header="0.3" footer="0.3"/>
  <pageSetup paperSize="9"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1AEC7-A2D8-4387-8F70-19E0F200738D}">
  <dimension ref="A1:Z219"/>
  <sheetViews>
    <sheetView zoomScale="160" zoomScaleNormal="160" workbookViewId="0">
      <selection activeCell="X112" sqref="X112"/>
    </sheetView>
  </sheetViews>
  <sheetFormatPr defaultColWidth="9.33203125" defaultRowHeight="12.75" x14ac:dyDescent="0.2"/>
  <cols>
    <col min="1" max="2" width="9.33203125" style="1"/>
    <col min="3" max="7" width="10.1640625" style="1" customWidth="1"/>
    <col min="8" max="8" width="9.33203125" style="1"/>
    <col min="9" max="12" width="8" style="149" customWidth="1"/>
    <col min="13" max="14" width="11.1640625" style="149" customWidth="1"/>
    <col min="15"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1" ht="20.25" x14ac:dyDescent="0.2">
      <c r="A1" s="96" t="s">
        <v>1188</v>
      </c>
      <c r="B1" s="97"/>
      <c r="C1" s="97"/>
      <c r="D1" s="97"/>
      <c r="E1" s="97"/>
      <c r="F1" s="97"/>
      <c r="G1" s="97"/>
      <c r="H1" s="97"/>
      <c r="I1" s="113"/>
      <c r="J1" s="154" t="s">
        <v>130</v>
      </c>
      <c r="K1" s="210">
        <v>10</v>
      </c>
      <c r="L1" s="154" t="s">
        <v>129</v>
      </c>
      <c r="M1" s="113"/>
      <c r="N1" s="113" t="s">
        <v>1059</v>
      </c>
      <c r="O1" s="113"/>
      <c r="R1" s="113"/>
      <c r="S1" s="113"/>
      <c r="T1" s="146"/>
      <c r="U1" s="146"/>
    </row>
    <row r="2" spans="1:21" x14ac:dyDescent="0.2">
      <c r="A2" s="99" t="s">
        <v>1189</v>
      </c>
      <c r="B2" s="97"/>
      <c r="C2" s="97"/>
      <c r="D2" s="97"/>
      <c r="E2" s="97"/>
      <c r="F2" s="97"/>
      <c r="G2" s="97"/>
      <c r="H2" s="97"/>
      <c r="I2" s="113"/>
      <c r="J2" s="154" t="s">
        <v>4</v>
      </c>
      <c r="K2" s="210">
        <v>1</v>
      </c>
      <c r="L2" s="154" t="s">
        <v>129</v>
      </c>
      <c r="M2" s="113"/>
      <c r="N2" s="113" t="s">
        <v>79</v>
      </c>
      <c r="O2" s="113"/>
      <c r="R2" s="113"/>
      <c r="S2" s="113"/>
      <c r="T2" s="146"/>
      <c r="U2" s="146"/>
    </row>
    <row r="3" spans="1:21" x14ac:dyDescent="0.2">
      <c r="A3" s="97"/>
      <c r="B3" s="97"/>
      <c r="C3" s="97"/>
      <c r="D3" s="97"/>
      <c r="E3" s="97"/>
      <c r="F3" s="97"/>
      <c r="G3" s="97"/>
      <c r="H3" s="97"/>
      <c r="I3" s="113"/>
      <c r="J3" s="113"/>
      <c r="K3" s="113"/>
      <c r="L3" s="113"/>
      <c r="M3" s="113"/>
      <c r="N3" s="113" t="s">
        <v>311</v>
      </c>
      <c r="O3" s="113"/>
      <c r="R3" s="113"/>
      <c r="S3" s="113"/>
      <c r="T3" s="146"/>
      <c r="U3" s="146"/>
    </row>
    <row r="4" spans="1:21" x14ac:dyDescent="0.2">
      <c r="A4" s="100"/>
      <c r="B4" s="97"/>
      <c r="C4" s="97"/>
      <c r="D4" s="97"/>
      <c r="E4" s="97"/>
      <c r="F4" s="97"/>
      <c r="G4" s="97"/>
      <c r="H4" s="97"/>
      <c r="I4" s="113"/>
      <c r="J4" s="113"/>
      <c r="K4" s="113"/>
      <c r="L4" s="113"/>
      <c r="M4" s="113"/>
      <c r="N4" s="113"/>
      <c r="O4" s="113"/>
      <c r="R4" s="113"/>
      <c r="S4" s="113"/>
      <c r="T4" s="146"/>
      <c r="U4" s="146"/>
    </row>
    <row r="5" spans="1:21" ht="20.25" x14ac:dyDescent="0.2">
      <c r="A5" s="101" t="s">
        <v>78</v>
      </c>
      <c r="B5" s="97"/>
      <c r="C5" s="97"/>
      <c r="D5" s="97"/>
      <c r="E5" s="97"/>
      <c r="F5" s="97"/>
      <c r="G5" s="97"/>
      <c r="H5" s="97"/>
      <c r="I5" s="113"/>
      <c r="J5" s="113"/>
      <c r="K5" s="113"/>
      <c r="L5" s="113"/>
      <c r="M5" s="113"/>
      <c r="N5" s="113"/>
      <c r="O5" s="113"/>
      <c r="R5" s="113"/>
      <c r="S5" s="113"/>
      <c r="T5" s="146"/>
      <c r="U5" s="146"/>
    </row>
    <row r="6" spans="1:21" s="226" customFormat="1" x14ac:dyDescent="0.2">
      <c r="A6" s="414" t="s">
        <v>1190</v>
      </c>
      <c r="B6" s="1093"/>
      <c r="M6" s="1094"/>
      <c r="N6" s="1094"/>
    </row>
    <row r="7" spans="1:21" s="226" customFormat="1" x14ac:dyDescent="0.2">
      <c r="A7" s="408" t="s">
        <v>1191</v>
      </c>
      <c r="B7" s="408" t="s">
        <v>340</v>
      </c>
      <c r="C7" s="408" t="s">
        <v>1192</v>
      </c>
      <c r="D7" s="408"/>
      <c r="M7" s="1094"/>
      <c r="N7" s="1094"/>
    </row>
    <row r="8" spans="1:21" s="226" customFormat="1" x14ac:dyDescent="0.2">
      <c r="A8" s="915"/>
      <c r="B8" s="915" t="s">
        <v>1193</v>
      </c>
      <c r="C8" s="915" t="s">
        <v>1194</v>
      </c>
      <c r="D8" s="915" t="s">
        <v>1195</v>
      </c>
      <c r="M8" s="1094"/>
      <c r="N8" s="1094"/>
    </row>
    <row r="9" spans="1:21" s="226" customFormat="1" x14ac:dyDescent="0.2">
      <c r="A9" s="408" t="s">
        <v>829</v>
      </c>
      <c r="B9" s="408">
        <v>35</v>
      </c>
      <c r="C9" s="408" t="s">
        <v>1196</v>
      </c>
      <c r="D9" s="408">
        <v>95</v>
      </c>
      <c r="M9" s="1094"/>
      <c r="N9" s="1094"/>
    </row>
    <row r="10" spans="1:21" s="226" customFormat="1" x14ac:dyDescent="0.2">
      <c r="A10" s="226" t="s">
        <v>1197</v>
      </c>
      <c r="B10" s="226">
        <v>4</v>
      </c>
      <c r="C10" s="226" t="s">
        <v>1196</v>
      </c>
      <c r="D10" s="226">
        <v>45</v>
      </c>
      <c r="M10" s="1094"/>
      <c r="N10" s="1094"/>
    </row>
    <row r="11" spans="1:21" s="226" customFormat="1" x14ac:dyDescent="0.2">
      <c r="A11" s="226" t="s">
        <v>844</v>
      </c>
      <c r="B11" s="226">
        <v>4</v>
      </c>
      <c r="C11" s="226" t="s">
        <v>1196</v>
      </c>
      <c r="D11" s="226">
        <v>25</v>
      </c>
      <c r="M11" s="1094"/>
      <c r="N11" s="1094"/>
    </row>
    <row r="12" spans="1:21" s="226" customFormat="1" x14ac:dyDescent="0.2">
      <c r="A12" s="226" t="s">
        <v>842</v>
      </c>
      <c r="B12" s="226">
        <v>0.2</v>
      </c>
      <c r="C12" s="226" t="s">
        <v>1196</v>
      </c>
      <c r="D12" s="226">
        <v>3</v>
      </c>
      <c r="M12" s="1094"/>
      <c r="N12" s="1094"/>
    </row>
    <row r="13" spans="1:21" s="226" customFormat="1" x14ac:dyDescent="0.2">
      <c r="A13" s="226" t="s">
        <v>1198</v>
      </c>
      <c r="B13" s="226">
        <v>0.2</v>
      </c>
      <c r="C13" s="226" t="s">
        <v>1196</v>
      </c>
      <c r="D13" s="226">
        <v>1.5</v>
      </c>
      <c r="M13" s="1094"/>
      <c r="N13" s="1094"/>
    </row>
    <row r="14" spans="1:21" s="226" customFormat="1" x14ac:dyDescent="0.2">
      <c r="A14" s="226" t="s">
        <v>832</v>
      </c>
      <c r="B14" s="226">
        <v>2E-3</v>
      </c>
      <c r="C14" s="226" t="s">
        <v>1196</v>
      </c>
      <c r="D14" s="226">
        <v>0.5</v>
      </c>
      <c r="M14" s="1094"/>
      <c r="N14" s="1094"/>
    </row>
    <row r="15" spans="1:21" s="226" customFormat="1" x14ac:dyDescent="0.2">
      <c r="A15" s="915" t="s">
        <v>835</v>
      </c>
      <c r="B15" s="915">
        <v>2E-3</v>
      </c>
      <c r="C15" s="915" t="s">
        <v>1196</v>
      </c>
      <c r="D15" s="915">
        <v>0.5</v>
      </c>
      <c r="M15" s="1094"/>
      <c r="N15" s="1094"/>
    </row>
    <row r="16" spans="1:21" s="2" customFormat="1" x14ac:dyDescent="0.2">
      <c r="A16" s="113"/>
      <c r="B16" s="99"/>
      <c r="C16" s="99"/>
      <c r="D16" s="99"/>
      <c r="E16" s="99"/>
      <c r="F16" s="99"/>
      <c r="G16" s="99"/>
      <c r="H16" s="99"/>
      <c r="I16" s="113"/>
      <c r="J16" s="113"/>
      <c r="K16" s="113"/>
      <c r="L16" s="113"/>
      <c r="M16" s="113"/>
      <c r="N16" s="113"/>
      <c r="O16" s="113"/>
      <c r="R16" s="113"/>
      <c r="S16" s="113"/>
      <c r="T16" s="146"/>
      <c r="U16" s="146"/>
    </row>
    <row r="17" spans="1:25" ht="15.75" x14ac:dyDescent="0.2">
      <c r="A17" s="103" t="s">
        <v>1243</v>
      </c>
      <c r="B17" s="97"/>
      <c r="C17" s="97"/>
      <c r="D17" s="97"/>
      <c r="E17" s="97"/>
      <c r="F17" s="97"/>
      <c r="G17" s="97"/>
      <c r="H17" s="97"/>
      <c r="I17" s="113"/>
      <c r="J17" s="113"/>
      <c r="K17" s="113"/>
      <c r="L17" s="113"/>
      <c r="M17" s="113"/>
      <c r="N17" s="113"/>
      <c r="O17" s="113"/>
      <c r="R17" s="113"/>
      <c r="S17" s="113"/>
      <c r="T17" s="146"/>
      <c r="U17" s="146"/>
    </row>
    <row r="18" spans="1:25" ht="89.25" x14ac:dyDescent="0.2">
      <c r="A18" s="211" t="s">
        <v>0</v>
      </c>
      <c r="B18" s="212" t="s">
        <v>1</v>
      </c>
      <c r="C18" s="212" t="s">
        <v>133</v>
      </c>
      <c r="D18" s="212" t="s">
        <v>199</v>
      </c>
      <c r="E18" s="212" t="s">
        <v>135</v>
      </c>
      <c r="F18" s="212" t="s">
        <v>200</v>
      </c>
      <c r="G18" s="212" t="s">
        <v>137</v>
      </c>
      <c r="H18" s="212" t="s">
        <v>201</v>
      </c>
      <c r="I18" s="104" t="s">
        <v>8</v>
      </c>
      <c r="J18" s="104" t="s">
        <v>9</v>
      </c>
      <c r="K18" s="104" t="s">
        <v>107</v>
      </c>
      <c r="L18" s="104" t="s">
        <v>14</v>
      </c>
      <c r="M18" s="104" t="s">
        <v>1057</v>
      </c>
      <c r="N18" s="104" t="s">
        <v>1058</v>
      </c>
      <c r="O18" s="104" t="s">
        <v>100</v>
      </c>
      <c r="P18" s="6" t="s">
        <v>105</v>
      </c>
      <c r="Q18" s="6" t="s">
        <v>106</v>
      </c>
      <c r="R18" s="104" t="s">
        <v>1051</v>
      </c>
      <c r="S18" s="104" t="s">
        <v>1052</v>
      </c>
      <c r="T18" s="147" t="s">
        <v>1053</v>
      </c>
      <c r="U18" s="147" t="s">
        <v>1054</v>
      </c>
      <c r="V18" s="5" t="s">
        <v>101</v>
      </c>
      <c r="W18" s="5" t="s">
        <v>102</v>
      </c>
      <c r="X18" s="112" t="s">
        <v>1055</v>
      </c>
      <c r="Y18" s="112" t="s">
        <v>1056</v>
      </c>
    </row>
    <row r="19" spans="1:25" x14ac:dyDescent="0.2">
      <c r="A19" s="213" t="str">
        <f>A126</f>
        <v>BFKH</v>
      </c>
      <c r="B19" s="213"/>
      <c r="C19" s="219">
        <f>$D$115*10000</f>
        <v>437699</v>
      </c>
      <c r="D19" s="219">
        <f>$E$115*10000</f>
        <v>178</v>
      </c>
      <c r="E19" s="219">
        <f>B126*10000</f>
        <v>441060</v>
      </c>
      <c r="F19" s="219">
        <f>C126*10000</f>
        <v>340</v>
      </c>
      <c r="G19" s="219">
        <f>D126*10000</f>
        <v>3360</v>
      </c>
      <c r="H19" s="219">
        <f>F126*10000</f>
        <v>750</v>
      </c>
      <c r="I19" s="155">
        <f t="shared" ref="I19:I97" si="0">IF(ABS(G19)&gt;ABS(H19), 1, 0)</f>
        <v>1</v>
      </c>
      <c r="J19" s="155">
        <f t="shared" ref="J19:J97" si="1">I19*ABS(C19-E19)</f>
        <v>3361</v>
      </c>
      <c r="K19" s="155">
        <f t="shared" ref="K19:K97" si="2">SQRT(SUMSQ(F19,J19))*2</f>
        <v>6756.306979408203</v>
      </c>
      <c r="L19" s="155">
        <f t="shared" ref="L19:L97" si="3">IF(C19&lt;$K$2, C19, $K$1)</f>
        <v>10</v>
      </c>
      <c r="M19" s="156">
        <f t="shared" ref="M19:M97" si="4">IF(AND(C19&lt;$K$1,C19&gt; $K$2), K19/L19*100, K19/C19*100)</f>
        <v>1.5435966222011481</v>
      </c>
      <c r="N19" s="157">
        <f t="shared" ref="N19:N97" si="5">M19*L19/100</f>
        <v>0.15435966222011482</v>
      </c>
      <c r="O19" s="155">
        <f t="shared" ref="O19:O97" si="6">N19/(M19*L19/100)*100</f>
        <v>100</v>
      </c>
      <c r="P19" s="250">
        <v>10</v>
      </c>
      <c r="Q19" s="250">
        <v>10000</v>
      </c>
      <c r="R19" s="148">
        <f>IF( IF(P19&lt;L19, M19*L19/P19, M19)&gt;100, "ERROR",  IF(P19&lt;L19, M19*L19/P19, M19))</f>
        <v>1.5435966222011481</v>
      </c>
      <c r="S19" s="148">
        <f>IF(IF(Q19&lt;L19, M19*L19/Q19, M19)&gt;100, "ERROR", IF(Q19&lt;L19, M19*L19/Q19, M19))</f>
        <v>1.5435966222011481</v>
      </c>
      <c r="T19" s="148">
        <f>R19*P19*0.01</f>
        <v>0.15435966222011482</v>
      </c>
      <c r="U19" s="148">
        <f>S19*Q19*0.01</f>
        <v>154.35966222011481</v>
      </c>
      <c r="V19" s="7">
        <f>P19*1000</f>
        <v>10000</v>
      </c>
      <c r="W19" s="7">
        <f>Q19*1000</f>
        <v>10000000</v>
      </c>
      <c r="X19" s="1345">
        <f>T19*1000</f>
        <v>154.35966222011481</v>
      </c>
      <c r="Y19" s="1345">
        <f>U19*1000</f>
        <v>154359.66222011481</v>
      </c>
    </row>
    <row r="20" spans="1:25" x14ac:dyDescent="0.2">
      <c r="A20" s="213" t="str">
        <f t="shared" ref="A20:A28" si="7">A127</f>
        <v>CEM</v>
      </c>
      <c r="B20" s="213"/>
      <c r="C20" s="219">
        <f t="shared" ref="C20:C28" si="8">$D$115*10000</f>
        <v>437699</v>
      </c>
      <c r="D20" s="219">
        <f t="shared" ref="D20:D28" si="9">$E$115*10000</f>
        <v>178</v>
      </c>
      <c r="E20" s="219">
        <f t="shared" ref="E20:G20" si="10">B127*10000</f>
        <v>437110</v>
      </c>
      <c r="F20" s="219">
        <f t="shared" si="10"/>
        <v>270</v>
      </c>
      <c r="G20" s="219">
        <f t="shared" si="10"/>
        <v>-590</v>
      </c>
      <c r="H20" s="219">
        <f t="shared" ref="H20:H27" si="11">F127*10000</f>
        <v>600</v>
      </c>
      <c r="I20" s="155">
        <f t="shared" ref="I20:I27" si="12">IF(ABS(G20)&gt;ABS(H20), 1, 0)</f>
        <v>0</v>
      </c>
      <c r="J20" s="155">
        <f t="shared" ref="J20:J27" si="13">I20*ABS(C20-E20)</f>
        <v>0</v>
      </c>
      <c r="K20" s="155">
        <f t="shared" ref="K20:K27" si="14">SQRT(SUMSQ(F20,J20))*2</f>
        <v>540</v>
      </c>
      <c r="L20" s="155">
        <f t="shared" ref="L20:L27" si="15">IF(C20&lt;$K$2, C20, $K$1)</f>
        <v>10</v>
      </c>
      <c r="M20" s="156">
        <f t="shared" ref="M20:M27" si="16">IF(AND(C20&lt;$K$1,C20&gt; $K$2), K20/L20*100, K20/C20*100)</f>
        <v>0.123372454586371</v>
      </c>
      <c r="N20" s="157">
        <f t="shared" ref="N20:N27" si="17">M20*L20/100</f>
        <v>1.2337245458637101E-2</v>
      </c>
      <c r="O20" s="155">
        <f t="shared" ref="O20:O27" si="18">N20/(M20*L20/100)*100</f>
        <v>100</v>
      </c>
      <c r="P20" s="250">
        <v>10</v>
      </c>
      <c r="Q20" s="250">
        <v>10000</v>
      </c>
      <c r="R20" s="148">
        <f t="shared" ref="R20:R27" si="19">IF( IF(P20&lt;L20, M20*L20/P20, M20)&gt;100, "ERROR",  IF(P20&lt;L20, M20*L20/P20, M20))</f>
        <v>0.123372454586371</v>
      </c>
      <c r="S20" s="148">
        <f t="shared" ref="S20:S27" si="20">IF(IF(Q20&lt;L20, M20*L20/Q20, M20)&gt;100, "ERROR", IF(Q20&lt;L20, M20*L20/Q20, M20))</f>
        <v>0.123372454586371</v>
      </c>
      <c r="T20" s="148">
        <f t="shared" ref="T20:T27" si="21">R20*P20*0.01</f>
        <v>1.2337245458637101E-2</v>
      </c>
      <c r="U20" s="148">
        <f t="shared" ref="U20:U27" si="22">S20*Q20*0.01</f>
        <v>12.337245458637101</v>
      </c>
      <c r="V20" s="7">
        <f t="shared" ref="V20:V27" si="23">P20*1000</f>
        <v>10000</v>
      </c>
      <c r="W20" s="7">
        <f t="shared" ref="W20:W27" si="24">Q20*1000</f>
        <v>10000000</v>
      </c>
      <c r="X20" s="1345">
        <f t="shared" ref="X20:X27" si="25">T20*1000</f>
        <v>12.337245458637101</v>
      </c>
      <c r="Y20" s="1345">
        <f t="shared" ref="Y20:Y27" si="26">U20*1000</f>
        <v>12337.2454586371</v>
      </c>
    </row>
    <row r="21" spans="1:25" x14ac:dyDescent="0.2">
      <c r="A21" s="213" t="str">
        <f t="shared" si="7"/>
        <v>CMI</v>
      </c>
      <c r="B21" s="213"/>
      <c r="C21" s="219">
        <f t="shared" si="8"/>
        <v>437699</v>
      </c>
      <c r="D21" s="219">
        <f t="shared" si="9"/>
        <v>178</v>
      </c>
      <c r="E21" s="219">
        <f t="shared" ref="E21:G21" si="27">B128*10000</f>
        <v>435510</v>
      </c>
      <c r="F21" s="219">
        <f t="shared" si="27"/>
        <v>150</v>
      </c>
      <c r="G21" s="219">
        <f t="shared" si="27"/>
        <v>-2190</v>
      </c>
      <c r="H21" s="219">
        <f t="shared" si="11"/>
        <v>450</v>
      </c>
      <c r="I21" s="155">
        <f t="shared" si="12"/>
        <v>1</v>
      </c>
      <c r="J21" s="155">
        <f t="shared" si="13"/>
        <v>2189</v>
      </c>
      <c r="K21" s="155">
        <f t="shared" si="14"/>
        <v>4388.2666281801976</v>
      </c>
      <c r="L21" s="155">
        <f t="shared" si="15"/>
        <v>10</v>
      </c>
      <c r="M21" s="156">
        <f t="shared" si="16"/>
        <v>1.0025763431445349</v>
      </c>
      <c r="N21" s="157">
        <f t="shared" si="17"/>
        <v>0.10025763431445349</v>
      </c>
      <c r="O21" s="155">
        <f t="shared" si="18"/>
        <v>100</v>
      </c>
      <c r="P21" s="250">
        <v>10</v>
      </c>
      <c r="Q21" s="250">
        <v>10000</v>
      </c>
      <c r="R21" s="148">
        <f t="shared" si="19"/>
        <v>1.0025763431445349</v>
      </c>
      <c r="S21" s="148">
        <f t="shared" si="20"/>
        <v>1.0025763431445349</v>
      </c>
      <c r="T21" s="148">
        <f t="shared" si="21"/>
        <v>0.10025763431445349</v>
      </c>
      <c r="U21" s="148">
        <f t="shared" si="22"/>
        <v>100.2576343144535</v>
      </c>
      <c r="V21" s="7">
        <f t="shared" si="23"/>
        <v>10000</v>
      </c>
      <c r="W21" s="7">
        <f t="shared" si="24"/>
        <v>10000000</v>
      </c>
      <c r="X21" s="1345">
        <f t="shared" si="25"/>
        <v>100.25763431445348</v>
      </c>
      <c r="Y21" s="1345">
        <f t="shared" si="26"/>
        <v>100257.63431445349</v>
      </c>
    </row>
    <row r="22" spans="1:25" x14ac:dyDescent="0.2">
      <c r="A22" s="213" t="str">
        <f t="shared" si="7"/>
        <v>INMETRO</v>
      </c>
      <c r="B22" s="213"/>
      <c r="C22" s="219">
        <f t="shared" si="8"/>
        <v>437699</v>
      </c>
      <c r="D22" s="219">
        <f t="shared" si="9"/>
        <v>178</v>
      </c>
      <c r="E22" s="219">
        <f t="shared" ref="E22:G22" si="28">B129*10000</f>
        <v>438120</v>
      </c>
      <c r="F22" s="219">
        <f t="shared" si="28"/>
        <v>700.00000000000011</v>
      </c>
      <c r="G22" s="219">
        <f t="shared" si="28"/>
        <v>420</v>
      </c>
      <c r="H22" s="219">
        <f t="shared" si="11"/>
        <v>1320</v>
      </c>
      <c r="I22" s="155">
        <f t="shared" si="12"/>
        <v>0</v>
      </c>
      <c r="J22" s="155">
        <f t="shared" si="13"/>
        <v>0</v>
      </c>
      <c r="K22" s="155">
        <f t="shared" si="14"/>
        <v>1400.0000000000002</v>
      </c>
      <c r="L22" s="155">
        <f t="shared" si="15"/>
        <v>10</v>
      </c>
      <c r="M22" s="156">
        <f t="shared" si="16"/>
        <v>0.3198545118905915</v>
      </c>
      <c r="N22" s="157">
        <f t="shared" si="17"/>
        <v>3.1985451189059148E-2</v>
      </c>
      <c r="O22" s="155">
        <f t="shared" si="18"/>
        <v>100</v>
      </c>
      <c r="P22" s="250">
        <v>10</v>
      </c>
      <c r="Q22" s="250">
        <v>10000</v>
      </c>
      <c r="R22" s="148">
        <f t="shared" si="19"/>
        <v>0.3198545118905915</v>
      </c>
      <c r="S22" s="148">
        <f t="shared" si="20"/>
        <v>0.3198545118905915</v>
      </c>
      <c r="T22" s="148">
        <f t="shared" si="21"/>
        <v>3.1985451189059148E-2</v>
      </c>
      <c r="U22" s="148">
        <f t="shared" si="22"/>
        <v>31.985451189059152</v>
      </c>
      <c r="V22" s="7">
        <f t="shared" si="23"/>
        <v>10000</v>
      </c>
      <c r="W22" s="7">
        <f t="shared" si="24"/>
        <v>10000000</v>
      </c>
      <c r="X22" s="1345">
        <f t="shared" si="25"/>
        <v>31.985451189059148</v>
      </c>
      <c r="Y22" s="1345">
        <f t="shared" si="26"/>
        <v>31985.451189059153</v>
      </c>
    </row>
    <row r="23" spans="1:25" x14ac:dyDescent="0.2">
      <c r="A23" s="213" t="str">
        <f t="shared" si="7"/>
        <v>NPL</v>
      </c>
      <c r="B23" s="213"/>
      <c r="C23" s="219">
        <f t="shared" si="8"/>
        <v>437699</v>
      </c>
      <c r="D23" s="219">
        <f t="shared" si="9"/>
        <v>178</v>
      </c>
      <c r="E23" s="219">
        <f t="shared" ref="E23:G23" si="29">B130*10000</f>
        <v>437950</v>
      </c>
      <c r="F23" s="219">
        <f t="shared" si="29"/>
        <v>220</v>
      </c>
      <c r="G23" s="219">
        <f t="shared" si="29"/>
        <v>250</v>
      </c>
      <c r="H23" s="219">
        <f t="shared" si="11"/>
        <v>480</v>
      </c>
      <c r="I23" s="155">
        <f t="shared" si="12"/>
        <v>0</v>
      </c>
      <c r="J23" s="155">
        <f t="shared" si="13"/>
        <v>0</v>
      </c>
      <c r="K23" s="155">
        <f t="shared" si="14"/>
        <v>440</v>
      </c>
      <c r="L23" s="155">
        <f t="shared" si="15"/>
        <v>10</v>
      </c>
      <c r="M23" s="156">
        <f t="shared" si="16"/>
        <v>0.10052570373704303</v>
      </c>
      <c r="N23" s="157">
        <f t="shared" si="17"/>
        <v>1.0052570373704304E-2</v>
      </c>
      <c r="O23" s="155">
        <f t="shared" si="18"/>
        <v>100</v>
      </c>
      <c r="P23" s="250">
        <v>10</v>
      </c>
      <c r="Q23" s="250">
        <v>10000</v>
      </c>
      <c r="R23" s="148">
        <f t="shared" si="19"/>
        <v>0.10052570373704303</v>
      </c>
      <c r="S23" s="148">
        <f t="shared" si="20"/>
        <v>0.10052570373704303</v>
      </c>
      <c r="T23" s="148">
        <f t="shared" si="21"/>
        <v>1.0052570373704304E-2</v>
      </c>
      <c r="U23" s="148">
        <f t="shared" si="22"/>
        <v>10.052570373704304</v>
      </c>
      <c r="V23" s="7">
        <f t="shared" si="23"/>
        <v>10000</v>
      </c>
      <c r="W23" s="7">
        <f t="shared" si="24"/>
        <v>10000000</v>
      </c>
      <c r="X23" s="1345">
        <f t="shared" si="25"/>
        <v>10.052570373704304</v>
      </c>
      <c r="Y23" s="1345">
        <f t="shared" si="26"/>
        <v>10052.570373704304</v>
      </c>
    </row>
    <row r="24" spans="1:25" x14ac:dyDescent="0.2">
      <c r="A24" s="213" t="str">
        <f t="shared" si="7"/>
        <v>RISE</v>
      </c>
      <c r="B24" s="213"/>
      <c r="C24" s="219">
        <f t="shared" si="8"/>
        <v>437699</v>
      </c>
      <c r="D24" s="219">
        <f t="shared" si="9"/>
        <v>178</v>
      </c>
      <c r="E24" s="219">
        <f t="shared" ref="E24:G24" si="30">B131*10000</f>
        <v>438380</v>
      </c>
      <c r="F24" s="219">
        <f t="shared" si="30"/>
        <v>1450</v>
      </c>
      <c r="G24" s="219">
        <f t="shared" si="30"/>
        <v>680</v>
      </c>
      <c r="H24" s="219">
        <f t="shared" si="11"/>
        <v>2770.0000000000005</v>
      </c>
      <c r="I24" s="155">
        <f t="shared" si="12"/>
        <v>0</v>
      </c>
      <c r="J24" s="155">
        <f t="shared" si="13"/>
        <v>0</v>
      </c>
      <c r="K24" s="155">
        <f t="shared" si="14"/>
        <v>2900</v>
      </c>
      <c r="L24" s="155">
        <f t="shared" si="15"/>
        <v>10</v>
      </c>
      <c r="M24" s="156">
        <f t="shared" si="16"/>
        <v>0.66255577463051096</v>
      </c>
      <c r="N24" s="157">
        <f t="shared" si="17"/>
        <v>6.6255577463051094E-2</v>
      </c>
      <c r="O24" s="155">
        <f t="shared" si="18"/>
        <v>100</v>
      </c>
      <c r="P24" s="250">
        <v>10</v>
      </c>
      <c r="Q24" s="250">
        <v>10000</v>
      </c>
      <c r="R24" s="148">
        <f t="shared" si="19"/>
        <v>0.66255577463051096</v>
      </c>
      <c r="S24" s="148">
        <f t="shared" si="20"/>
        <v>0.66255577463051096</v>
      </c>
      <c r="T24" s="148">
        <f t="shared" si="21"/>
        <v>6.6255577463051094E-2</v>
      </c>
      <c r="U24" s="148">
        <f t="shared" si="22"/>
        <v>66.255577463051097</v>
      </c>
      <c r="V24" s="7">
        <f t="shared" si="23"/>
        <v>10000</v>
      </c>
      <c r="W24" s="7">
        <f t="shared" si="24"/>
        <v>10000000</v>
      </c>
      <c r="X24" s="1345">
        <f t="shared" si="25"/>
        <v>66.255577463051097</v>
      </c>
      <c r="Y24" s="1345">
        <f t="shared" si="26"/>
        <v>66255.5774630511</v>
      </c>
    </row>
    <row r="25" spans="1:25" x14ac:dyDescent="0.2">
      <c r="A25" s="213" t="str">
        <f t="shared" si="7"/>
        <v>SMU</v>
      </c>
      <c r="B25" s="213"/>
      <c r="C25" s="219">
        <f t="shared" si="8"/>
        <v>437699</v>
      </c>
      <c r="D25" s="219">
        <f t="shared" si="9"/>
        <v>178</v>
      </c>
      <c r="E25" s="219">
        <f t="shared" ref="E25:G25" si="31">B132*10000</f>
        <v>437819.99999999994</v>
      </c>
      <c r="F25" s="219">
        <f t="shared" si="31"/>
        <v>330</v>
      </c>
      <c r="G25" s="219">
        <f t="shared" si="31"/>
        <v>120</v>
      </c>
      <c r="H25" s="219">
        <f t="shared" si="11"/>
        <v>640</v>
      </c>
      <c r="I25" s="155">
        <f t="shared" si="12"/>
        <v>0</v>
      </c>
      <c r="J25" s="155">
        <f t="shared" si="13"/>
        <v>0</v>
      </c>
      <c r="K25" s="155">
        <f t="shared" si="14"/>
        <v>660</v>
      </c>
      <c r="L25" s="155">
        <f t="shared" si="15"/>
        <v>10</v>
      </c>
      <c r="M25" s="156">
        <f t="shared" si="16"/>
        <v>0.15078855560556456</v>
      </c>
      <c r="N25" s="157">
        <f t="shared" si="17"/>
        <v>1.5078855560556458E-2</v>
      </c>
      <c r="O25" s="155">
        <f t="shared" si="18"/>
        <v>100</v>
      </c>
      <c r="P25" s="250">
        <v>10</v>
      </c>
      <c r="Q25" s="250">
        <v>10000</v>
      </c>
      <c r="R25" s="148">
        <f t="shared" si="19"/>
        <v>0.15078855560556456</v>
      </c>
      <c r="S25" s="148">
        <f t="shared" si="20"/>
        <v>0.15078855560556456</v>
      </c>
      <c r="T25" s="148">
        <f t="shared" si="21"/>
        <v>1.5078855560556458E-2</v>
      </c>
      <c r="U25" s="148">
        <f t="shared" si="22"/>
        <v>15.078855560556455</v>
      </c>
      <c r="V25" s="7">
        <f t="shared" si="23"/>
        <v>10000</v>
      </c>
      <c r="W25" s="7">
        <f t="shared" si="24"/>
        <v>10000000</v>
      </c>
      <c r="X25" s="1345">
        <f t="shared" si="25"/>
        <v>15.078855560556457</v>
      </c>
      <c r="Y25" s="1345">
        <f t="shared" si="26"/>
        <v>15078.855560556456</v>
      </c>
    </row>
    <row r="26" spans="1:25" x14ac:dyDescent="0.2">
      <c r="A26" s="213" t="str">
        <f t="shared" si="7"/>
        <v>UME</v>
      </c>
      <c r="B26" s="213"/>
      <c r="C26" s="219">
        <f t="shared" si="8"/>
        <v>437699</v>
      </c>
      <c r="D26" s="219">
        <f t="shared" si="9"/>
        <v>178</v>
      </c>
      <c r="E26" s="219">
        <f t="shared" ref="E26:G26" si="32">B133*10000</f>
        <v>437780</v>
      </c>
      <c r="F26" s="219">
        <f t="shared" si="32"/>
        <v>640</v>
      </c>
      <c r="G26" s="219">
        <f t="shared" si="32"/>
        <v>80</v>
      </c>
      <c r="H26" s="219">
        <f t="shared" si="11"/>
        <v>1190</v>
      </c>
      <c r="I26" s="155">
        <f t="shared" si="12"/>
        <v>0</v>
      </c>
      <c r="J26" s="155">
        <f t="shared" si="13"/>
        <v>0</v>
      </c>
      <c r="K26" s="155">
        <f t="shared" si="14"/>
        <v>1280</v>
      </c>
      <c r="L26" s="155">
        <f t="shared" si="15"/>
        <v>10</v>
      </c>
      <c r="M26" s="156">
        <f t="shared" si="16"/>
        <v>0.29243841087139794</v>
      </c>
      <c r="N26" s="157">
        <f t="shared" si="17"/>
        <v>2.9243841087139795E-2</v>
      </c>
      <c r="O26" s="155">
        <f t="shared" si="18"/>
        <v>100</v>
      </c>
      <c r="P26" s="250">
        <v>10</v>
      </c>
      <c r="Q26" s="250">
        <v>10000</v>
      </c>
      <c r="R26" s="148">
        <f t="shared" si="19"/>
        <v>0.29243841087139794</v>
      </c>
      <c r="S26" s="148">
        <f t="shared" si="20"/>
        <v>0.29243841087139794</v>
      </c>
      <c r="T26" s="148">
        <f t="shared" si="21"/>
        <v>2.9243841087139795E-2</v>
      </c>
      <c r="U26" s="148">
        <f t="shared" si="22"/>
        <v>29.243841087139796</v>
      </c>
      <c r="V26" s="7">
        <f t="shared" si="23"/>
        <v>10000</v>
      </c>
      <c r="W26" s="7">
        <f t="shared" si="24"/>
        <v>10000000</v>
      </c>
      <c r="X26" s="1345">
        <f t="shared" si="25"/>
        <v>29.243841087139796</v>
      </c>
      <c r="Y26" s="1345">
        <f t="shared" si="26"/>
        <v>29243.841087139797</v>
      </c>
    </row>
    <row r="27" spans="1:25" x14ac:dyDescent="0.2">
      <c r="A27" s="213" t="str">
        <f t="shared" si="7"/>
        <v>VNIIM</v>
      </c>
      <c r="B27" s="213"/>
      <c r="C27" s="219">
        <f t="shared" si="8"/>
        <v>437699</v>
      </c>
      <c r="D27" s="219">
        <f t="shared" si="9"/>
        <v>178</v>
      </c>
      <c r="E27" s="219">
        <f t="shared" ref="E27:G27" si="33">B134*10000</f>
        <v>437650</v>
      </c>
      <c r="F27" s="219">
        <f t="shared" si="33"/>
        <v>230</v>
      </c>
      <c r="G27" s="219">
        <f t="shared" si="33"/>
        <v>-50</v>
      </c>
      <c r="H27" s="219">
        <f t="shared" si="11"/>
        <v>500</v>
      </c>
      <c r="I27" s="155">
        <f t="shared" si="12"/>
        <v>0</v>
      </c>
      <c r="J27" s="155">
        <f t="shared" si="13"/>
        <v>0</v>
      </c>
      <c r="K27" s="155">
        <f t="shared" si="14"/>
        <v>460</v>
      </c>
      <c r="L27" s="155">
        <f t="shared" si="15"/>
        <v>10</v>
      </c>
      <c r="M27" s="156">
        <f t="shared" si="16"/>
        <v>0.10509505390690864</v>
      </c>
      <c r="N27" s="157">
        <f t="shared" si="17"/>
        <v>1.0509505390690864E-2</v>
      </c>
      <c r="O27" s="155">
        <f t="shared" si="18"/>
        <v>100</v>
      </c>
      <c r="P27" s="250">
        <v>10</v>
      </c>
      <c r="Q27" s="250">
        <v>10000</v>
      </c>
      <c r="R27" s="148">
        <f t="shared" si="19"/>
        <v>0.10509505390690864</v>
      </c>
      <c r="S27" s="148">
        <f t="shared" si="20"/>
        <v>0.10509505390690864</v>
      </c>
      <c r="T27" s="148">
        <f t="shared" si="21"/>
        <v>1.0509505390690864E-2</v>
      </c>
      <c r="U27" s="148">
        <f t="shared" si="22"/>
        <v>10.509505390690864</v>
      </c>
      <c r="V27" s="7">
        <f t="shared" si="23"/>
        <v>10000</v>
      </c>
      <c r="W27" s="7">
        <f t="shared" si="24"/>
        <v>10000000</v>
      </c>
      <c r="X27" s="1345">
        <f t="shared" si="25"/>
        <v>10.509505390690864</v>
      </c>
      <c r="Y27" s="1345">
        <f t="shared" si="26"/>
        <v>10509.505390690863</v>
      </c>
    </row>
    <row r="28" spans="1:25" x14ac:dyDescent="0.2">
      <c r="A28" s="213" t="str">
        <f t="shared" si="7"/>
        <v>VSL</v>
      </c>
      <c r="B28" s="213"/>
      <c r="C28" s="219">
        <f t="shared" si="8"/>
        <v>437699</v>
      </c>
      <c r="D28" s="219">
        <f t="shared" si="9"/>
        <v>178</v>
      </c>
      <c r="E28" s="219">
        <f t="shared" ref="E28" si="34">B135*10000</f>
        <v>437410</v>
      </c>
      <c r="F28" s="219">
        <f t="shared" ref="F28" si="35">C135*10000</f>
        <v>130</v>
      </c>
      <c r="G28" s="219">
        <f t="shared" ref="G28" si="36">D135*10000</f>
        <v>-290</v>
      </c>
      <c r="H28" s="219">
        <f t="shared" ref="H28" si="37">F135*10000</f>
        <v>400</v>
      </c>
      <c r="I28" s="155">
        <f t="shared" ref="I28" si="38">IF(ABS(G28)&gt;ABS(H28), 1, 0)</f>
        <v>0</v>
      </c>
      <c r="J28" s="155">
        <f t="shared" ref="J28" si="39">I28*ABS(C28-E28)</f>
        <v>0</v>
      </c>
      <c r="K28" s="155">
        <f t="shared" ref="K28" si="40">SQRT(SUMSQ(F28,J28))*2</f>
        <v>260</v>
      </c>
      <c r="L28" s="155">
        <f t="shared" ref="L28" si="41">IF(C28&lt;$K$2, C28, $K$1)</f>
        <v>10</v>
      </c>
      <c r="M28" s="156">
        <f t="shared" ref="M28" si="42">IF(AND(C28&lt;$K$1,C28&gt; $K$2), K28/L28*100, K28/C28*100)</f>
        <v>5.9401552208252696E-2</v>
      </c>
      <c r="N28" s="157">
        <f t="shared" ref="N28" si="43">M28*L28/100</f>
        <v>5.9401552208252694E-3</v>
      </c>
      <c r="O28" s="155">
        <f t="shared" ref="O28" si="44">N28/(M28*L28/100)*100</f>
        <v>100</v>
      </c>
      <c r="P28" s="250">
        <v>10</v>
      </c>
      <c r="Q28" s="250">
        <v>10000</v>
      </c>
      <c r="R28" s="148">
        <f t="shared" ref="R28" si="45">IF( IF(P28&lt;L28, M28*L28/P28, M28)&gt;100, "ERROR",  IF(P28&lt;L28, M28*L28/P28, M28))</f>
        <v>5.9401552208252696E-2</v>
      </c>
      <c r="S28" s="148">
        <f t="shared" ref="S28" si="46">IF(IF(Q28&lt;L28, M28*L28/Q28, M28)&gt;100, "ERROR", IF(Q28&lt;L28, M28*L28/Q28, M28))</f>
        <v>5.9401552208252696E-2</v>
      </c>
      <c r="T28" s="148">
        <f t="shared" ref="T28" si="47">R28*P28*0.01</f>
        <v>5.9401552208252694E-3</v>
      </c>
      <c r="U28" s="148">
        <f t="shared" ref="U28" si="48">S28*Q28*0.01</f>
        <v>5.9401552208252699</v>
      </c>
      <c r="V28" s="7">
        <f t="shared" ref="V28" si="49">P28*1000</f>
        <v>10000</v>
      </c>
      <c r="W28" s="7">
        <f t="shared" ref="W28" si="50">Q28*1000</f>
        <v>10000000</v>
      </c>
      <c r="X28" s="1345">
        <f t="shared" ref="X28" si="51">T28*1000</f>
        <v>5.940155220825269</v>
      </c>
      <c r="Y28" s="1345">
        <f t="shared" ref="Y28" si="52">U28*1000</f>
        <v>5940.1552208252697</v>
      </c>
    </row>
    <row r="29" spans="1:25" x14ac:dyDescent="0.2">
      <c r="A29" s="445"/>
      <c r="B29" s="445"/>
      <c r="C29" s="1130"/>
      <c r="D29" s="1131"/>
      <c r="E29" s="1130"/>
      <c r="F29" s="1130"/>
      <c r="G29" s="1130"/>
      <c r="H29" s="1130"/>
      <c r="I29" s="446"/>
      <c r="J29" s="446"/>
      <c r="K29" s="446"/>
      <c r="L29" s="446"/>
      <c r="M29" s="447"/>
      <c r="N29" s="448"/>
      <c r="O29" s="446"/>
      <c r="P29" s="1228"/>
      <c r="Q29" s="1228"/>
      <c r="R29" s="959"/>
      <c r="S29" s="959"/>
      <c r="T29" s="449"/>
      <c r="U29" s="449"/>
      <c r="V29" s="450"/>
      <c r="W29" s="450"/>
      <c r="X29" s="451"/>
      <c r="Y29" s="452"/>
    </row>
    <row r="30" spans="1:25" ht="15.75" x14ac:dyDescent="0.2">
      <c r="A30" s="103" t="s">
        <v>1244</v>
      </c>
      <c r="B30" s="97"/>
      <c r="C30" s="97"/>
      <c r="D30" s="97"/>
      <c r="E30" s="97"/>
      <c r="F30" s="97"/>
      <c r="G30" s="97"/>
      <c r="H30" s="97"/>
      <c r="I30" s="113"/>
      <c r="J30" s="113"/>
      <c r="K30" s="113"/>
      <c r="L30" s="113"/>
      <c r="M30" s="113"/>
      <c r="N30" s="113"/>
      <c r="O30" s="113"/>
      <c r="R30" s="113"/>
      <c r="S30" s="113"/>
      <c r="T30" s="146"/>
      <c r="U30" s="146"/>
    </row>
    <row r="31" spans="1:25" ht="89.25" x14ac:dyDescent="0.2">
      <c r="A31" s="211" t="s">
        <v>0</v>
      </c>
      <c r="B31" s="212" t="s">
        <v>1</v>
      </c>
      <c r="C31" s="212" t="s">
        <v>133</v>
      </c>
      <c r="D31" s="212" t="s">
        <v>199</v>
      </c>
      <c r="E31" s="212" t="s">
        <v>135</v>
      </c>
      <c r="F31" s="212" t="s">
        <v>200</v>
      </c>
      <c r="G31" s="212" t="s">
        <v>137</v>
      </c>
      <c r="H31" s="212" t="s">
        <v>201</v>
      </c>
      <c r="I31" s="104" t="s">
        <v>8</v>
      </c>
      <c r="J31" s="104" t="s">
        <v>9</v>
      </c>
      <c r="K31" s="104" t="s">
        <v>107</v>
      </c>
      <c r="L31" s="104" t="s">
        <v>14</v>
      </c>
      <c r="M31" s="104" t="s">
        <v>1057</v>
      </c>
      <c r="N31" s="104" t="s">
        <v>1058</v>
      </c>
      <c r="O31" s="104" t="s">
        <v>100</v>
      </c>
      <c r="P31" s="6" t="s">
        <v>105</v>
      </c>
      <c r="Q31" s="6" t="s">
        <v>106</v>
      </c>
      <c r="R31" s="104" t="s">
        <v>1051</v>
      </c>
      <c r="S31" s="104" t="s">
        <v>1052</v>
      </c>
      <c r="T31" s="147" t="s">
        <v>1053</v>
      </c>
      <c r="U31" s="147" t="s">
        <v>1054</v>
      </c>
      <c r="V31" s="5" t="s">
        <v>101</v>
      </c>
      <c r="W31" s="5" t="s">
        <v>102</v>
      </c>
      <c r="X31" s="112" t="s">
        <v>1055</v>
      </c>
      <c r="Y31" s="112" t="s">
        <v>1056</v>
      </c>
    </row>
    <row r="32" spans="1:25" x14ac:dyDescent="0.2">
      <c r="A32" s="213" t="str">
        <f>A139</f>
        <v>BFKH</v>
      </c>
      <c r="B32" s="213"/>
      <c r="C32" s="219">
        <f>$D$116*10000</f>
        <v>391339.69999999995</v>
      </c>
      <c r="D32" s="216">
        <f>$E$116*10000</f>
        <v>124.7</v>
      </c>
      <c r="E32" s="219">
        <f t="shared" ref="E32" si="53">B139*10000</f>
        <v>394680.00000000006</v>
      </c>
      <c r="F32" s="219">
        <f t="shared" ref="F32" si="54">C139*10000</f>
        <v>220</v>
      </c>
      <c r="G32" s="219">
        <f t="shared" ref="G32" si="55">D139*10000</f>
        <v>3340</v>
      </c>
      <c r="H32" s="219">
        <f t="shared" ref="H32" si="56">F139*10000</f>
        <v>500</v>
      </c>
      <c r="I32" s="155">
        <f t="shared" ref="I32" si="57">IF(ABS(G32)&gt;ABS(H32), 1, 0)</f>
        <v>1</v>
      </c>
      <c r="J32" s="155">
        <f t="shared" ref="J32" si="58">I32*ABS(C32-E32)</f>
        <v>3340.3000000001048</v>
      </c>
      <c r="K32" s="155">
        <f t="shared" ref="K32" si="59">SQRT(SUMSQ(F32,J32))*2</f>
        <v>6695.0740369321384</v>
      </c>
      <c r="L32" s="155">
        <f t="shared" ref="L32" si="60">IF(C32&lt;$K$2, C32, $K$1)</f>
        <v>10</v>
      </c>
      <c r="M32" s="156">
        <f t="shared" ref="M32" si="61">IF(AND(C32&lt;$K$1,C32&gt; $K$2), K32/L32*100, K32/C32*100)</f>
        <v>1.7108088029229183</v>
      </c>
      <c r="N32" s="157">
        <f t="shared" ref="N32" si="62">M32*L32/100</f>
        <v>0.17108088029229182</v>
      </c>
      <c r="O32" s="155">
        <f t="shared" ref="O32" si="63">N32/(M32*L32/100)*100</f>
        <v>100</v>
      </c>
      <c r="P32" s="250">
        <v>10</v>
      </c>
      <c r="Q32" s="250">
        <v>10000</v>
      </c>
      <c r="R32" s="148">
        <f t="shared" ref="R32" si="64">IF( IF(P32&lt;L32, M32*L32/P32, M32)&gt;100, "ERROR",  IF(P32&lt;L32, M32*L32/P32, M32))</f>
        <v>1.7108088029229183</v>
      </c>
      <c r="S32" s="148">
        <f t="shared" ref="S32" si="65">IF(IF(Q32&lt;L32, M32*L32/Q32, M32)&gt;100, "ERROR", IF(Q32&lt;L32, M32*L32/Q32, M32))</f>
        <v>1.7108088029229183</v>
      </c>
      <c r="T32" s="148">
        <f t="shared" ref="T32" si="66">R32*P32*0.01</f>
        <v>0.17108088029229182</v>
      </c>
      <c r="U32" s="148">
        <f t="shared" ref="U32" si="67">S32*Q32*0.01</f>
        <v>171.08088029229185</v>
      </c>
      <c r="V32" s="7">
        <f t="shared" ref="V32" si="68">P32*1000</f>
        <v>10000</v>
      </c>
      <c r="W32" s="7">
        <f t="shared" ref="W32" si="69">Q32*1000</f>
        <v>10000000</v>
      </c>
      <c r="X32" s="1345">
        <f t="shared" ref="X32" si="70">T32*1000</f>
        <v>171.08088029229182</v>
      </c>
      <c r="Y32" s="1345">
        <f t="shared" ref="Y32" si="71">U32*1000</f>
        <v>171080.88029229184</v>
      </c>
    </row>
    <row r="33" spans="1:25" x14ac:dyDescent="0.2">
      <c r="A33" s="213" t="str">
        <f t="shared" ref="A33:A41" si="72">A140</f>
        <v>CEM</v>
      </c>
      <c r="B33" s="213"/>
      <c r="C33" s="219">
        <f t="shared" ref="C33:C41" si="73">$D$116*10000</f>
        <v>391339.69999999995</v>
      </c>
      <c r="D33" s="216">
        <f t="shared" ref="D33:D41" si="74">$E$116*10000</f>
        <v>124.7</v>
      </c>
      <c r="E33" s="219">
        <f t="shared" ref="E33:E41" si="75">B140*10000</f>
        <v>392600</v>
      </c>
      <c r="F33" s="219">
        <f t="shared" ref="F33:F41" si="76">C140*10000</f>
        <v>850.00000000000011</v>
      </c>
      <c r="G33" s="219">
        <f t="shared" ref="G33:G41" si="77">D140*10000</f>
        <v>1260</v>
      </c>
      <c r="H33" s="219">
        <f t="shared" ref="H33:H41" si="78">F140*10000</f>
        <v>1640</v>
      </c>
      <c r="I33" s="155">
        <f t="shared" ref="I33:I41" si="79">IF(ABS(G33)&gt;ABS(H33), 1, 0)</f>
        <v>0</v>
      </c>
      <c r="J33" s="155">
        <f t="shared" ref="J33:J41" si="80">I33*ABS(C33-E33)</f>
        <v>0</v>
      </c>
      <c r="K33" s="155">
        <f t="shared" ref="K33:K41" si="81">SQRT(SUMSQ(F33,J33))*2</f>
        <v>1700.0000000000002</v>
      </c>
      <c r="L33" s="155">
        <f t="shared" ref="L33:L41" si="82">IF(C33&lt;$K$2, C33, $K$1)</f>
        <v>10</v>
      </c>
      <c r="M33" s="156">
        <f t="shared" ref="M33:M41" si="83">IF(AND(C33&lt;$K$1,C33&gt; $K$2), K33/L33*100, K33/C33*100)</f>
        <v>0.43440519834813607</v>
      </c>
      <c r="N33" s="157">
        <f t="shared" ref="N33:N41" si="84">M33*L33/100</f>
        <v>4.3440519834813604E-2</v>
      </c>
      <c r="O33" s="155">
        <f t="shared" ref="O33:O41" si="85">N33/(M33*L33/100)*100</f>
        <v>100</v>
      </c>
      <c r="P33" s="250">
        <v>10</v>
      </c>
      <c r="Q33" s="250">
        <v>10000</v>
      </c>
      <c r="R33" s="148">
        <f t="shared" ref="R33:R41" si="86">IF( IF(P33&lt;L33, M33*L33/P33, M33)&gt;100, "ERROR",  IF(P33&lt;L33, M33*L33/P33, M33))</f>
        <v>0.43440519834813607</v>
      </c>
      <c r="S33" s="148">
        <f t="shared" ref="S33:S41" si="87">IF(IF(Q33&lt;L33, M33*L33/Q33, M33)&gt;100, "ERROR", IF(Q33&lt;L33, M33*L33/Q33, M33))</f>
        <v>0.43440519834813607</v>
      </c>
      <c r="T33" s="148">
        <f t="shared" ref="T33:T41" si="88">R33*P33*0.01</f>
        <v>4.3440519834813611E-2</v>
      </c>
      <c r="U33" s="148">
        <f t="shared" ref="U33:U41" si="89">S33*Q33*0.01</f>
        <v>43.440519834813607</v>
      </c>
      <c r="V33" s="7">
        <f t="shared" ref="V33:V41" si="90">P33*1000</f>
        <v>10000</v>
      </c>
      <c r="W33" s="7">
        <f t="shared" ref="W33:W41" si="91">Q33*1000</f>
        <v>10000000</v>
      </c>
      <c r="X33" s="1345">
        <f t="shared" ref="X33:X41" si="92">T33*1000</f>
        <v>43.440519834813614</v>
      </c>
      <c r="Y33" s="1345">
        <f t="shared" ref="Y33:Y41" si="93">U33*1000</f>
        <v>43440.519834813604</v>
      </c>
    </row>
    <row r="34" spans="1:25" x14ac:dyDescent="0.2">
      <c r="A34" s="213" t="str">
        <f t="shared" si="72"/>
        <v>CMI</v>
      </c>
      <c r="B34" s="213"/>
      <c r="C34" s="219">
        <f t="shared" si="73"/>
        <v>391339.69999999995</v>
      </c>
      <c r="D34" s="216">
        <f t="shared" si="74"/>
        <v>124.7</v>
      </c>
      <c r="E34" s="219">
        <f t="shared" si="75"/>
        <v>391270</v>
      </c>
      <c r="F34" s="219">
        <f t="shared" si="76"/>
        <v>130</v>
      </c>
      <c r="G34" s="219">
        <f t="shared" si="77"/>
        <v>-70</v>
      </c>
      <c r="H34" s="219">
        <f t="shared" si="78"/>
        <v>320</v>
      </c>
      <c r="I34" s="155">
        <f t="shared" si="79"/>
        <v>0</v>
      </c>
      <c r="J34" s="155">
        <f t="shared" si="80"/>
        <v>0</v>
      </c>
      <c r="K34" s="155">
        <f t="shared" si="81"/>
        <v>260</v>
      </c>
      <c r="L34" s="155">
        <f t="shared" si="82"/>
        <v>10</v>
      </c>
      <c r="M34" s="156">
        <f t="shared" si="83"/>
        <v>6.6438442100303141E-2</v>
      </c>
      <c r="N34" s="157">
        <f t="shared" si="84"/>
        <v>6.6438442100303138E-3</v>
      </c>
      <c r="O34" s="155">
        <f t="shared" si="85"/>
        <v>100</v>
      </c>
      <c r="P34" s="250">
        <v>10</v>
      </c>
      <c r="Q34" s="250">
        <v>10000</v>
      </c>
      <c r="R34" s="148">
        <f t="shared" si="86"/>
        <v>6.6438442100303141E-2</v>
      </c>
      <c r="S34" s="148">
        <f t="shared" si="87"/>
        <v>6.6438442100303141E-2</v>
      </c>
      <c r="T34" s="148">
        <f t="shared" si="88"/>
        <v>6.6438442100303146E-3</v>
      </c>
      <c r="U34" s="148">
        <f t="shared" si="89"/>
        <v>6.6438442100303146</v>
      </c>
      <c r="V34" s="7">
        <f t="shared" si="90"/>
        <v>10000</v>
      </c>
      <c r="W34" s="7">
        <f t="shared" si="91"/>
        <v>10000000</v>
      </c>
      <c r="X34" s="1345">
        <f t="shared" si="92"/>
        <v>6.6438442100303146</v>
      </c>
      <c r="Y34" s="1345">
        <f t="shared" si="93"/>
        <v>6643.8442100303146</v>
      </c>
    </row>
    <row r="35" spans="1:25" x14ac:dyDescent="0.2">
      <c r="A35" s="213" t="str">
        <f t="shared" si="72"/>
        <v>INMETRO</v>
      </c>
      <c r="B35" s="213"/>
      <c r="C35" s="219">
        <f t="shared" si="73"/>
        <v>391339.69999999995</v>
      </c>
      <c r="D35" s="216">
        <f t="shared" si="74"/>
        <v>124.7</v>
      </c>
      <c r="E35" s="219">
        <f t="shared" si="75"/>
        <v>389650.00000000006</v>
      </c>
      <c r="F35" s="219">
        <f t="shared" si="76"/>
        <v>1050</v>
      </c>
      <c r="G35" s="219">
        <f t="shared" si="77"/>
        <v>-1680</v>
      </c>
      <c r="H35" s="219">
        <f t="shared" si="78"/>
        <v>2010.0000000000002</v>
      </c>
      <c r="I35" s="155">
        <f t="shared" si="79"/>
        <v>0</v>
      </c>
      <c r="J35" s="155">
        <f t="shared" si="80"/>
        <v>0</v>
      </c>
      <c r="K35" s="155">
        <f t="shared" si="81"/>
        <v>2100</v>
      </c>
      <c r="L35" s="155">
        <f t="shared" si="82"/>
        <v>10</v>
      </c>
      <c r="M35" s="156">
        <f t="shared" si="83"/>
        <v>0.53661818619475621</v>
      </c>
      <c r="N35" s="157">
        <f t="shared" si="84"/>
        <v>5.3661818619475624E-2</v>
      </c>
      <c r="O35" s="155">
        <f t="shared" si="85"/>
        <v>100</v>
      </c>
      <c r="P35" s="250">
        <v>10</v>
      </c>
      <c r="Q35" s="250">
        <v>10000</v>
      </c>
      <c r="R35" s="148">
        <f t="shared" si="86"/>
        <v>0.53661818619475621</v>
      </c>
      <c r="S35" s="148">
        <f t="shared" si="87"/>
        <v>0.53661818619475621</v>
      </c>
      <c r="T35" s="148">
        <f t="shared" si="88"/>
        <v>5.3661818619475624E-2</v>
      </c>
      <c r="U35" s="148">
        <f t="shared" si="89"/>
        <v>53.661818619475618</v>
      </c>
      <c r="V35" s="7">
        <f t="shared" si="90"/>
        <v>10000</v>
      </c>
      <c r="W35" s="7">
        <f t="shared" si="91"/>
        <v>10000000</v>
      </c>
      <c r="X35" s="1345">
        <f t="shared" si="92"/>
        <v>53.661818619475625</v>
      </c>
      <c r="Y35" s="1345">
        <f t="shared" si="93"/>
        <v>53661.81861947562</v>
      </c>
    </row>
    <row r="36" spans="1:25" x14ac:dyDescent="0.2">
      <c r="A36" s="213" t="str">
        <f t="shared" si="72"/>
        <v>NPL</v>
      </c>
      <c r="B36" s="213"/>
      <c r="C36" s="219">
        <f t="shared" si="73"/>
        <v>391339.69999999995</v>
      </c>
      <c r="D36" s="216">
        <f t="shared" si="74"/>
        <v>124.7</v>
      </c>
      <c r="E36" s="219">
        <f t="shared" si="75"/>
        <v>391430</v>
      </c>
      <c r="F36" s="219">
        <f t="shared" si="76"/>
        <v>200</v>
      </c>
      <c r="G36" s="219">
        <f t="shared" si="77"/>
        <v>90</v>
      </c>
      <c r="H36" s="219">
        <f t="shared" si="78"/>
        <v>400</v>
      </c>
      <c r="I36" s="155">
        <f t="shared" si="79"/>
        <v>0</v>
      </c>
      <c r="J36" s="155">
        <f t="shared" si="80"/>
        <v>0</v>
      </c>
      <c r="K36" s="155">
        <f t="shared" si="81"/>
        <v>400</v>
      </c>
      <c r="L36" s="155">
        <f t="shared" si="82"/>
        <v>10</v>
      </c>
      <c r="M36" s="156">
        <f t="shared" si="83"/>
        <v>0.10221298784662022</v>
      </c>
      <c r="N36" s="157">
        <f t="shared" si="84"/>
        <v>1.0221298784662023E-2</v>
      </c>
      <c r="O36" s="155">
        <f t="shared" si="85"/>
        <v>100</v>
      </c>
      <c r="P36" s="250">
        <v>10</v>
      </c>
      <c r="Q36" s="250">
        <v>10000</v>
      </c>
      <c r="R36" s="148">
        <f t="shared" si="86"/>
        <v>0.10221298784662022</v>
      </c>
      <c r="S36" s="148">
        <f t="shared" si="87"/>
        <v>0.10221298784662022</v>
      </c>
      <c r="T36" s="148">
        <f t="shared" si="88"/>
        <v>1.0221298784662023E-2</v>
      </c>
      <c r="U36" s="148">
        <f t="shared" si="89"/>
        <v>10.221298784662023</v>
      </c>
      <c r="V36" s="7">
        <f t="shared" si="90"/>
        <v>10000</v>
      </c>
      <c r="W36" s="7">
        <f t="shared" si="91"/>
        <v>10000000</v>
      </c>
      <c r="X36" s="1345">
        <f t="shared" si="92"/>
        <v>10.221298784662023</v>
      </c>
      <c r="Y36" s="1345">
        <f t="shared" si="93"/>
        <v>10221.298784662024</v>
      </c>
    </row>
    <row r="37" spans="1:25" x14ac:dyDescent="0.2">
      <c r="A37" s="213" t="str">
        <f t="shared" si="72"/>
        <v>RISE</v>
      </c>
      <c r="B37" s="213"/>
      <c r="C37" s="219">
        <f t="shared" si="73"/>
        <v>391339.69999999995</v>
      </c>
      <c r="D37" s="216">
        <f t="shared" si="74"/>
        <v>124.7</v>
      </c>
      <c r="E37" s="219">
        <f t="shared" si="75"/>
        <v>390750</v>
      </c>
      <c r="F37" s="219">
        <f t="shared" si="76"/>
        <v>1300</v>
      </c>
      <c r="G37" s="219">
        <f t="shared" si="77"/>
        <v>-590</v>
      </c>
      <c r="H37" s="219">
        <f t="shared" si="78"/>
        <v>2490</v>
      </c>
      <c r="I37" s="155">
        <f t="shared" si="79"/>
        <v>0</v>
      </c>
      <c r="J37" s="155">
        <f t="shared" si="80"/>
        <v>0</v>
      </c>
      <c r="K37" s="155">
        <f t="shared" si="81"/>
        <v>2600</v>
      </c>
      <c r="L37" s="155">
        <f t="shared" si="82"/>
        <v>10</v>
      </c>
      <c r="M37" s="156">
        <f t="shared" si="83"/>
        <v>0.66438442100303141</v>
      </c>
      <c r="N37" s="157">
        <f t="shared" si="84"/>
        <v>6.6438442100303141E-2</v>
      </c>
      <c r="O37" s="155">
        <f t="shared" si="85"/>
        <v>100</v>
      </c>
      <c r="P37" s="250">
        <v>10</v>
      </c>
      <c r="Q37" s="250">
        <v>10000</v>
      </c>
      <c r="R37" s="148">
        <f t="shared" si="86"/>
        <v>0.66438442100303141</v>
      </c>
      <c r="S37" s="148">
        <f t="shared" si="87"/>
        <v>0.66438442100303141</v>
      </c>
      <c r="T37" s="148">
        <f t="shared" si="88"/>
        <v>6.6438442100303141E-2</v>
      </c>
      <c r="U37" s="148">
        <f t="shared" si="89"/>
        <v>66.438442100303135</v>
      </c>
      <c r="V37" s="7">
        <f t="shared" si="90"/>
        <v>10000</v>
      </c>
      <c r="W37" s="7">
        <f t="shared" si="91"/>
        <v>10000000</v>
      </c>
      <c r="X37" s="1345">
        <f t="shared" si="92"/>
        <v>66.438442100303135</v>
      </c>
      <c r="Y37" s="1345">
        <f t="shared" si="93"/>
        <v>66438.442100303131</v>
      </c>
    </row>
    <row r="38" spans="1:25" x14ac:dyDescent="0.2">
      <c r="A38" s="213" t="str">
        <f t="shared" si="72"/>
        <v>SMU</v>
      </c>
      <c r="B38" s="213"/>
      <c r="C38" s="219">
        <f t="shared" si="73"/>
        <v>391339.69999999995</v>
      </c>
      <c r="D38" s="216">
        <f t="shared" si="74"/>
        <v>124.7</v>
      </c>
      <c r="E38" s="219">
        <f t="shared" si="75"/>
        <v>391790</v>
      </c>
      <c r="F38" s="219">
        <f t="shared" si="76"/>
        <v>650</v>
      </c>
      <c r="G38" s="219">
        <f t="shared" si="77"/>
        <v>450</v>
      </c>
      <c r="H38" s="219">
        <f t="shared" si="78"/>
        <v>1240</v>
      </c>
      <c r="I38" s="155">
        <f t="shared" si="79"/>
        <v>0</v>
      </c>
      <c r="J38" s="155">
        <f t="shared" si="80"/>
        <v>0</v>
      </c>
      <c r="K38" s="155">
        <f t="shared" si="81"/>
        <v>1300</v>
      </c>
      <c r="L38" s="155">
        <f t="shared" si="82"/>
        <v>10</v>
      </c>
      <c r="M38" s="156">
        <f t="shared" si="83"/>
        <v>0.33219221050151571</v>
      </c>
      <c r="N38" s="157">
        <f t="shared" si="84"/>
        <v>3.3219221050151571E-2</v>
      </c>
      <c r="O38" s="155">
        <f t="shared" si="85"/>
        <v>100</v>
      </c>
      <c r="P38" s="250">
        <v>10</v>
      </c>
      <c r="Q38" s="250">
        <v>10000</v>
      </c>
      <c r="R38" s="148">
        <f t="shared" si="86"/>
        <v>0.33219221050151571</v>
      </c>
      <c r="S38" s="148">
        <f t="shared" si="87"/>
        <v>0.33219221050151571</v>
      </c>
      <c r="T38" s="148">
        <f t="shared" si="88"/>
        <v>3.3219221050151571E-2</v>
      </c>
      <c r="U38" s="148">
        <f t="shared" si="89"/>
        <v>33.219221050151567</v>
      </c>
      <c r="V38" s="7">
        <f t="shared" si="90"/>
        <v>10000</v>
      </c>
      <c r="W38" s="7">
        <f t="shared" si="91"/>
        <v>10000000</v>
      </c>
      <c r="X38" s="1345">
        <f t="shared" si="92"/>
        <v>33.219221050151567</v>
      </c>
      <c r="Y38" s="1345">
        <f t="shared" si="93"/>
        <v>33219.221050151566</v>
      </c>
    </row>
    <row r="39" spans="1:25" x14ac:dyDescent="0.2">
      <c r="A39" s="213" t="str">
        <f t="shared" si="72"/>
        <v>UME</v>
      </c>
      <c r="B39" s="213"/>
      <c r="C39" s="219">
        <f t="shared" si="73"/>
        <v>391339.69999999995</v>
      </c>
      <c r="D39" s="216">
        <f t="shared" si="74"/>
        <v>124.7</v>
      </c>
      <c r="E39" s="219">
        <f t="shared" si="75"/>
        <v>391240</v>
      </c>
      <c r="F39" s="219">
        <f t="shared" si="76"/>
        <v>310</v>
      </c>
      <c r="G39" s="219">
        <f t="shared" si="77"/>
        <v>-100</v>
      </c>
      <c r="H39" s="219">
        <f t="shared" si="78"/>
        <v>590</v>
      </c>
      <c r="I39" s="155">
        <f t="shared" si="79"/>
        <v>0</v>
      </c>
      <c r="J39" s="155">
        <f t="shared" si="80"/>
        <v>0</v>
      </c>
      <c r="K39" s="155">
        <f t="shared" si="81"/>
        <v>620</v>
      </c>
      <c r="L39" s="155">
        <f t="shared" si="82"/>
        <v>10</v>
      </c>
      <c r="M39" s="156">
        <f t="shared" si="83"/>
        <v>0.15843013116226135</v>
      </c>
      <c r="N39" s="157">
        <f t="shared" si="84"/>
        <v>1.5843013116226136E-2</v>
      </c>
      <c r="O39" s="155">
        <f t="shared" si="85"/>
        <v>100</v>
      </c>
      <c r="P39" s="250">
        <v>10</v>
      </c>
      <c r="Q39" s="250">
        <v>10000</v>
      </c>
      <c r="R39" s="148">
        <f t="shared" si="86"/>
        <v>0.15843013116226135</v>
      </c>
      <c r="S39" s="148">
        <f t="shared" si="87"/>
        <v>0.15843013116226135</v>
      </c>
      <c r="T39" s="148">
        <f t="shared" si="88"/>
        <v>1.5843013116226136E-2</v>
      </c>
      <c r="U39" s="148">
        <f t="shared" si="89"/>
        <v>15.843013116226134</v>
      </c>
      <c r="V39" s="7">
        <f t="shared" si="90"/>
        <v>10000</v>
      </c>
      <c r="W39" s="7">
        <f t="shared" si="91"/>
        <v>10000000</v>
      </c>
      <c r="X39" s="1345">
        <f t="shared" si="92"/>
        <v>15.843013116226135</v>
      </c>
      <c r="Y39" s="1345">
        <f t="shared" si="93"/>
        <v>15843.013116226133</v>
      </c>
    </row>
    <row r="40" spans="1:25" x14ac:dyDescent="0.2">
      <c r="A40" s="213" t="str">
        <f t="shared" si="72"/>
        <v>VNIIM</v>
      </c>
      <c r="B40" s="213"/>
      <c r="C40" s="219">
        <f t="shared" si="73"/>
        <v>391339.69999999995</v>
      </c>
      <c r="D40" s="216">
        <f t="shared" si="74"/>
        <v>124.7</v>
      </c>
      <c r="E40" s="219">
        <f t="shared" si="75"/>
        <v>391170</v>
      </c>
      <c r="F40" s="219">
        <f t="shared" si="76"/>
        <v>300</v>
      </c>
      <c r="G40" s="219">
        <f t="shared" si="77"/>
        <v>-170</v>
      </c>
      <c r="H40" s="219">
        <f t="shared" si="78"/>
        <v>580</v>
      </c>
      <c r="I40" s="155">
        <f t="shared" si="79"/>
        <v>0</v>
      </c>
      <c r="J40" s="155">
        <f t="shared" si="80"/>
        <v>0</v>
      </c>
      <c r="K40" s="155">
        <f t="shared" si="81"/>
        <v>600</v>
      </c>
      <c r="L40" s="155">
        <f t="shared" si="82"/>
        <v>10</v>
      </c>
      <c r="M40" s="156">
        <f t="shared" si="83"/>
        <v>0.15331948176993032</v>
      </c>
      <c r="N40" s="157">
        <f t="shared" si="84"/>
        <v>1.5331948176993033E-2</v>
      </c>
      <c r="O40" s="155">
        <f t="shared" si="85"/>
        <v>100</v>
      </c>
      <c r="P40" s="250">
        <v>10</v>
      </c>
      <c r="Q40" s="250">
        <v>10000</v>
      </c>
      <c r="R40" s="148">
        <f t="shared" si="86"/>
        <v>0.15331948176993032</v>
      </c>
      <c r="S40" s="148">
        <f t="shared" si="87"/>
        <v>0.15331948176993032</v>
      </c>
      <c r="T40" s="148">
        <f t="shared" si="88"/>
        <v>1.5331948176993033E-2</v>
      </c>
      <c r="U40" s="148">
        <f t="shared" si="89"/>
        <v>15.331948176993032</v>
      </c>
      <c r="V40" s="7">
        <f t="shared" si="90"/>
        <v>10000</v>
      </c>
      <c r="W40" s="7">
        <f t="shared" si="91"/>
        <v>10000000</v>
      </c>
      <c r="X40" s="1345">
        <f t="shared" si="92"/>
        <v>15.331948176993032</v>
      </c>
      <c r="Y40" s="1345">
        <f t="shared" si="93"/>
        <v>15331.948176993032</v>
      </c>
    </row>
    <row r="41" spans="1:25" x14ac:dyDescent="0.2">
      <c r="A41" s="213" t="str">
        <f t="shared" si="72"/>
        <v>VSL</v>
      </c>
      <c r="B41" s="213"/>
      <c r="C41" s="219">
        <f t="shared" si="73"/>
        <v>391339.69999999995</v>
      </c>
      <c r="D41" s="216">
        <f t="shared" si="74"/>
        <v>124.7</v>
      </c>
      <c r="E41" s="219">
        <f t="shared" si="75"/>
        <v>391230</v>
      </c>
      <c r="F41" s="219">
        <f t="shared" si="76"/>
        <v>160</v>
      </c>
      <c r="G41" s="219">
        <f t="shared" si="77"/>
        <v>-110</v>
      </c>
      <c r="H41" s="219">
        <f t="shared" si="78"/>
        <v>360</v>
      </c>
      <c r="I41" s="155">
        <f t="shared" si="79"/>
        <v>0</v>
      </c>
      <c r="J41" s="155">
        <f t="shared" si="80"/>
        <v>0</v>
      </c>
      <c r="K41" s="155">
        <f t="shared" si="81"/>
        <v>320</v>
      </c>
      <c r="L41" s="155">
        <f t="shared" si="82"/>
        <v>10</v>
      </c>
      <c r="M41" s="156">
        <f t="shared" si="83"/>
        <v>8.1770390277296184E-2</v>
      </c>
      <c r="N41" s="157">
        <f t="shared" si="84"/>
        <v>8.1770390277296177E-3</v>
      </c>
      <c r="O41" s="155">
        <f t="shared" si="85"/>
        <v>100</v>
      </c>
      <c r="P41" s="250">
        <v>10</v>
      </c>
      <c r="Q41" s="250">
        <v>10000</v>
      </c>
      <c r="R41" s="148">
        <f t="shared" si="86"/>
        <v>8.1770390277296184E-2</v>
      </c>
      <c r="S41" s="148">
        <f t="shared" si="87"/>
        <v>8.1770390277296184E-2</v>
      </c>
      <c r="T41" s="148">
        <f t="shared" si="88"/>
        <v>8.1770390277296177E-3</v>
      </c>
      <c r="U41" s="148">
        <f t="shared" si="89"/>
        <v>8.1770390277296183</v>
      </c>
      <c r="V41" s="7">
        <f t="shared" si="90"/>
        <v>10000</v>
      </c>
      <c r="W41" s="7">
        <f t="shared" si="91"/>
        <v>10000000</v>
      </c>
      <c r="X41" s="1345">
        <f t="shared" si="92"/>
        <v>8.1770390277296183</v>
      </c>
      <c r="Y41" s="1345">
        <f t="shared" si="93"/>
        <v>8177.0390277296183</v>
      </c>
    </row>
    <row r="42" spans="1:25" x14ac:dyDescent="0.2">
      <c r="A42" s="445"/>
      <c r="B42" s="445"/>
      <c r="C42" s="1130"/>
      <c r="D42" s="1131"/>
      <c r="E42" s="1130"/>
      <c r="F42" s="1130"/>
      <c r="G42" s="1130"/>
      <c r="H42" s="1130"/>
      <c r="I42" s="446"/>
      <c r="J42" s="446"/>
      <c r="K42" s="446"/>
      <c r="L42" s="446"/>
      <c r="M42" s="447"/>
      <c r="N42" s="448"/>
      <c r="O42" s="446"/>
      <c r="P42" s="1228"/>
      <c r="Q42" s="1228"/>
      <c r="R42" s="959"/>
      <c r="S42" s="959"/>
      <c r="T42" s="449"/>
      <c r="U42" s="449"/>
      <c r="V42" s="450"/>
      <c r="W42" s="450"/>
      <c r="X42" s="451"/>
      <c r="Y42" s="452"/>
    </row>
    <row r="43" spans="1:25" ht="15.75" x14ac:dyDescent="0.2">
      <c r="A43" s="103" t="s">
        <v>1245</v>
      </c>
      <c r="B43" s="97"/>
      <c r="C43" s="97"/>
      <c r="D43" s="97"/>
      <c r="E43" s="97"/>
      <c r="F43" s="97"/>
      <c r="G43" s="97"/>
      <c r="H43" s="97"/>
      <c r="I43" s="113"/>
      <c r="J43" s="113"/>
      <c r="K43" s="113"/>
      <c r="L43" s="113"/>
      <c r="M43" s="113"/>
      <c r="N43" s="113"/>
      <c r="O43" s="113"/>
      <c r="R43" s="113"/>
      <c r="S43" s="113"/>
      <c r="T43" s="146"/>
      <c r="U43" s="146"/>
    </row>
    <row r="44" spans="1:25" ht="89.25" x14ac:dyDescent="0.2">
      <c r="A44" s="211" t="s">
        <v>0</v>
      </c>
      <c r="B44" s="212" t="s">
        <v>1</v>
      </c>
      <c r="C44" s="212" t="s">
        <v>133</v>
      </c>
      <c r="D44" s="212" t="s">
        <v>199</v>
      </c>
      <c r="E44" s="212" t="s">
        <v>135</v>
      </c>
      <c r="F44" s="212" t="s">
        <v>200</v>
      </c>
      <c r="G44" s="212" t="s">
        <v>137</v>
      </c>
      <c r="H44" s="212" t="s">
        <v>201</v>
      </c>
      <c r="I44" s="104" t="s">
        <v>8</v>
      </c>
      <c r="J44" s="104" t="s">
        <v>9</v>
      </c>
      <c r="K44" s="104" t="s">
        <v>107</v>
      </c>
      <c r="L44" s="104" t="s">
        <v>14</v>
      </c>
      <c r="M44" s="104" t="s">
        <v>1057</v>
      </c>
      <c r="N44" s="104" t="s">
        <v>1058</v>
      </c>
      <c r="O44" s="104" t="s">
        <v>100</v>
      </c>
      <c r="P44" s="6" t="s">
        <v>105</v>
      </c>
      <c r="Q44" s="6" t="s">
        <v>106</v>
      </c>
      <c r="R44" s="104" t="s">
        <v>1051</v>
      </c>
      <c r="S44" s="104" t="s">
        <v>1052</v>
      </c>
      <c r="T44" s="147" t="s">
        <v>1053</v>
      </c>
      <c r="U44" s="147" t="s">
        <v>1054</v>
      </c>
      <c r="V44" s="5" t="s">
        <v>101</v>
      </c>
      <c r="W44" s="5" t="s">
        <v>102</v>
      </c>
      <c r="X44" s="112" t="s">
        <v>1055</v>
      </c>
      <c r="Y44" s="112" t="s">
        <v>1056</v>
      </c>
    </row>
    <row r="45" spans="1:25" x14ac:dyDescent="0.2">
      <c r="A45" s="213" t="str">
        <f>A152</f>
        <v>BFKH</v>
      </c>
      <c r="B45" s="213"/>
      <c r="C45" s="219">
        <f>$D$117*10000</f>
        <v>157629.69999999998</v>
      </c>
      <c r="D45" s="216">
        <f>$E$117*10000</f>
        <v>77.600000000000009</v>
      </c>
      <c r="E45" s="219">
        <f>B152*10000</f>
        <v>151330</v>
      </c>
      <c r="F45" s="219">
        <f>C152*10000</f>
        <v>150</v>
      </c>
      <c r="G45" s="219">
        <f>D152*10000</f>
        <v>-6300</v>
      </c>
      <c r="H45" s="219">
        <f>F152*10000</f>
        <v>320</v>
      </c>
      <c r="I45" s="155">
        <f t="shared" si="0"/>
        <v>1</v>
      </c>
      <c r="J45" s="155">
        <f t="shared" si="1"/>
        <v>6299.6999999999825</v>
      </c>
      <c r="K45" s="155">
        <f t="shared" si="2"/>
        <v>12602.971092563814</v>
      </c>
      <c r="L45" s="155">
        <f t="shared" si="3"/>
        <v>10</v>
      </c>
      <c r="M45" s="156">
        <f t="shared" si="4"/>
        <v>7.9953023399548533</v>
      </c>
      <c r="N45" s="157">
        <f t="shared" si="5"/>
        <v>0.79953023399548528</v>
      </c>
      <c r="O45" s="155">
        <f t="shared" si="6"/>
        <v>100</v>
      </c>
      <c r="P45" s="250">
        <v>10</v>
      </c>
      <c r="Q45" s="250">
        <v>10000</v>
      </c>
      <c r="R45" s="148">
        <f t="shared" ref="R45:R97" si="94">IF( IF(P45&lt;L45, M45*L45/P45, M45)&gt;100, "ERROR",  IF(P45&lt;L45, M45*L45/P45, M45))</f>
        <v>7.9953023399548533</v>
      </c>
      <c r="S45" s="148">
        <f t="shared" ref="S45:S97" si="95">IF(IF(Q45&lt;L45, M45*L45/Q45, M45)&gt;100, "ERROR", IF(Q45&lt;L45, M45*L45/Q45, M45))</f>
        <v>7.9953023399548533</v>
      </c>
      <c r="T45" s="148">
        <f t="shared" ref="T45:U97" si="96">R45*P45*0.01</f>
        <v>0.79953023399548528</v>
      </c>
      <c r="U45" s="148">
        <f t="shared" si="96"/>
        <v>799.53023399548533</v>
      </c>
      <c r="V45" s="7">
        <f t="shared" ref="V45:W97" si="97">P45*1000</f>
        <v>10000</v>
      </c>
      <c r="W45" s="7">
        <f t="shared" si="97"/>
        <v>10000000</v>
      </c>
      <c r="X45" s="1345">
        <f t="shared" ref="X45:Y97" si="98">T45*1000</f>
        <v>799.53023399548533</v>
      </c>
      <c r="Y45" s="1345">
        <f t="shared" si="98"/>
        <v>799530.23399548535</v>
      </c>
    </row>
    <row r="46" spans="1:25" x14ac:dyDescent="0.2">
      <c r="A46" s="213" t="str">
        <f t="shared" ref="A46:A54" si="99">A153</f>
        <v>CEM</v>
      </c>
      <c r="B46" s="213"/>
      <c r="C46" s="219">
        <f t="shared" ref="C46:C54" si="100">$D$117*10000</f>
        <v>157629.69999999998</v>
      </c>
      <c r="D46" s="216">
        <f t="shared" ref="D46:D54" si="101">$E$117*10000</f>
        <v>77.600000000000009</v>
      </c>
      <c r="E46" s="219">
        <f t="shared" ref="E46:G46" si="102">B153*10000</f>
        <v>156210</v>
      </c>
      <c r="F46" s="219">
        <f t="shared" si="102"/>
        <v>780</v>
      </c>
      <c r="G46" s="219">
        <f t="shared" si="102"/>
        <v>-1419.9999999999998</v>
      </c>
      <c r="H46" s="219">
        <f t="shared" ref="H46:H53" si="103">F153*10000</f>
        <v>1510</v>
      </c>
      <c r="I46" s="155">
        <f t="shared" ref="I46:I53" si="104">IF(ABS(G46)&gt;ABS(H46), 1, 0)</f>
        <v>0</v>
      </c>
      <c r="J46" s="155">
        <f t="shared" ref="J46:J53" si="105">I46*ABS(C46-E46)</f>
        <v>0</v>
      </c>
      <c r="K46" s="155">
        <f t="shared" ref="K46:K53" si="106">SQRT(SUMSQ(F46,J46))*2</f>
        <v>1560</v>
      </c>
      <c r="L46" s="155">
        <f t="shared" ref="L46:L53" si="107">IF(C46&lt;$K$2, C46, $K$1)</f>
        <v>10</v>
      </c>
      <c r="M46" s="156">
        <f t="shared" ref="M46:M53" si="108">IF(AND(C46&lt;$K$1,C46&gt; $K$2), K46/L46*100, K46/C46*100)</f>
        <v>0.9896612123222972</v>
      </c>
      <c r="N46" s="157">
        <f t="shared" ref="N46:N53" si="109">M46*L46/100</f>
        <v>9.8966121232229726E-2</v>
      </c>
      <c r="O46" s="155">
        <f t="shared" ref="O46:O53" si="110">N46/(M46*L46/100)*100</f>
        <v>100</v>
      </c>
      <c r="P46" s="250">
        <v>10</v>
      </c>
      <c r="Q46" s="250">
        <v>10000</v>
      </c>
      <c r="R46" s="148">
        <f t="shared" ref="R46:R53" si="111">IF( IF(P46&lt;L46, M46*L46/P46, M46)&gt;100, "ERROR",  IF(P46&lt;L46, M46*L46/P46, M46))</f>
        <v>0.9896612123222972</v>
      </c>
      <c r="S46" s="148">
        <f t="shared" ref="S46:S53" si="112">IF(IF(Q46&lt;L46, M46*L46/Q46, M46)&gt;100, "ERROR", IF(Q46&lt;L46, M46*L46/Q46, M46))</f>
        <v>0.9896612123222972</v>
      </c>
      <c r="T46" s="148">
        <f t="shared" ref="T46:T53" si="113">R46*P46*0.01</f>
        <v>9.8966121232229726E-2</v>
      </c>
      <c r="U46" s="148">
        <f t="shared" ref="U46:U53" si="114">S46*Q46*0.01</f>
        <v>98.966121232229725</v>
      </c>
      <c r="V46" s="7">
        <f t="shared" ref="V46:V53" si="115">P46*1000</f>
        <v>10000</v>
      </c>
      <c r="W46" s="7">
        <f t="shared" ref="W46:W53" si="116">Q46*1000</f>
        <v>10000000</v>
      </c>
      <c r="X46" s="1345">
        <f t="shared" ref="X46:X53" si="117">T46*1000</f>
        <v>98.966121232229725</v>
      </c>
      <c r="Y46" s="1345">
        <f t="shared" ref="Y46:Y53" si="118">U46*1000</f>
        <v>98966.121232229721</v>
      </c>
    </row>
    <row r="47" spans="1:25" x14ac:dyDescent="0.2">
      <c r="A47" s="213" t="str">
        <f t="shared" si="99"/>
        <v>CMI</v>
      </c>
      <c r="B47" s="213"/>
      <c r="C47" s="219">
        <f t="shared" si="100"/>
        <v>157629.69999999998</v>
      </c>
      <c r="D47" s="216">
        <f t="shared" si="101"/>
        <v>77.600000000000009</v>
      </c>
      <c r="E47" s="219">
        <f t="shared" ref="E47:G47" si="119">B154*10000</f>
        <v>159820</v>
      </c>
      <c r="F47" s="219">
        <f t="shared" si="119"/>
        <v>60</v>
      </c>
      <c r="G47" s="219">
        <f t="shared" si="119"/>
        <v>2190</v>
      </c>
      <c r="H47" s="219">
        <f t="shared" si="103"/>
        <v>190</v>
      </c>
      <c r="I47" s="155">
        <f t="shared" si="104"/>
        <v>1</v>
      </c>
      <c r="J47" s="155">
        <f t="shared" si="105"/>
        <v>2190.3000000000175</v>
      </c>
      <c r="K47" s="155">
        <f t="shared" si="106"/>
        <v>4382.243302236915</v>
      </c>
      <c r="L47" s="155">
        <f t="shared" si="107"/>
        <v>10</v>
      </c>
      <c r="M47" s="156">
        <f t="shared" si="108"/>
        <v>2.7800873199891365</v>
      </c>
      <c r="N47" s="157">
        <f t="shared" si="109"/>
        <v>0.27800873199891363</v>
      </c>
      <c r="O47" s="155">
        <f t="shared" si="110"/>
        <v>100</v>
      </c>
      <c r="P47" s="250">
        <v>10</v>
      </c>
      <c r="Q47" s="250">
        <v>10000</v>
      </c>
      <c r="R47" s="148">
        <f t="shared" si="111"/>
        <v>2.7800873199891365</v>
      </c>
      <c r="S47" s="148">
        <f t="shared" si="112"/>
        <v>2.7800873199891365</v>
      </c>
      <c r="T47" s="148">
        <f t="shared" si="113"/>
        <v>0.27800873199891363</v>
      </c>
      <c r="U47" s="148">
        <f t="shared" si="114"/>
        <v>278.00873199891367</v>
      </c>
      <c r="V47" s="7">
        <f t="shared" si="115"/>
        <v>10000</v>
      </c>
      <c r="W47" s="7">
        <f t="shared" si="116"/>
        <v>10000000</v>
      </c>
      <c r="X47" s="1345">
        <f t="shared" si="117"/>
        <v>278.00873199891362</v>
      </c>
      <c r="Y47" s="1345">
        <f t="shared" si="118"/>
        <v>278008.73199891369</v>
      </c>
    </row>
    <row r="48" spans="1:25" x14ac:dyDescent="0.2">
      <c r="A48" s="213" t="str">
        <f t="shared" si="99"/>
        <v>INMETRO</v>
      </c>
      <c r="B48" s="213"/>
      <c r="C48" s="219">
        <f t="shared" si="100"/>
        <v>157629.69999999998</v>
      </c>
      <c r="D48" s="216">
        <f t="shared" si="101"/>
        <v>77.600000000000009</v>
      </c>
      <c r="E48" s="219">
        <f t="shared" ref="E48:G48" si="120">B155*10000</f>
        <v>158810</v>
      </c>
      <c r="F48" s="219">
        <f t="shared" si="120"/>
        <v>650</v>
      </c>
      <c r="G48" s="219">
        <f t="shared" si="120"/>
        <v>1180</v>
      </c>
      <c r="H48" s="219">
        <f t="shared" si="103"/>
        <v>1250</v>
      </c>
      <c r="I48" s="155">
        <f t="shared" si="104"/>
        <v>0</v>
      </c>
      <c r="J48" s="155">
        <f t="shared" si="105"/>
        <v>0</v>
      </c>
      <c r="K48" s="155">
        <f t="shared" si="106"/>
        <v>1300</v>
      </c>
      <c r="L48" s="155">
        <f t="shared" si="107"/>
        <v>10</v>
      </c>
      <c r="M48" s="156">
        <f t="shared" si="108"/>
        <v>0.82471767693524778</v>
      </c>
      <c r="N48" s="157">
        <f t="shared" si="109"/>
        <v>8.2471767693524781E-2</v>
      </c>
      <c r="O48" s="155">
        <f t="shared" si="110"/>
        <v>100</v>
      </c>
      <c r="P48" s="250">
        <v>10</v>
      </c>
      <c r="Q48" s="250">
        <v>10000</v>
      </c>
      <c r="R48" s="148">
        <f t="shared" si="111"/>
        <v>0.82471767693524778</v>
      </c>
      <c r="S48" s="148">
        <f t="shared" si="112"/>
        <v>0.82471767693524778</v>
      </c>
      <c r="T48" s="148">
        <f t="shared" si="113"/>
        <v>8.2471767693524781E-2</v>
      </c>
      <c r="U48" s="148">
        <f t="shared" si="114"/>
        <v>82.471767693524782</v>
      </c>
      <c r="V48" s="7">
        <f t="shared" si="115"/>
        <v>10000</v>
      </c>
      <c r="W48" s="7">
        <f t="shared" si="116"/>
        <v>10000000</v>
      </c>
      <c r="X48" s="1345">
        <f t="shared" si="117"/>
        <v>82.471767693524782</v>
      </c>
      <c r="Y48" s="1345">
        <f t="shared" si="118"/>
        <v>82471.767693524787</v>
      </c>
    </row>
    <row r="49" spans="1:25" x14ac:dyDescent="0.2">
      <c r="A49" s="213" t="str">
        <f t="shared" si="99"/>
        <v>NPL</v>
      </c>
      <c r="B49" s="213"/>
      <c r="C49" s="219">
        <f t="shared" si="100"/>
        <v>157629.69999999998</v>
      </c>
      <c r="D49" s="216">
        <f t="shared" si="101"/>
        <v>77.600000000000009</v>
      </c>
      <c r="E49" s="219">
        <f t="shared" ref="E49:G49" si="121">B156*10000</f>
        <v>157860</v>
      </c>
      <c r="F49" s="219">
        <f t="shared" si="121"/>
        <v>240</v>
      </c>
      <c r="G49" s="219">
        <f t="shared" si="121"/>
        <v>230</v>
      </c>
      <c r="H49" s="219">
        <f t="shared" si="103"/>
        <v>440</v>
      </c>
      <c r="I49" s="155">
        <f t="shared" si="104"/>
        <v>0</v>
      </c>
      <c r="J49" s="155">
        <f t="shared" si="105"/>
        <v>0</v>
      </c>
      <c r="K49" s="155">
        <f t="shared" si="106"/>
        <v>480</v>
      </c>
      <c r="L49" s="155">
        <f t="shared" si="107"/>
        <v>10</v>
      </c>
      <c r="M49" s="156">
        <f t="shared" si="108"/>
        <v>0.30451114225301457</v>
      </c>
      <c r="N49" s="157">
        <f t="shared" si="109"/>
        <v>3.0451114225301456E-2</v>
      </c>
      <c r="O49" s="155">
        <f t="shared" si="110"/>
        <v>100</v>
      </c>
      <c r="P49" s="250">
        <v>10</v>
      </c>
      <c r="Q49" s="250">
        <v>10000</v>
      </c>
      <c r="R49" s="148">
        <f t="shared" si="111"/>
        <v>0.30451114225301457</v>
      </c>
      <c r="S49" s="148">
        <f t="shared" si="112"/>
        <v>0.30451114225301457</v>
      </c>
      <c r="T49" s="148">
        <f t="shared" si="113"/>
        <v>3.0451114225301456E-2</v>
      </c>
      <c r="U49" s="148">
        <f t="shared" si="114"/>
        <v>30.45111422530146</v>
      </c>
      <c r="V49" s="7">
        <f t="shared" si="115"/>
        <v>10000</v>
      </c>
      <c r="W49" s="7">
        <f t="shared" si="116"/>
        <v>10000000</v>
      </c>
      <c r="X49" s="1345">
        <f t="shared" si="117"/>
        <v>30.451114225301456</v>
      </c>
      <c r="Y49" s="1345">
        <f t="shared" si="118"/>
        <v>30451.114225301459</v>
      </c>
    </row>
    <row r="50" spans="1:25" x14ac:dyDescent="0.2">
      <c r="A50" s="213" t="str">
        <f t="shared" si="99"/>
        <v>RISE</v>
      </c>
      <c r="B50" s="213"/>
      <c r="C50" s="219">
        <f t="shared" si="100"/>
        <v>157629.69999999998</v>
      </c>
      <c r="D50" s="216">
        <f t="shared" si="101"/>
        <v>77.600000000000009</v>
      </c>
      <c r="E50" s="219">
        <f t="shared" ref="E50:G50" si="122">B157*10000</f>
        <v>158060</v>
      </c>
      <c r="F50" s="219">
        <f t="shared" si="122"/>
        <v>850.00000000000011</v>
      </c>
      <c r="G50" s="219">
        <f t="shared" si="122"/>
        <v>429.99999999999994</v>
      </c>
      <c r="H50" s="219">
        <f t="shared" si="103"/>
        <v>1630</v>
      </c>
      <c r="I50" s="155">
        <f t="shared" si="104"/>
        <v>0</v>
      </c>
      <c r="J50" s="155">
        <f t="shared" si="105"/>
        <v>0</v>
      </c>
      <c r="K50" s="155">
        <f t="shared" si="106"/>
        <v>1700.0000000000002</v>
      </c>
      <c r="L50" s="155">
        <f t="shared" si="107"/>
        <v>10</v>
      </c>
      <c r="M50" s="156">
        <f t="shared" si="108"/>
        <v>1.0784769621460932</v>
      </c>
      <c r="N50" s="157">
        <f t="shared" si="109"/>
        <v>0.10784769621460931</v>
      </c>
      <c r="O50" s="155">
        <f t="shared" si="110"/>
        <v>100</v>
      </c>
      <c r="P50" s="250">
        <v>10</v>
      </c>
      <c r="Q50" s="250">
        <v>10000</v>
      </c>
      <c r="R50" s="148">
        <f t="shared" si="111"/>
        <v>1.0784769621460932</v>
      </c>
      <c r="S50" s="148">
        <f t="shared" si="112"/>
        <v>1.0784769621460932</v>
      </c>
      <c r="T50" s="148">
        <f t="shared" si="113"/>
        <v>0.10784769621460932</v>
      </c>
      <c r="U50" s="148">
        <f t="shared" si="114"/>
        <v>107.84769621460933</v>
      </c>
      <c r="V50" s="7">
        <f t="shared" si="115"/>
        <v>10000</v>
      </c>
      <c r="W50" s="7">
        <f t="shared" si="116"/>
        <v>10000000</v>
      </c>
      <c r="X50" s="1345">
        <f t="shared" si="117"/>
        <v>107.84769621460933</v>
      </c>
      <c r="Y50" s="1345">
        <f t="shared" si="118"/>
        <v>107847.69621460933</v>
      </c>
    </row>
    <row r="51" spans="1:25" x14ac:dyDescent="0.2">
      <c r="A51" s="213" t="str">
        <f t="shared" si="99"/>
        <v>SMU</v>
      </c>
      <c r="B51" s="213"/>
      <c r="C51" s="219">
        <f t="shared" si="100"/>
        <v>157629.69999999998</v>
      </c>
      <c r="D51" s="216">
        <f t="shared" si="101"/>
        <v>77.600000000000009</v>
      </c>
      <c r="E51" s="219">
        <f t="shared" ref="E51:G51" si="123">B158*10000</f>
        <v>157560</v>
      </c>
      <c r="F51" s="219">
        <f t="shared" si="123"/>
        <v>130</v>
      </c>
      <c r="G51" s="219">
        <f t="shared" si="123"/>
        <v>-70</v>
      </c>
      <c r="H51" s="219">
        <f t="shared" si="103"/>
        <v>250</v>
      </c>
      <c r="I51" s="155">
        <f t="shared" si="104"/>
        <v>0</v>
      </c>
      <c r="J51" s="155">
        <f t="shared" si="105"/>
        <v>0</v>
      </c>
      <c r="K51" s="155">
        <f t="shared" si="106"/>
        <v>260</v>
      </c>
      <c r="L51" s="155">
        <f t="shared" si="107"/>
        <v>10</v>
      </c>
      <c r="M51" s="156">
        <f t="shared" si="108"/>
        <v>0.16494353538704956</v>
      </c>
      <c r="N51" s="157">
        <f t="shared" si="109"/>
        <v>1.6494353538704955E-2</v>
      </c>
      <c r="O51" s="155">
        <f t="shared" si="110"/>
        <v>100</v>
      </c>
      <c r="P51" s="250">
        <v>10</v>
      </c>
      <c r="Q51" s="250">
        <v>10000</v>
      </c>
      <c r="R51" s="148">
        <f t="shared" si="111"/>
        <v>0.16494353538704956</v>
      </c>
      <c r="S51" s="148">
        <f t="shared" si="112"/>
        <v>0.16494353538704956</v>
      </c>
      <c r="T51" s="148">
        <f t="shared" si="113"/>
        <v>1.6494353538704955E-2</v>
      </c>
      <c r="U51" s="148">
        <f t="shared" si="114"/>
        <v>16.494353538704956</v>
      </c>
      <c r="V51" s="7">
        <f t="shared" si="115"/>
        <v>10000</v>
      </c>
      <c r="W51" s="7">
        <f t="shared" si="116"/>
        <v>10000000</v>
      </c>
      <c r="X51" s="1345">
        <f t="shared" si="117"/>
        <v>16.494353538704956</v>
      </c>
      <c r="Y51" s="1345">
        <f t="shared" si="118"/>
        <v>16494.353538704956</v>
      </c>
    </row>
    <row r="52" spans="1:25" x14ac:dyDescent="0.2">
      <c r="A52" s="213" t="str">
        <f t="shared" si="99"/>
        <v>UME</v>
      </c>
      <c r="B52" s="213"/>
      <c r="C52" s="219">
        <f t="shared" si="100"/>
        <v>157629.69999999998</v>
      </c>
      <c r="D52" s="216">
        <f t="shared" si="101"/>
        <v>77.600000000000009</v>
      </c>
      <c r="E52" s="219">
        <f t="shared" ref="E52:G52" si="124">B159*10000</f>
        <v>157700</v>
      </c>
      <c r="F52" s="219">
        <f t="shared" si="124"/>
        <v>120</v>
      </c>
      <c r="G52" s="219">
        <f t="shared" si="124"/>
        <v>70</v>
      </c>
      <c r="H52" s="219">
        <f t="shared" si="103"/>
        <v>240</v>
      </c>
      <c r="I52" s="155">
        <f t="shared" si="104"/>
        <v>0</v>
      </c>
      <c r="J52" s="155">
        <f t="shared" si="105"/>
        <v>0</v>
      </c>
      <c r="K52" s="155">
        <f t="shared" si="106"/>
        <v>240</v>
      </c>
      <c r="L52" s="155">
        <f t="shared" si="107"/>
        <v>10</v>
      </c>
      <c r="M52" s="156">
        <f t="shared" si="108"/>
        <v>0.15225557112650728</v>
      </c>
      <c r="N52" s="157">
        <f t="shared" si="109"/>
        <v>1.5225557112650728E-2</v>
      </c>
      <c r="O52" s="155">
        <f t="shared" si="110"/>
        <v>100</v>
      </c>
      <c r="P52" s="250">
        <v>10</v>
      </c>
      <c r="Q52" s="250">
        <v>10000</v>
      </c>
      <c r="R52" s="148">
        <f t="shared" si="111"/>
        <v>0.15225557112650728</v>
      </c>
      <c r="S52" s="148">
        <f t="shared" si="112"/>
        <v>0.15225557112650728</v>
      </c>
      <c r="T52" s="148">
        <f t="shared" si="113"/>
        <v>1.5225557112650728E-2</v>
      </c>
      <c r="U52" s="148">
        <f t="shared" si="114"/>
        <v>15.22555711265073</v>
      </c>
      <c r="V52" s="7">
        <f t="shared" si="115"/>
        <v>10000</v>
      </c>
      <c r="W52" s="7">
        <f t="shared" si="116"/>
        <v>10000000</v>
      </c>
      <c r="X52" s="1345">
        <f t="shared" si="117"/>
        <v>15.225557112650728</v>
      </c>
      <c r="Y52" s="1345">
        <f t="shared" si="118"/>
        <v>15225.557112650729</v>
      </c>
    </row>
    <row r="53" spans="1:25" x14ac:dyDescent="0.2">
      <c r="A53" s="213" t="str">
        <f t="shared" si="99"/>
        <v>VNIIM</v>
      </c>
      <c r="B53" s="213"/>
      <c r="C53" s="219">
        <f t="shared" si="100"/>
        <v>157629.69999999998</v>
      </c>
      <c r="D53" s="216">
        <f t="shared" si="101"/>
        <v>77.600000000000009</v>
      </c>
      <c r="E53" s="219">
        <f t="shared" ref="E53:G53" si="125">B160*10000</f>
        <v>157440</v>
      </c>
      <c r="F53" s="219">
        <f t="shared" si="125"/>
        <v>150</v>
      </c>
      <c r="G53" s="219">
        <f t="shared" si="125"/>
        <v>-190</v>
      </c>
      <c r="H53" s="219">
        <f t="shared" si="103"/>
        <v>290</v>
      </c>
      <c r="I53" s="155">
        <f t="shared" si="104"/>
        <v>0</v>
      </c>
      <c r="J53" s="155">
        <f t="shared" si="105"/>
        <v>0</v>
      </c>
      <c r="K53" s="155">
        <f t="shared" si="106"/>
        <v>300</v>
      </c>
      <c r="L53" s="155">
        <f t="shared" si="107"/>
        <v>10</v>
      </c>
      <c r="M53" s="156">
        <f t="shared" si="108"/>
        <v>0.19031946390813409</v>
      </c>
      <c r="N53" s="157">
        <f t="shared" si="109"/>
        <v>1.9031946390813407E-2</v>
      </c>
      <c r="O53" s="155">
        <f t="shared" si="110"/>
        <v>100</v>
      </c>
      <c r="P53" s="250">
        <v>10</v>
      </c>
      <c r="Q53" s="250">
        <v>10000</v>
      </c>
      <c r="R53" s="148">
        <f t="shared" si="111"/>
        <v>0.19031946390813409</v>
      </c>
      <c r="S53" s="148">
        <f t="shared" si="112"/>
        <v>0.19031946390813409</v>
      </c>
      <c r="T53" s="148">
        <f t="shared" si="113"/>
        <v>1.9031946390813407E-2</v>
      </c>
      <c r="U53" s="148">
        <f t="shared" si="114"/>
        <v>19.03194639081341</v>
      </c>
      <c r="V53" s="7">
        <f t="shared" si="115"/>
        <v>10000</v>
      </c>
      <c r="W53" s="7">
        <f t="shared" si="116"/>
        <v>10000000</v>
      </c>
      <c r="X53" s="1345">
        <f t="shared" si="117"/>
        <v>19.031946390813406</v>
      </c>
      <c r="Y53" s="1345">
        <f t="shared" si="118"/>
        <v>19031.946390813409</v>
      </c>
    </row>
    <row r="54" spans="1:25" x14ac:dyDescent="0.2">
      <c r="A54" s="213" t="str">
        <f t="shared" si="99"/>
        <v>VSL</v>
      </c>
      <c r="B54" s="213"/>
      <c r="C54" s="219">
        <f t="shared" si="100"/>
        <v>157629.69999999998</v>
      </c>
      <c r="D54" s="216">
        <f t="shared" si="101"/>
        <v>77.600000000000009</v>
      </c>
      <c r="E54" s="219">
        <f t="shared" ref="E54" si="126">B161*10000</f>
        <v>157590</v>
      </c>
      <c r="F54" s="219">
        <f t="shared" ref="F54" si="127">C161*10000</f>
        <v>70</v>
      </c>
      <c r="G54" s="219">
        <f t="shared" ref="G54" si="128">D161*10000</f>
        <v>-40</v>
      </c>
      <c r="H54" s="219">
        <f t="shared" ref="H54" si="129">F161*10000</f>
        <v>180</v>
      </c>
      <c r="I54" s="155">
        <f t="shared" ref="I54" si="130">IF(ABS(G54)&gt;ABS(H54), 1, 0)</f>
        <v>0</v>
      </c>
      <c r="J54" s="155">
        <f t="shared" ref="J54" si="131">I54*ABS(C54-E54)</f>
        <v>0</v>
      </c>
      <c r="K54" s="155">
        <f t="shared" ref="K54" si="132">SQRT(SUMSQ(F54,J54))*2</f>
        <v>140</v>
      </c>
      <c r="L54" s="155">
        <f t="shared" ref="L54" si="133">IF(C54&lt;$K$2, C54, $K$1)</f>
        <v>10</v>
      </c>
      <c r="M54" s="156">
        <f t="shared" ref="M54" si="134">IF(AND(C54&lt;$K$1,C54&gt; $K$2), K54/L54*100, K54/C54*100)</f>
        <v>8.8815749823795906E-2</v>
      </c>
      <c r="N54" s="157">
        <f t="shared" ref="N54" si="135">M54*L54/100</f>
        <v>8.8815749823795906E-3</v>
      </c>
      <c r="O54" s="155">
        <f t="shared" ref="O54" si="136">N54/(M54*L54/100)*100</f>
        <v>100</v>
      </c>
      <c r="P54" s="250">
        <v>10</v>
      </c>
      <c r="Q54" s="250">
        <v>10000</v>
      </c>
      <c r="R54" s="148">
        <f t="shared" ref="R54" si="137">IF( IF(P54&lt;L54, M54*L54/P54, M54)&gt;100, "ERROR",  IF(P54&lt;L54, M54*L54/P54, M54))</f>
        <v>8.8815749823795906E-2</v>
      </c>
      <c r="S54" s="148">
        <f t="shared" ref="S54" si="138">IF(IF(Q54&lt;L54, M54*L54/Q54, M54)&gt;100, "ERROR", IF(Q54&lt;L54, M54*L54/Q54, M54))</f>
        <v>8.8815749823795906E-2</v>
      </c>
      <c r="T54" s="148">
        <f t="shared" ref="T54" si="139">R54*P54*0.01</f>
        <v>8.8815749823795906E-3</v>
      </c>
      <c r="U54" s="148">
        <f t="shared" ref="U54" si="140">S54*Q54*0.01</f>
        <v>8.8815749823795915</v>
      </c>
      <c r="V54" s="7">
        <f t="shared" ref="V54" si="141">P54*1000</f>
        <v>10000</v>
      </c>
      <c r="W54" s="7">
        <f t="shared" ref="W54" si="142">Q54*1000</f>
        <v>10000000</v>
      </c>
      <c r="X54" s="1345">
        <f t="shared" ref="X54" si="143">T54*1000</f>
        <v>8.8815749823795898</v>
      </c>
      <c r="Y54" s="1345">
        <f t="shared" ref="Y54" si="144">U54*1000</f>
        <v>8881.5749823795923</v>
      </c>
    </row>
    <row r="55" spans="1:25" x14ac:dyDescent="0.2">
      <c r="A55" s="445"/>
      <c r="B55" s="445"/>
      <c r="C55" s="1130"/>
      <c r="D55" s="1131"/>
      <c r="E55" s="1130"/>
      <c r="F55" s="1130"/>
      <c r="G55" s="1130"/>
      <c r="H55" s="1130"/>
      <c r="I55" s="446"/>
      <c r="J55" s="446"/>
      <c r="K55" s="446"/>
      <c r="L55" s="446"/>
      <c r="M55" s="447"/>
      <c r="N55" s="448"/>
      <c r="O55" s="446"/>
      <c r="P55" s="1228"/>
      <c r="Q55" s="1228"/>
      <c r="R55" s="959"/>
      <c r="S55" s="959"/>
      <c r="T55" s="449"/>
      <c r="U55" s="449"/>
      <c r="V55" s="450"/>
      <c r="W55" s="450"/>
      <c r="X55" s="451"/>
      <c r="Y55" s="452"/>
    </row>
    <row r="56" spans="1:25" ht="15.75" x14ac:dyDescent="0.2">
      <c r="A56" s="103" t="s">
        <v>1246</v>
      </c>
      <c r="B56" s="97"/>
      <c r="C56" s="97"/>
      <c r="D56" s="97"/>
      <c r="E56" s="97"/>
      <c r="F56" s="97"/>
      <c r="G56" s="97"/>
      <c r="H56" s="97"/>
      <c r="I56" s="113"/>
      <c r="J56" s="113"/>
      <c r="K56" s="113"/>
      <c r="L56" s="113"/>
      <c r="M56" s="113"/>
      <c r="N56" s="113"/>
      <c r="O56" s="113"/>
      <c r="R56" s="113"/>
      <c r="S56" s="113"/>
      <c r="T56" s="146"/>
      <c r="U56" s="146"/>
    </row>
    <row r="57" spans="1:25" ht="89.25" x14ac:dyDescent="0.2">
      <c r="A57" s="211" t="s">
        <v>0</v>
      </c>
      <c r="B57" s="212" t="s">
        <v>1</v>
      </c>
      <c r="C57" s="212" t="s">
        <v>133</v>
      </c>
      <c r="D57" s="212" t="s">
        <v>199</v>
      </c>
      <c r="E57" s="212" t="s">
        <v>135</v>
      </c>
      <c r="F57" s="212" t="s">
        <v>200</v>
      </c>
      <c r="G57" s="212" t="s">
        <v>137</v>
      </c>
      <c r="H57" s="212" t="s">
        <v>201</v>
      </c>
      <c r="I57" s="104" t="s">
        <v>8</v>
      </c>
      <c r="J57" s="104" t="s">
        <v>9</v>
      </c>
      <c r="K57" s="104" t="s">
        <v>107</v>
      </c>
      <c r="L57" s="104" t="s">
        <v>14</v>
      </c>
      <c r="M57" s="104" t="s">
        <v>1057</v>
      </c>
      <c r="N57" s="104" t="s">
        <v>1058</v>
      </c>
      <c r="O57" s="104" t="s">
        <v>100</v>
      </c>
      <c r="P57" s="6" t="s">
        <v>105</v>
      </c>
      <c r="Q57" s="6" t="s">
        <v>106</v>
      </c>
      <c r="R57" s="104" t="s">
        <v>1051</v>
      </c>
      <c r="S57" s="104" t="s">
        <v>1052</v>
      </c>
      <c r="T57" s="147" t="s">
        <v>1053</v>
      </c>
      <c r="U57" s="147" t="s">
        <v>1054</v>
      </c>
      <c r="V57" s="5" t="s">
        <v>101</v>
      </c>
      <c r="W57" s="5" t="s">
        <v>102</v>
      </c>
      <c r="X57" s="112" t="s">
        <v>1055</v>
      </c>
      <c r="Y57" s="112" t="s">
        <v>1056</v>
      </c>
    </row>
    <row r="58" spans="1:25" x14ac:dyDescent="0.2">
      <c r="A58" s="213" t="str">
        <f>A165</f>
        <v>BFKH</v>
      </c>
      <c r="B58" s="213"/>
      <c r="C58" s="219">
        <f>$D$118*10000</f>
        <v>7927</v>
      </c>
      <c r="D58" s="216">
        <f>$E$118*10000</f>
        <v>14.1</v>
      </c>
      <c r="E58" s="219">
        <f t="shared" ref="E58" si="145">B165*10000</f>
        <v>7624</v>
      </c>
      <c r="F58" s="219">
        <f t="shared" ref="F58" si="146">C165*10000</f>
        <v>60</v>
      </c>
      <c r="G58" s="219">
        <f t="shared" ref="G58" si="147">D165*10000</f>
        <v>-303</v>
      </c>
      <c r="H58" s="219">
        <f t="shared" ref="H58" si="148">F165*10000</f>
        <v>121</v>
      </c>
      <c r="I58" s="155">
        <f t="shared" si="0"/>
        <v>1</v>
      </c>
      <c r="J58" s="155">
        <f t="shared" si="1"/>
        <v>303</v>
      </c>
      <c r="K58" s="155">
        <f t="shared" si="2"/>
        <v>617.7669463478926</v>
      </c>
      <c r="L58" s="155">
        <f t="shared" si="3"/>
        <v>10</v>
      </c>
      <c r="M58" s="156">
        <f t="shared" si="4"/>
        <v>7.7931997773166728</v>
      </c>
      <c r="N58" s="157">
        <f t="shared" si="5"/>
        <v>0.77931997773166728</v>
      </c>
      <c r="O58" s="155">
        <f t="shared" si="6"/>
        <v>100</v>
      </c>
      <c r="P58" s="250">
        <v>10</v>
      </c>
      <c r="Q58" s="250">
        <v>10000</v>
      </c>
      <c r="R58" s="148">
        <f t="shared" si="94"/>
        <v>7.7931997773166728</v>
      </c>
      <c r="S58" s="148">
        <f t="shared" si="95"/>
        <v>7.7931997773166728</v>
      </c>
      <c r="T58" s="148">
        <f t="shared" si="96"/>
        <v>0.77931997773166728</v>
      </c>
      <c r="U58" s="148">
        <f t="shared" si="96"/>
        <v>779.31997773166734</v>
      </c>
      <c r="V58" s="7">
        <f t="shared" si="97"/>
        <v>10000</v>
      </c>
      <c r="W58" s="7">
        <f t="shared" si="97"/>
        <v>10000000</v>
      </c>
      <c r="X58" s="1345">
        <f t="shared" si="98"/>
        <v>779.31997773166722</v>
      </c>
      <c r="Y58" s="1345">
        <f t="shared" si="98"/>
        <v>779319.97773166734</v>
      </c>
    </row>
    <row r="59" spans="1:25" x14ac:dyDescent="0.2">
      <c r="A59" s="213" t="str">
        <f t="shared" ref="A59:A67" si="149">A166</f>
        <v>CEM</v>
      </c>
      <c r="B59" s="213"/>
      <c r="C59" s="219">
        <f t="shared" ref="C59:C67" si="150">$D$118*10000</f>
        <v>7927</v>
      </c>
      <c r="D59" s="216">
        <f t="shared" ref="D59:D67" si="151">$E$118*10000</f>
        <v>14.1</v>
      </c>
      <c r="E59" s="219">
        <f t="shared" ref="E59:E67" si="152">B166*10000</f>
        <v>7811</v>
      </c>
      <c r="F59" s="219">
        <f t="shared" ref="F59:F67" si="153">C166*10000</f>
        <v>1188</v>
      </c>
      <c r="G59" s="219">
        <f t="shared" ref="G59:G67" si="154">D166*10000</f>
        <v>-117</v>
      </c>
      <c r="H59" s="219">
        <f t="shared" ref="H59:H67" si="155">F166*10000</f>
        <v>2317</v>
      </c>
      <c r="I59" s="155">
        <f t="shared" ref="I59:I67" si="156">IF(ABS(G59)&gt;ABS(H59), 1, 0)</f>
        <v>0</v>
      </c>
      <c r="J59" s="155">
        <f t="shared" ref="J59:J67" si="157">I59*ABS(C59-E59)</f>
        <v>0</v>
      </c>
      <c r="K59" s="155">
        <f t="shared" ref="K59:K67" si="158">SQRT(SUMSQ(F59,J59))*2</f>
        <v>2376</v>
      </c>
      <c r="L59" s="155">
        <f t="shared" ref="L59:L67" si="159">IF(C59&lt;$K$2, C59, $K$1)</f>
        <v>10</v>
      </c>
      <c r="M59" s="156">
        <f t="shared" ref="M59:M67" si="160">IF(AND(C59&lt;$K$1,C59&gt; $K$2), K59/L59*100, K59/C59*100)</f>
        <v>29.973508262898953</v>
      </c>
      <c r="N59" s="157">
        <f t="shared" ref="N59:N67" si="161">M59*L59/100</f>
        <v>2.9973508262898951</v>
      </c>
      <c r="O59" s="155">
        <f t="shared" ref="O59:O67" si="162">N59/(M59*L59/100)*100</f>
        <v>100</v>
      </c>
      <c r="P59" s="250">
        <v>10</v>
      </c>
      <c r="Q59" s="250">
        <v>10000</v>
      </c>
      <c r="R59" s="148">
        <f t="shared" ref="R59:R67" si="163">IF( IF(P59&lt;L59, M59*L59/P59, M59)&gt;100, "ERROR",  IF(P59&lt;L59, M59*L59/P59, M59))</f>
        <v>29.973508262898953</v>
      </c>
      <c r="S59" s="148">
        <f t="shared" ref="S59:S67" si="164">IF(IF(Q59&lt;L59, M59*L59/Q59, M59)&gt;100, "ERROR", IF(Q59&lt;L59, M59*L59/Q59, M59))</f>
        <v>29.973508262898953</v>
      </c>
      <c r="T59" s="148">
        <f t="shared" ref="T59:T67" si="165">R59*P59*0.01</f>
        <v>2.9973508262898951</v>
      </c>
      <c r="U59" s="148">
        <f t="shared" ref="U59:U67" si="166">S59*Q59*0.01</f>
        <v>2997.3508262898954</v>
      </c>
      <c r="V59" s="7">
        <f t="shared" ref="V59:V67" si="167">P59*1000</f>
        <v>10000</v>
      </c>
      <c r="W59" s="7">
        <f t="shared" ref="W59:W67" si="168">Q59*1000</f>
        <v>10000000</v>
      </c>
      <c r="X59" s="1345">
        <f t="shared" ref="X59:X67" si="169">T59*1000</f>
        <v>2997.3508262898949</v>
      </c>
      <c r="Y59" s="1345">
        <f t="shared" ref="Y59:Y67" si="170">U59*1000</f>
        <v>2997350.8262898955</v>
      </c>
    </row>
    <row r="60" spans="1:25" x14ac:dyDescent="0.2">
      <c r="A60" s="213" t="str">
        <f t="shared" si="149"/>
        <v>CMI</v>
      </c>
      <c r="B60" s="213"/>
      <c r="C60" s="219">
        <f t="shared" si="150"/>
        <v>7927</v>
      </c>
      <c r="D60" s="216">
        <f t="shared" si="151"/>
        <v>14.1</v>
      </c>
      <c r="E60" s="219">
        <f t="shared" si="152"/>
        <v>7891</v>
      </c>
      <c r="F60" s="219">
        <f t="shared" si="153"/>
        <v>315</v>
      </c>
      <c r="G60" s="219">
        <f t="shared" si="154"/>
        <v>-36</v>
      </c>
      <c r="H60" s="219">
        <f t="shared" si="155"/>
        <v>609</v>
      </c>
      <c r="I60" s="155">
        <f t="shared" si="156"/>
        <v>0</v>
      </c>
      <c r="J60" s="155">
        <f t="shared" si="157"/>
        <v>0</v>
      </c>
      <c r="K60" s="155">
        <f t="shared" si="158"/>
        <v>630</v>
      </c>
      <c r="L60" s="155">
        <f t="shared" si="159"/>
        <v>10</v>
      </c>
      <c r="M60" s="156">
        <f t="shared" si="160"/>
        <v>7.9475211303141169</v>
      </c>
      <c r="N60" s="157">
        <f t="shared" si="161"/>
        <v>0.79475211303141169</v>
      </c>
      <c r="O60" s="155">
        <f t="shared" si="162"/>
        <v>100</v>
      </c>
      <c r="P60" s="250">
        <v>10</v>
      </c>
      <c r="Q60" s="250">
        <v>10000</v>
      </c>
      <c r="R60" s="148">
        <f t="shared" si="163"/>
        <v>7.9475211303141169</v>
      </c>
      <c r="S60" s="148">
        <f t="shared" si="164"/>
        <v>7.9475211303141169</v>
      </c>
      <c r="T60" s="148">
        <f t="shared" si="165"/>
        <v>0.79475211303141169</v>
      </c>
      <c r="U60" s="148">
        <f t="shared" si="166"/>
        <v>794.75211303141168</v>
      </c>
      <c r="V60" s="7">
        <f t="shared" si="167"/>
        <v>10000</v>
      </c>
      <c r="W60" s="7">
        <f t="shared" si="168"/>
        <v>10000000</v>
      </c>
      <c r="X60" s="1345">
        <f t="shared" si="169"/>
        <v>794.75211303141168</v>
      </c>
      <c r="Y60" s="1345">
        <f t="shared" si="170"/>
        <v>794752.11303141166</v>
      </c>
    </row>
    <row r="61" spans="1:25" x14ac:dyDescent="0.2">
      <c r="A61" s="213" t="str">
        <f t="shared" si="149"/>
        <v>INMETRO</v>
      </c>
      <c r="B61" s="213"/>
      <c r="C61" s="219">
        <f t="shared" si="150"/>
        <v>7927</v>
      </c>
      <c r="D61" s="216">
        <f t="shared" si="151"/>
        <v>14.1</v>
      </c>
      <c r="E61" s="219">
        <f t="shared" si="152"/>
        <v>7794</v>
      </c>
      <c r="F61" s="219">
        <f t="shared" si="153"/>
        <v>45</v>
      </c>
      <c r="G61" s="219">
        <f t="shared" si="154"/>
        <v>-133</v>
      </c>
      <c r="H61" s="219">
        <f t="shared" si="155"/>
        <v>92</v>
      </c>
      <c r="I61" s="155">
        <f t="shared" si="156"/>
        <v>1</v>
      </c>
      <c r="J61" s="155">
        <f t="shared" si="157"/>
        <v>133</v>
      </c>
      <c r="K61" s="155">
        <f t="shared" si="158"/>
        <v>280.81310510729372</v>
      </c>
      <c r="L61" s="155">
        <f t="shared" si="159"/>
        <v>10</v>
      </c>
      <c r="M61" s="156">
        <f t="shared" si="160"/>
        <v>3.542489026205295</v>
      </c>
      <c r="N61" s="157">
        <f t="shared" si="161"/>
        <v>0.35424890262052949</v>
      </c>
      <c r="O61" s="155">
        <f t="shared" si="162"/>
        <v>100</v>
      </c>
      <c r="P61" s="250">
        <v>10</v>
      </c>
      <c r="Q61" s="250">
        <v>10000</v>
      </c>
      <c r="R61" s="148">
        <f t="shared" si="163"/>
        <v>3.542489026205295</v>
      </c>
      <c r="S61" s="148">
        <f t="shared" si="164"/>
        <v>3.542489026205295</v>
      </c>
      <c r="T61" s="148">
        <f t="shared" si="165"/>
        <v>0.35424890262052949</v>
      </c>
      <c r="U61" s="148">
        <f t="shared" si="166"/>
        <v>354.24890262052946</v>
      </c>
      <c r="V61" s="7">
        <f t="shared" si="167"/>
        <v>10000</v>
      </c>
      <c r="W61" s="7">
        <f t="shared" si="168"/>
        <v>10000000</v>
      </c>
      <c r="X61" s="1345">
        <f t="shared" si="169"/>
        <v>354.24890262052952</v>
      </c>
      <c r="Y61" s="1345">
        <f t="shared" si="170"/>
        <v>354248.90262052946</v>
      </c>
    </row>
    <row r="62" spans="1:25" x14ac:dyDescent="0.2">
      <c r="A62" s="213" t="str">
        <f t="shared" si="149"/>
        <v>NPL</v>
      </c>
      <c r="B62" s="213"/>
      <c r="C62" s="219">
        <f t="shared" si="150"/>
        <v>7927</v>
      </c>
      <c r="D62" s="216">
        <f t="shared" si="151"/>
        <v>14.1</v>
      </c>
      <c r="E62" s="219">
        <f t="shared" si="152"/>
        <v>7965</v>
      </c>
      <c r="F62" s="219">
        <f t="shared" si="153"/>
        <v>16</v>
      </c>
      <c r="G62" s="219">
        <f t="shared" si="154"/>
        <v>38</v>
      </c>
      <c r="H62" s="219">
        <f t="shared" si="155"/>
        <v>38</v>
      </c>
      <c r="I62" s="155">
        <f t="shared" si="156"/>
        <v>0</v>
      </c>
      <c r="J62" s="155">
        <f t="shared" si="157"/>
        <v>0</v>
      </c>
      <c r="K62" s="155">
        <f t="shared" si="158"/>
        <v>32</v>
      </c>
      <c r="L62" s="155">
        <f t="shared" si="159"/>
        <v>10</v>
      </c>
      <c r="M62" s="156">
        <f t="shared" si="160"/>
        <v>0.40368361296833605</v>
      </c>
      <c r="N62" s="157">
        <f t="shared" si="161"/>
        <v>4.0368361296833605E-2</v>
      </c>
      <c r="O62" s="155">
        <f t="shared" si="162"/>
        <v>100</v>
      </c>
      <c r="P62" s="250">
        <v>10</v>
      </c>
      <c r="Q62" s="250">
        <v>10000</v>
      </c>
      <c r="R62" s="148">
        <f t="shared" si="163"/>
        <v>0.40368361296833605</v>
      </c>
      <c r="S62" s="148">
        <f t="shared" si="164"/>
        <v>0.40368361296833605</v>
      </c>
      <c r="T62" s="148">
        <f t="shared" si="165"/>
        <v>4.0368361296833605E-2</v>
      </c>
      <c r="U62" s="148">
        <f t="shared" si="166"/>
        <v>40.368361296833605</v>
      </c>
      <c r="V62" s="7">
        <f t="shared" si="167"/>
        <v>10000</v>
      </c>
      <c r="W62" s="7">
        <f t="shared" si="168"/>
        <v>10000000</v>
      </c>
      <c r="X62" s="1345">
        <f t="shared" si="169"/>
        <v>40.368361296833605</v>
      </c>
      <c r="Y62" s="1345">
        <f t="shared" si="170"/>
        <v>40368.361296833602</v>
      </c>
    </row>
    <row r="63" spans="1:25" x14ac:dyDescent="0.2">
      <c r="A63" s="213" t="str">
        <f t="shared" si="149"/>
        <v>RISE</v>
      </c>
      <c r="B63" s="213"/>
      <c r="C63" s="219">
        <f t="shared" si="150"/>
        <v>7927</v>
      </c>
      <c r="D63" s="216">
        <f t="shared" si="151"/>
        <v>14.1</v>
      </c>
      <c r="E63" s="219">
        <f t="shared" si="152"/>
        <v>8066</v>
      </c>
      <c r="F63" s="219">
        <f t="shared" si="153"/>
        <v>90</v>
      </c>
      <c r="G63" s="219">
        <f t="shared" si="154"/>
        <v>138</v>
      </c>
      <c r="H63" s="219">
        <f t="shared" si="155"/>
        <v>170</v>
      </c>
      <c r="I63" s="155">
        <f t="shared" si="156"/>
        <v>0</v>
      </c>
      <c r="J63" s="155">
        <f t="shared" si="157"/>
        <v>0</v>
      </c>
      <c r="K63" s="155">
        <f t="shared" si="158"/>
        <v>180</v>
      </c>
      <c r="L63" s="155">
        <f t="shared" si="159"/>
        <v>10</v>
      </c>
      <c r="M63" s="156">
        <f t="shared" si="160"/>
        <v>2.2707203229468904</v>
      </c>
      <c r="N63" s="157">
        <f t="shared" si="161"/>
        <v>0.22707203229468903</v>
      </c>
      <c r="O63" s="155">
        <f t="shared" si="162"/>
        <v>100</v>
      </c>
      <c r="P63" s="250">
        <v>10</v>
      </c>
      <c r="Q63" s="250">
        <v>10000</v>
      </c>
      <c r="R63" s="148">
        <f t="shared" si="163"/>
        <v>2.2707203229468904</v>
      </c>
      <c r="S63" s="148">
        <f t="shared" si="164"/>
        <v>2.2707203229468904</v>
      </c>
      <c r="T63" s="148">
        <f t="shared" si="165"/>
        <v>0.22707203229468903</v>
      </c>
      <c r="U63" s="148">
        <f t="shared" si="166"/>
        <v>227.07203229468905</v>
      </c>
      <c r="V63" s="7">
        <f t="shared" si="167"/>
        <v>10000</v>
      </c>
      <c r="W63" s="7">
        <f t="shared" si="168"/>
        <v>10000000</v>
      </c>
      <c r="X63" s="1345">
        <f t="shared" si="169"/>
        <v>227.07203229468902</v>
      </c>
      <c r="Y63" s="1345">
        <f t="shared" si="170"/>
        <v>227072.03229468904</v>
      </c>
    </row>
    <row r="64" spans="1:25" x14ac:dyDescent="0.2">
      <c r="A64" s="213" t="str">
        <f t="shared" si="149"/>
        <v>SMU</v>
      </c>
      <c r="B64" s="213"/>
      <c r="C64" s="219">
        <f t="shared" si="150"/>
        <v>7927</v>
      </c>
      <c r="D64" s="216">
        <f t="shared" si="151"/>
        <v>14.1</v>
      </c>
      <c r="E64" s="219">
        <f t="shared" si="152"/>
        <v>8045</v>
      </c>
      <c r="F64" s="219">
        <f t="shared" si="153"/>
        <v>65</v>
      </c>
      <c r="G64" s="219">
        <f t="shared" si="154"/>
        <v>118</v>
      </c>
      <c r="H64" s="219">
        <f t="shared" si="155"/>
        <v>125</v>
      </c>
      <c r="I64" s="155">
        <f t="shared" si="156"/>
        <v>0</v>
      </c>
      <c r="J64" s="155">
        <f t="shared" si="157"/>
        <v>0</v>
      </c>
      <c r="K64" s="155">
        <f t="shared" si="158"/>
        <v>130</v>
      </c>
      <c r="L64" s="155">
        <f t="shared" si="159"/>
        <v>10</v>
      </c>
      <c r="M64" s="156">
        <f t="shared" si="160"/>
        <v>1.6399646776838652</v>
      </c>
      <c r="N64" s="157">
        <f t="shared" si="161"/>
        <v>0.1639964677683865</v>
      </c>
      <c r="O64" s="155">
        <f t="shared" si="162"/>
        <v>100</v>
      </c>
      <c r="P64" s="250">
        <v>10</v>
      </c>
      <c r="Q64" s="250">
        <v>10000</v>
      </c>
      <c r="R64" s="148">
        <f t="shared" si="163"/>
        <v>1.6399646776838652</v>
      </c>
      <c r="S64" s="148">
        <f t="shared" si="164"/>
        <v>1.6399646776838652</v>
      </c>
      <c r="T64" s="148">
        <f t="shared" si="165"/>
        <v>0.1639964677683865</v>
      </c>
      <c r="U64" s="148">
        <f t="shared" si="166"/>
        <v>163.99646776838654</v>
      </c>
      <c r="V64" s="7">
        <f t="shared" si="167"/>
        <v>10000</v>
      </c>
      <c r="W64" s="7">
        <f t="shared" si="168"/>
        <v>10000000</v>
      </c>
      <c r="X64" s="1345">
        <f t="shared" si="169"/>
        <v>163.99646776838651</v>
      </c>
      <c r="Y64" s="1345">
        <f t="shared" si="170"/>
        <v>163996.46776838653</v>
      </c>
    </row>
    <row r="65" spans="1:25" x14ac:dyDescent="0.2">
      <c r="A65" s="213" t="str">
        <f t="shared" si="149"/>
        <v>UME</v>
      </c>
      <c r="B65" s="213"/>
      <c r="C65" s="219">
        <f t="shared" si="150"/>
        <v>7927</v>
      </c>
      <c r="D65" s="216">
        <f t="shared" si="151"/>
        <v>14.1</v>
      </c>
      <c r="E65" s="219">
        <f t="shared" si="152"/>
        <v>7935</v>
      </c>
      <c r="F65" s="219">
        <f t="shared" si="153"/>
        <v>7</v>
      </c>
      <c r="G65" s="219">
        <f t="shared" si="154"/>
        <v>8</v>
      </c>
      <c r="H65" s="219">
        <f t="shared" si="155"/>
        <v>30</v>
      </c>
      <c r="I65" s="155">
        <f t="shared" si="156"/>
        <v>0</v>
      </c>
      <c r="J65" s="155">
        <f t="shared" si="157"/>
        <v>0</v>
      </c>
      <c r="K65" s="155">
        <f t="shared" si="158"/>
        <v>14</v>
      </c>
      <c r="L65" s="155">
        <f t="shared" si="159"/>
        <v>10</v>
      </c>
      <c r="M65" s="156">
        <f t="shared" si="160"/>
        <v>0.17661158067364705</v>
      </c>
      <c r="N65" s="157">
        <f t="shared" si="161"/>
        <v>1.7661158067364704E-2</v>
      </c>
      <c r="O65" s="155">
        <f t="shared" si="162"/>
        <v>100</v>
      </c>
      <c r="P65" s="250">
        <v>10</v>
      </c>
      <c r="Q65" s="250">
        <v>10000</v>
      </c>
      <c r="R65" s="148">
        <f t="shared" si="163"/>
        <v>0.17661158067364705</v>
      </c>
      <c r="S65" s="148">
        <f t="shared" si="164"/>
        <v>0.17661158067364705</v>
      </c>
      <c r="T65" s="148">
        <f t="shared" si="165"/>
        <v>1.7661158067364704E-2</v>
      </c>
      <c r="U65" s="148">
        <f t="shared" si="166"/>
        <v>17.661158067364706</v>
      </c>
      <c r="V65" s="7">
        <f t="shared" si="167"/>
        <v>10000</v>
      </c>
      <c r="W65" s="7">
        <f t="shared" si="168"/>
        <v>10000000</v>
      </c>
      <c r="X65" s="1345">
        <f t="shared" si="169"/>
        <v>17.661158067364703</v>
      </c>
      <c r="Y65" s="1345">
        <f t="shared" si="170"/>
        <v>17661.158067364708</v>
      </c>
    </row>
    <row r="66" spans="1:25" x14ac:dyDescent="0.2">
      <c r="A66" s="213" t="str">
        <f t="shared" si="149"/>
        <v>VNIIM</v>
      </c>
      <c r="B66" s="213"/>
      <c r="C66" s="219">
        <f t="shared" si="150"/>
        <v>7927</v>
      </c>
      <c r="D66" s="216">
        <f t="shared" si="151"/>
        <v>14.1</v>
      </c>
      <c r="E66" s="219">
        <f t="shared" si="152"/>
        <v>7913</v>
      </c>
      <c r="F66" s="219">
        <f t="shared" si="153"/>
        <v>16</v>
      </c>
      <c r="G66" s="219">
        <f t="shared" si="154"/>
        <v>-14</v>
      </c>
      <c r="H66" s="219">
        <f t="shared" si="155"/>
        <v>35</v>
      </c>
      <c r="I66" s="155">
        <f t="shared" si="156"/>
        <v>0</v>
      </c>
      <c r="J66" s="155">
        <f t="shared" si="157"/>
        <v>0</v>
      </c>
      <c r="K66" s="155">
        <f t="shared" si="158"/>
        <v>32</v>
      </c>
      <c r="L66" s="155">
        <f t="shared" si="159"/>
        <v>10</v>
      </c>
      <c r="M66" s="156">
        <f t="shared" si="160"/>
        <v>0.40368361296833605</v>
      </c>
      <c r="N66" s="157">
        <f t="shared" si="161"/>
        <v>4.0368361296833605E-2</v>
      </c>
      <c r="O66" s="155">
        <f t="shared" si="162"/>
        <v>100</v>
      </c>
      <c r="P66" s="250">
        <v>10</v>
      </c>
      <c r="Q66" s="250">
        <v>10000</v>
      </c>
      <c r="R66" s="148">
        <f t="shared" si="163"/>
        <v>0.40368361296833605</v>
      </c>
      <c r="S66" s="148">
        <f t="shared" si="164"/>
        <v>0.40368361296833605</v>
      </c>
      <c r="T66" s="148">
        <f t="shared" si="165"/>
        <v>4.0368361296833605E-2</v>
      </c>
      <c r="U66" s="148">
        <f t="shared" si="166"/>
        <v>40.368361296833605</v>
      </c>
      <c r="V66" s="7">
        <f t="shared" si="167"/>
        <v>10000</v>
      </c>
      <c r="W66" s="7">
        <f t="shared" si="168"/>
        <v>10000000</v>
      </c>
      <c r="X66" s="1345">
        <f t="shared" si="169"/>
        <v>40.368361296833605</v>
      </c>
      <c r="Y66" s="1345">
        <f t="shared" si="170"/>
        <v>40368.361296833602</v>
      </c>
    </row>
    <row r="67" spans="1:25" x14ac:dyDescent="0.2">
      <c r="A67" s="213" t="str">
        <f t="shared" si="149"/>
        <v>VSL</v>
      </c>
      <c r="B67" s="213"/>
      <c r="C67" s="219">
        <f t="shared" si="150"/>
        <v>7927</v>
      </c>
      <c r="D67" s="216">
        <f t="shared" si="151"/>
        <v>14.1</v>
      </c>
      <c r="E67" s="219">
        <f t="shared" si="152"/>
        <v>7917</v>
      </c>
      <c r="F67" s="219">
        <f t="shared" si="153"/>
        <v>7</v>
      </c>
      <c r="G67" s="219">
        <f t="shared" si="154"/>
        <v>-10</v>
      </c>
      <c r="H67" s="219">
        <f t="shared" si="155"/>
        <v>30</v>
      </c>
      <c r="I67" s="155">
        <f t="shared" si="156"/>
        <v>0</v>
      </c>
      <c r="J67" s="155">
        <f t="shared" si="157"/>
        <v>0</v>
      </c>
      <c r="K67" s="155">
        <f t="shared" si="158"/>
        <v>14</v>
      </c>
      <c r="L67" s="155">
        <f t="shared" si="159"/>
        <v>10</v>
      </c>
      <c r="M67" s="156">
        <f t="shared" si="160"/>
        <v>0.17661158067364705</v>
      </c>
      <c r="N67" s="157">
        <f t="shared" si="161"/>
        <v>1.7661158067364704E-2</v>
      </c>
      <c r="O67" s="155">
        <f t="shared" si="162"/>
        <v>100</v>
      </c>
      <c r="P67" s="250">
        <v>10</v>
      </c>
      <c r="Q67" s="250">
        <v>10000</v>
      </c>
      <c r="R67" s="148">
        <f t="shared" si="163"/>
        <v>0.17661158067364705</v>
      </c>
      <c r="S67" s="148">
        <f t="shared" si="164"/>
        <v>0.17661158067364705</v>
      </c>
      <c r="T67" s="148">
        <f t="shared" si="165"/>
        <v>1.7661158067364704E-2</v>
      </c>
      <c r="U67" s="148">
        <f t="shared" si="166"/>
        <v>17.661158067364706</v>
      </c>
      <c r="V67" s="7">
        <f t="shared" si="167"/>
        <v>10000</v>
      </c>
      <c r="W67" s="7">
        <f t="shared" si="168"/>
        <v>10000000</v>
      </c>
      <c r="X67" s="1345">
        <f t="shared" si="169"/>
        <v>17.661158067364703</v>
      </c>
      <c r="Y67" s="1345">
        <f t="shared" si="170"/>
        <v>17661.158067364708</v>
      </c>
    </row>
    <row r="68" spans="1:25" x14ac:dyDescent="0.2">
      <c r="A68" s="445"/>
      <c r="B68" s="445"/>
      <c r="C68" s="1130"/>
      <c r="D68" s="1131"/>
      <c r="E68" s="1130"/>
      <c r="F68" s="1130"/>
      <c r="G68" s="1130"/>
      <c r="H68" s="1130"/>
      <c r="I68" s="446"/>
      <c r="J68" s="446"/>
      <c r="K68" s="446"/>
      <c r="L68" s="446"/>
      <c r="M68" s="447"/>
      <c r="N68" s="448"/>
      <c r="O68" s="446"/>
      <c r="P68" s="1228"/>
      <c r="Q68" s="1228"/>
      <c r="R68" s="959"/>
      <c r="S68" s="959"/>
      <c r="T68" s="449"/>
      <c r="U68" s="449"/>
      <c r="V68" s="450"/>
      <c r="W68" s="450"/>
      <c r="X68" s="451"/>
      <c r="Y68" s="452"/>
    </row>
    <row r="69" spans="1:25" ht="15.75" x14ac:dyDescent="0.2">
      <c r="A69" s="103" t="s">
        <v>1247</v>
      </c>
      <c r="B69" s="97"/>
      <c r="C69" s="97"/>
      <c r="D69" s="97"/>
      <c r="E69" s="97"/>
      <c r="F69" s="97"/>
      <c r="G69" s="97"/>
      <c r="H69" s="97"/>
      <c r="I69" s="113"/>
      <c r="J69" s="113"/>
      <c r="K69" s="113"/>
      <c r="L69" s="113"/>
      <c r="M69" s="113"/>
      <c r="N69" s="113"/>
      <c r="O69" s="113"/>
      <c r="R69" s="113"/>
      <c r="S69" s="113"/>
      <c r="T69" s="146"/>
      <c r="U69" s="146"/>
    </row>
    <row r="70" spans="1:25" ht="89.25" x14ac:dyDescent="0.2">
      <c r="A70" s="211" t="s">
        <v>0</v>
      </c>
      <c r="B70" s="212" t="s">
        <v>1</v>
      </c>
      <c r="C70" s="212" t="s">
        <v>133</v>
      </c>
      <c r="D70" s="212" t="s">
        <v>199</v>
      </c>
      <c r="E70" s="212" t="s">
        <v>135</v>
      </c>
      <c r="F70" s="212" t="s">
        <v>200</v>
      </c>
      <c r="G70" s="212" t="s">
        <v>137</v>
      </c>
      <c r="H70" s="212" t="s">
        <v>201</v>
      </c>
      <c r="I70" s="104" t="s">
        <v>8</v>
      </c>
      <c r="J70" s="104" t="s">
        <v>9</v>
      </c>
      <c r="K70" s="104" t="s">
        <v>107</v>
      </c>
      <c r="L70" s="104" t="s">
        <v>14</v>
      </c>
      <c r="M70" s="104" t="s">
        <v>1057</v>
      </c>
      <c r="N70" s="104" t="s">
        <v>1058</v>
      </c>
      <c r="O70" s="104" t="s">
        <v>100</v>
      </c>
      <c r="P70" s="6" t="s">
        <v>105</v>
      </c>
      <c r="Q70" s="6" t="s">
        <v>106</v>
      </c>
      <c r="R70" s="104" t="s">
        <v>1051</v>
      </c>
      <c r="S70" s="104" t="s">
        <v>1052</v>
      </c>
      <c r="T70" s="147" t="s">
        <v>1053</v>
      </c>
      <c r="U70" s="147" t="s">
        <v>1054</v>
      </c>
      <c r="V70" s="5" t="s">
        <v>101</v>
      </c>
      <c r="W70" s="5" t="s">
        <v>102</v>
      </c>
      <c r="X70" s="112" t="s">
        <v>1055</v>
      </c>
      <c r="Y70" s="112" t="s">
        <v>1056</v>
      </c>
    </row>
    <row r="71" spans="1:25" x14ac:dyDescent="0.2">
      <c r="A71" s="213" t="str">
        <f>A178</f>
        <v>BFKH</v>
      </c>
      <c r="B71" s="213"/>
      <c r="C71" s="219">
        <f>$D$119*10000</f>
        <v>4630.8</v>
      </c>
      <c r="D71" s="216">
        <f>$E$119*10000</f>
        <v>9.5</v>
      </c>
      <c r="E71" s="219">
        <f>B178*10000</f>
        <v>4453.8999999999996</v>
      </c>
      <c r="F71" s="219">
        <f t="shared" ref="F71" si="171">C178*10000</f>
        <v>5</v>
      </c>
      <c r="G71" s="219">
        <f t="shared" ref="G71" si="172">D178*10000</f>
        <v>-176.9</v>
      </c>
      <c r="H71" s="219">
        <f t="shared" ref="H71" si="173">F178*10000</f>
        <v>20.6</v>
      </c>
      <c r="I71" s="155">
        <f t="shared" si="0"/>
        <v>1</v>
      </c>
      <c r="J71" s="155">
        <f t="shared" si="1"/>
        <v>176.90000000000055</v>
      </c>
      <c r="K71" s="155">
        <f t="shared" si="2"/>
        <v>353.94129456733469</v>
      </c>
      <c r="L71" s="155">
        <f t="shared" si="3"/>
        <v>10</v>
      </c>
      <c r="M71" s="156">
        <f t="shared" si="4"/>
        <v>7.6431997617546568</v>
      </c>
      <c r="N71" s="157">
        <f t="shared" si="5"/>
        <v>0.76431997617546577</v>
      </c>
      <c r="O71" s="155">
        <f t="shared" si="6"/>
        <v>100</v>
      </c>
      <c r="P71" s="250">
        <v>10</v>
      </c>
      <c r="Q71" s="250">
        <v>10000</v>
      </c>
      <c r="R71" s="148">
        <f t="shared" si="94"/>
        <v>7.6431997617546568</v>
      </c>
      <c r="S71" s="148">
        <f t="shared" si="95"/>
        <v>7.6431997617546568</v>
      </c>
      <c r="T71" s="148">
        <f t="shared" si="96"/>
        <v>0.76431997617546577</v>
      </c>
      <c r="U71" s="148">
        <f t="shared" si="96"/>
        <v>764.31997617546574</v>
      </c>
      <c r="V71" s="7">
        <f t="shared" si="97"/>
        <v>10000</v>
      </c>
      <c r="W71" s="7">
        <f t="shared" si="97"/>
        <v>10000000</v>
      </c>
      <c r="X71" s="1345">
        <f t="shared" si="98"/>
        <v>764.31997617546574</v>
      </c>
      <c r="Y71" s="1345">
        <f t="shared" si="98"/>
        <v>764319.97617546574</v>
      </c>
    </row>
    <row r="72" spans="1:25" x14ac:dyDescent="0.2">
      <c r="A72" s="213" t="str">
        <f t="shared" ref="A72:A80" si="174">A179</f>
        <v>CEM</v>
      </c>
      <c r="B72" s="213"/>
      <c r="C72" s="219">
        <f t="shared" ref="C72:C80" si="175">$D$119*10000</f>
        <v>4630.8</v>
      </c>
      <c r="D72" s="216">
        <f t="shared" ref="D72:D80" si="176">$E$119*10000</f>
        <v>9.5</v>
      </c>
      <c r="E72" s="219">
        <f t="shared" ref="E72:E80" si="177">B179*10000</f>
        <v>4866.7</v>
      </c>
      <c r="F72" s="219">
        <f t="shared" ref="F72:F80" si="178">C179*10000</f>
        <v>9.5</v>
      </c>
      <c r="G72" s="219">
        <f t="shared" ref="G72:G80" si="179">D179*10000</f>
        <v>235.9</v>
      </c>
      <c r="H72" s="219">
        <f t="shared" ref="H72:H80" si="180">F179*10000</f>
        <v>26.2</v>
      </c>
      <c r="I72" s="155">
        <f t="shared" ref="I72:I80" si="181">IF(ABS(G72)&gt;ABS(H72), 1, 0)</f>
        <v>1</v>
      </c>
      <c r="J72" s="155">
        <f t="shared" ref="J72:J80" si="182">I72*ABS(C72-E72)</f>
        <v>235.89999999999964</v>
      </c>
      <c r="K72" s="155">
        <f t="shared" ref="K72:K80" si="183">SQRT(SUMSQ(F72,J72))*2</f>
        <v>472.18242237508093</v>
      </c>
      <c r="L72" s="155">
        <f t="shared" ref="L72:L80" si="184">IF(C72&lt;$K$2, C72, $K$1)</f>
        <v>10</v>
      </c>
      <c r="M72" s="156">
        <f t="shared" ref="M72:M80" si="185">IF(AND(C72&lt;$K$1,C72&gt; $K$2), K72/L72*100, K72/C72*100)</f>
        <v>10.196562632268311</v>
      </c>
      <c r="N72" s="157">
        <f t="shared" ref="N72:N80" si="186">M72*L72/100</f>
        <v>1.0196562632268311</v>
      </c>
      <c r="O72" s="155">
        <f t="shared" ref="O72:O80" si="187">N72/(M72*L72/100)*100</f>
        <v>100</v>
      </c>
      <c r="P72" s="250">
        <v>10</v>
      </c>
      <c r="Q72" s="250">
        <v>10000</v>
      </c>
      <c r="R72" s="148">
        <f t="shared" ref="R72:R80" si="188">IF( IF(P72&lt;L72, M72*L72/P72, M72)&gt;100, "ERROR",  IF(P72&lt;L72, M72*L72/P72, M72))</f>
        <v>10.196562632268311</v>
      </c>
      <c r="S72" s="148">
        <f t="shared" ref="S72:S80" si="189">IF(IF(Q72&lt;L72, M72*L72/Q72, M72)&gt;100, "ERROR", IF(Q72&lt;L72, M72*L72/Q72, M72))</f>
        <v>10.196562632268311</v>
      </c>
      <c r="T72" s="148">
        <f t="shared" ref="T72:T80" si="190">R72*P72*0.01</f>
        <v>1.0196562632268311</v>
      </c>
      <c r="U72" s="148">
        <f t="shared" ref="U72:U80" si="191">S72*Q72*0.01</f>
        <v>1019.6562632268311</v>
      </c>
      <c r="V72" s="7">
        <f t="shared" ref="V72:V80" si="192">P72*1000</f>
        <v>10000</v>
      </c>
      <c r="W72" s="7">
        <f t="shared" ref="W72:W80" si="193">Q72*1000</f>
        <v>10000000</v>
      </c>
      <c r="X72" s="1345">
        <f t="shared" ref="X72:X80" si="194">T72*1000</f>
        <v>1019.6562632268311</v>
      </c>
      <c r="Y72" s="1345">
        <f t="shared" ref="Y72:Y80" si="195">U72*1000</f>
        <v>1019656.2632268311</v>
      </c>
    </row>
    <row r="73" spans="1:25" x14ac:dyDescent="0.2">
      <c r="A73" s="213" t="str">
        <f t="shared" si="174"/>
        <v>CMI</v>
      </c>
      <c r="B73" s="213"/>
      <c r="C73" s="219">
        <f t="shared" si="175"/>
        <v>4630.8</v>
      </c>
      <c r="D73" s="216">
        <f t="shared" si="176"/>
        <v>9.5</v>
      </c>
      <c r="E73" s="219">
        <f t="shared" si="177"/>
        <v>4654.3</v>
      </c>
      <c r="F73" s="219">
        <f t="shared" si="178"/>
        <v>60</v>
      </c>
      <c r="G73" s="219">
        <f t="shared" si="179"/>
        <v>23.6</v>
      </c>
      <c r="H73" s="219">
        <f t="shared" si="180"/>
        <v>110.89999999999999</v>
      </c>
      <c r="I73" s="155">
        <f t="shared" si="181"/>
        <v>0</v>
      </c>
      <c r="J73" s="155">
        <f t="shared" si="182"/>
        <v>0</v>
      </c>
      <c r="K73" s="155">
        <f t="shared" si="183"/>
        <v>120</v>
      </c>
      <c r="L73" s="155">
        <f t="shared" si="184"/>
        <v>10</v>
      </c>
      <c r="M73" s="156">
        <f t="shared" si="185"/>
        <v>2.5913449080072559</v>
      </c>
      <c r="N73" s="157">
        <f t="shared" si="186"/>
        <v>0.25913449080072559</v>
      </c>
      <c r="O73" s="155">
        <f t="shared" si="187"/>
        <v>100</v>
      </c>
      <c r="P73" s="250">
        <v>10</v>
      </c>
      <c r="Q73" s="250">
        <v>10000</v>
      </c>
      <c r="R73" s="148">
        <f t="shared" si="188"/>
        <v>2.5913449080072559</v>
      </c>
      <c r="S73" s="148">
        <f t="shared" si="189"/>
        <v>2.5913449080072559</v>
      </c>
      <c r="T73" s="148">
        <f t="shared" si="190"/>
        <v>0.25913449080072559</v>
      </c>
      <c r="U73" s="148">
        <f t="shared" si="191"/>
        <v>259.13449080072559</v>
      </c>
      <c r="V73" s="7">
        <f t="shared" si="192"/>
        <v>10000</v>
      </c>
      <c r="W73" s="7">
        <f t="shared" si="193"/>
        <v>10000000</v>
      </c>
      <c r="X73" s="1345">
        <f t="shared" si="194"/>
        <v>259.13449080072559</v>
      </c>
      <c r="Y73" s="1345">
        <f t="shared" si="195"/>
        <v>259134.49080072559</v>
      </c>
    </row>
    <row r="74" spans="1:25" x14ac:dyDescent="0.2">
      <c r="A74" s="213" t="str">
        <f t="shared" si="174"/>
        <v>INMETRO</v>
      </c>
      <c r="B74" s="213"/>
      <c r="C74" s="219">
        <f t="shared" si="175"/>
        <v>4630.8</v>
      </c>
      <c r="D74" s="216">
        <f t="shared" si="176"/>
        <v>9.5</v>
      </c>
      <c r="E74" s="219">
        <f t="shared" si="177"/>
        <v>4611.6000000000004</v>
      </c>
      <c r="F74" s="219">
        <f t="shared" si="178"/>
        <v>14</v>
      </c>
      <c r="G74" s="219">
        <f t="shared" si="179"/>
        <v>-19.2</v>
      </c>
      <c r="H74" s="219">
        <f t="shared" si="180"/>
        <v>28</v>
      </c>
      <c r="I74" s="155">
        <f t="shared" si="181"/>
        <v>0</v>
      </c>
      <c r="J74" s="155">
        <f t="shared" si="182"/>
        <v>0</v>
      </c>
      <c r="K74" s="155">
        <f t="shared" si="183"/>
        <v>28</v>
      </c>
      <c r="L74" s="155">
        <f t="shared" si="184"/>
        <v>10</v>
      </c>
      <c r="M74" s="156">
        <f t="shared" si="185"/>
        <v>0.60464714520169305</v>
      </c>
      <c r="N74" s="157">
        <f t="shared" si="186"/>
        <v>6.0464714520169306E-2</v>
      </c>
      <c r="O74" s="155">
        <f t="shared" si="187"/>
        <v>100</v>
      </c>
      <c r="P74" s="250">
        <v>10</v>
      </c>
      <c r="Q74" s="250">
        <v>10000</v>
      </c>
      <c r="R74" s="148">
        <f t="shared" si="188"/>
        <v>0.60464714520169305</v>
      </c>
      <c r="S74" s="148">
        <f t="shared" si="189"/>
        <v>0.60464714520169305</v>
      </c>
      <c r="T74" s="148">
        <f t="shared" si="190"/>
        <v>6.0464714520169313E-2</v>
      </c>
      <c r="U74" s="148">
        <f t="shared" si="191"/>
        <v>60.464714520169309</v>
      </c>
      <c r="V74" s="7">
        <f t="shared" si="192"/>
        <v>10000</v>
      </c>
      <c r="W74" s="7">
        <f t="shared" si="193"/>
        <v>10000000</v>
      </c>
      <c r="X74" s="1345">
        <f t="shared" si="194"/>
        <v>60.464714520169316</v>
      </c>
      <c r="Y74" s="1345">
        <f t="shared" si="195"/>
        <v>60464.714520169306</v>
      </c>
    </row>
    <row r="75" spans="1:25" x14ac:dyDescent="0.2">
      <c r="A75" s="213" t="str">
        <f t="shared" si="174"/>
        <v>NPL</v>
      </c>
      <c r="B75" s="213"/>
      <c r="C75" s="219">
        <f t="shared" si="175"/>
        <v>4630.8</v>
      </c>
      <c r="D75" s="216">
        <f t="shared" si="176"/>
        <v>9.5</v>
      </c>
      <c r="E75" s="219">
        <f t="shared" si="177"/>
        <v>4651.6000000000004</v>
      </c>
      <c r="F75" s="219">
        <f t="shared" si="178"/>
        <v>7</v>
      </c>
      <c r="G75" s="219">
        <f t="shared" si="179"/>
        <v>20.799999999999997</v>
      </c>
      <c r="H75" s="219">
        <f t="shared" si="180"/>
        <v>21.5</v>
      </c>
      <c r="I75" s="155">
        <f t="shared" si="181"/>
        <v>0</v>
      </c>
      <c r="J75" s="155">
        <f t="shared" si="182"/>
        <v>0</v>
      </c>
      <c r="K75" s="155">
        <f t="shared" si="183"/>
        <v>14</v>
      </c>
      <c r="L75" s="155">
        <f t="shared" si="184"/>
        <v>10</v>
      </c>
      <c r="M75" s="156">
        <f t="shared" si="185"/>
        <v>0.30232357260084652</v>
      </c>
      <c r="N75" s="157">
        <f t="shared" si="186"/>
        <v>3.0232357260084653E-2</v>
      </c>
      <c r="O75" s="155">
        <f t="shared" si="187"/>
        <v>100</v>
      </c>
      <c r="P75" s="250">
        <v>10</v>
      </c>
      <c r="Q75" s="250">
        <v>10000</v>
      </c>
      <c r="R75" s="148">
        <f t="shared" si="188"/>
        <v>0.30232357260084652</v>
      </c>
      <c r="S75" s="148">
        <f t="shared" si="189"/>
        <v>0.30232357260084652</v>
      </c>
      <c r="T75" s="148">
        <f t="shared" si="190"/>
        <v>3.0232357260084657E-2</v>
      </c>
      <c r="U75" s="148">
        <f t="shared" si="191"/>
        <v>30.232357260084655</v>
      </c>
      <c r="V75" s="7">
        <f t="shared" si="192"/>
        <v>10000</v>
      </c>
      <c r="W75" s="7">
        <f t="shared" si="193"/>
        <v>10000000</v>
      </c>
      <c r="X75" s="1345">
        <f t="shared" si="194"/>
        <v>30.232357260084658</v>
      </c>
      <c r="Y75" s="1345">
        <f t="shared" si="195"/>
        <v>30232.357260084653</v>
      </c>
    </row>
    <row r="76" spans="1:25" x14ac:dyDescent="0.2">
      <c r="A76" s="213" t="str">
        <f t="shared" si="174"/>
        <v>RISE</v>
      </c>
      <c r="B76" s="213"/>
      <c r="C76" s="219">
        <f t="shared" si="175"/>
        <v>4630.8</v>
      </c>
      <c r="D76" s="216">
        <f t="shared" si="176"/>
        <v>9.5</v>
      </c>
      <c r="E76" s="219">
        <f t="shared" si="177"/>
        <v>4521.2</v>
      </c>
      <c r="F76" s="219">
        <f t="shared" si="178"/>
        <v>60</v>
      </c>
      <c r="G76" s="219">
        <f t="shared" si="179"/>
        <v>-109.6</v>
      </c>
      <c r="H76" s="219">
        <f t="shared" si="180"/>
        <v>114.9</v>
      </c>
      <c r="I76" s="155">
        <f t="shared" si="181"/>
        <v>0</v>
      </c>
      <c r="J76" s="155">
        <f t="shared" si="182"/>
        <v>0</v>
      </c>
      <c r="K76" s="155">
        <f t="shared" si="183"/>
        <v>120</v>
      </c>
      <c r="L76" s="155">
        <f t="shared" si="184"/>
        <v>10</v>
      </c>
      <c r="M76" s="156">
        <f t="shared" si="185"/>
        <v>2.5913449080072559</v>
      </c>
      <c r="N76" s="157">
        <f t="shared" si="186"/>
        <v>0.25913449080072559</v>
      </c>
      <c r="O76" s="155">
        <f t="shared" si="187"/>
        <v>100</v>
      </c>
      <c r="P76" s="250">
        <v>10</v>
      </c>
      <c r="Q76" s="250">
        <v>10000</v>
      </c>
      <c r="R76" s="148">
        <f t="shared" si="188"/>
        <v>2.5913449080072559</v>
      </c>
      <c r="S76" s="148">
        <f t="shared" si="189"/>
        <v>2.5913449080072559</v>
      </c>
      <c r="T76" s="148">
        <f t="shared" si="190"/>
        <v>0.25913449080072559</v>
      </c>
      <c r="U76" s="148">
        <f t="shared" si="191"/>
        <v>259.13449080072559</v>
      </c>
      <c r="V76" s="7">
        <f t="shared" si="192"/>
        <v>10000</v>
      </c>
      <c r="W76" s="7">
        <f t="shared" si="193"/>
        <v>10000000</v>
      </c>
      <c r="X76" s="1345">
        <f t="shared" si="194"/>
        <v>259.13449080072559</v>
      </c>
      <c r="Y76" s="1345">
        <f t="shared" si="195"/>
        <v>259134.49080072559</v>
      </c>
    </row>
    <row r="77" spans="1:25" x14ac:dyDescent="0.2">
      <c r="A77" s="213" t="str">
        <f t="shared" si="174"/>
        <v>SMU</v>
      </c>
      <c r="B77" s="213"/>
      <c r="C77" s="219">
        <f t="shared" si="175"/>
        <v>4630.8</v>
      </c>
      <c r="D77" s="216">
        <f t="shared" si="176"/>
        <v>9.5</v>
      </c>
      <c r="E77" s="219">
        <f t="shared" si="177"/>
        <v>4642.2</v>
      </c>
      <c r="F77" s="219">
        <f t="shared" si="178"/>
        <v>20</v>
      </c>
      <c r="G77" s="219">
        <f t="shared" si="179"/>
        <v>11.4</v>
      </c>
      <c r="H77" s="219">
        <f t="shared" si="180"/>
        <v>35.5</v>
      </c>
      <c r="I77" s="155">
        <f t="shared" si="181"/>
        <v>0</v>
      </c>
      <c r="J77" s="155">
        <f t="shared" si="182"/>
        <v>0</v>
      </c>
      <c r="K77" s="155">
        <f t="shared" si="183"/>
        <v>40</v>
      </c>
      <c r="L77" s="155">
        <f t="shared" si="184"/>
        <v>10</v>
      </c>
      <c r="M77" s="156">
        <f t="shared" si="185"/>
        <v>0.86378163600241853</v>
      </c>
      <c r="N77" s="157">
        <f t="shared" si="186"/>
        <v>8.637816360024185E-2</v>
      </c>
      <c r="O77" s="155">
        <f t="shared" si="187"/>
        <v>100</v>
      </c>
      <c r="P77" s="250">
        <v>10</v>
      </c>
      <c r="Q77" s="250">
        <v>10000</v>
      </c>
      <c r="R77" s="148">
        <f t="shared" si="188"/>
        <v>0.86378163600241853</v>
      </c>
      <c r="S77" s="148">
        <f t="shared" si="189"/>
        <v>0.86378163600241853</v>
      </c>
      <c r="T77" s="148">
        <f t="shared" si="190"/>
        <v>8.637816360024185E-2</v>
      </c>
      <c r="U77" s="148">
        <f t="shared" si="191"/>
        <v>86.378163600241862</v>
      </c>
      <c r="V77" s="7">
        <f t="shared" si="192"/>
        <v>10000</v>
      </c>
      <c r="W77" s="7">
        <f t="shared" si="193"/>
        <v>10000000</v>
      </c>
      <c r="X77" s="1345">
        <f t="shared" si="194"/>
        <v>86.378163600241848</v>
      </c>
      <c r="Y77" s="1345">
        <f t="shared" si="195"/>
        <v>86378.163600241867</v>
      </c>
    </row>
    <row r="78" spans="1:25" x14ac:dyDescent="0.2">
      <c r="A78" s="213" t="str">
        <f t="shared" si="174"/>
        <v>UME</v>
      </c>
      <c r="B78" s="213"/>
      <c r="C78" s="219">
        <f t="shared" si="175"/>
        <v>4630.8</v>
      </c>
      <c r="D78" s="216">
        <f t="shared" si="176"/>
        <v>9.5</v>
      </c>
      <c r="E78" s="219">
        <f t="shared" si="177"/>
        <v>4438.5</v>
      </c>
      <c r="F78" s="219">
        <f t="shared" si="178"/>
        <v>3.4000000000000004</v>
      </c>
      <c r="G78" s="219">
        <f t="shared" si="179"/>
        <v>-192.3</v>
      </c>
      <c r="H78" s="219">
        <f t="shared" si="180"/>
        <v>19.2</v>
      </c>
      <c r="I78" s="155">
        <f t="shared" si="181"/>
        <v>1</v>
      </c>
      <c r="J78" s="155">
        <f t="shared" si="182"/>
        <v>192.30000000000018</v>
      </c>
      <c r="K78" s="155">
        <f t="shared" si="183"/>
        <v>384.66010970725864</v>
      </c>
      <c r="L78" s="155">
        <f t="shared" si="184"/>
        <v>10</v>
      </c>
      <c r="M78" s="156">
        <f t="shared" si="185"/>
        <v>8.3065584716951406</v>
      </c>
      <c r="N78" s="157">
        <f t="shared" si="186"/>
        <v>0.83065584716951402</v>
      </c>
      <c r="O78" s="155">
        <f t="shared" si="187"/>
        <v>100</v>
      </c>
      <c r="P78" s="250">
        <v>10</v>
      </c>
      <c r="Q78" s="250">
        <v>10000</v>
      </c>
      <c r="R78" s="148">
        <f t="shared" si="188"/>
        <v>8.3065584716951406</v>
      </c>
      <c r="S78" s="148">
        <f t="shared" si="189"/>
        <v>8.3065584716951406</v>
      </c>
      <c r="T78" s="148">
        <f t="shared" si="190"/>
        <v>0.83065584716951413</v>
      </c>
      <c r="U78" s="148">
        <f t="shared" si="191"/>
        <v>830.655847169514</v>
      </c>
      <c r="V78" s="7">
        <f t="shared" si="192"/>
        <v>10000</v>
      </c>
      <c r="W78" s="7">
        <f t="shared" si="193"/>
        <v>10000000</v>
      </c>
      <c r="X78" s="1345">
        <f t="shared" si="194"/>
        <v>830.65584716951412</v>
      </c>
      <c r="Y78" s="1345">
        <f t="shared" si="195"/>
        <v>830655.84716951405</v>
      </c>
    </row>
    <row r="79" spans="1:25" x14ac:dyDescent="0.2">
      <c r="A79" s="213" t="str">
        <f t="shared" si="174"/>
        <v>VNIIM</v>
      </c>
      <c r="B79" s="213"/>
      <c r="C79" s="219">
        <f t="shared" si="175"/>
        <v>4630.8</v>
      </c>
      <c r="D79" s="216">
        <f t="shared" si="176"/>
        <v>9.5</v>
      </c>
      <c r="E79" s="219">
        <f t="shared" si="177"/>
        <v>4632</v>
      </c>
      <c r="F79" s="219">
        <f t="shared" si="178"/>
        <v>5.9999999999999991</v>
      </c>
      <c r="G79" s="219">
        <f t="shared" si="179"/>
        <v>1.2999999999999998</v>
      </c>
      <c r="H79" s="219">
        <f t="shared" si="180"/>
        <v>18.8</v>
      </c>
      <c r="I79" s="155">
        <f t="shared" si="181"/>
        <v>0</v>
      </c>
      <c r="J79" s="155">
        <f t="shared" si="182"/>
        <v>0</v>
      </c>
      <c r="K79" s="155">
        <f t="shared" si="183"/>
        <v>11.999999999999998</v>
      </c>
      <c r="L79" s="155">
        <f t="shared" si="184"/>
        <v>10</v>
      </c>
      <c r="M79" s="156">
        <f t="shared" si="185"/>
        <v>0.25913449080072548</v>
      </c>
      <c r="N79" s="157">
        <f t="shared" si="186"/>
        <v>2.5913449080072547E-2</v>
      </c>
      <c r="O79" s="155">
        <f t="shared" si="187"/>
        <v>100</v>
      </c>
      <c r="P79" s="250">
        <v>10</v>
      </c>
      <c r="Q79" s="250">
        <v>10000</v>
      </c>
      <c r="R79" s="148">
        <f t="shared" si="188"/>
        <v>0.25913449080072548</v>
      </c>
      <c r="S79" s="148">
        <f t="shared" si="189"/>
        <v>0.25913449080072548</v>
      </c>
      <c r="T79" s="148">
        <f t="shared" si="190"/>
        <v>2.5913449080072547E-2</v>
      </c>
      <c r="U79" s="148">
        <f t="shared" si="191"/>
        <v>25.913449080072546</v>
      </c>
      <c r="V79" s="7">
        <f t="shared" si="192"/>
        <v>10000</v>
      </c>
      <c r="W79" s="7">
        <f t="shared" si="193"/>
        <v>10000000</v>
      </c>
      <c r="X79" s="1345">
        <f t="shared" si="194"/>
        <v>25.913449080072546</v>
      </c>
      <c r="Y79" s="1345">
        <f t="shared" si="195"/>
        <v>25913.449080072547</v>
      </c>
    </row>
    <row r="80" spans="1:25" x14ac:dyDescent="0.2">
      <c r="A80" s="213" t="str">
        <f t="shared" si="174"/>
        <v>VSL</v>
      </c>
      <c r="B80" s="213"/>
      <c r="C80" s="219">
        <f t="shared" si="175"/>
        <v>4630.8</v>
      </c>
      <c r="D80" s="216">
        <f t="shared" si="176"/>
        <v>9.5</v>
      </c>
      <c r="E80" s="219">
        <f t="shared" si="177"/>
        <v>4659.0999999999995</v>
      </c>
      <c r="F80" s="219">
        <f t="shared" si="178"/>
        <v>9.5</v>
      </c>
      <c r="G80" s="219">
        <f t="shared" si="179"/>
        <v>28.3</v>
      </c>
      <c r="H80" s="219">
        <f t="shared" si="180"/>
        <v>25.400000000000002</v>
      </c>
      <c r="I80" s="155">
        <f t="shared" si="181"/>
        <v>1</v>
      </c>
      <c r="J80" s="155">
        <f t="shared" si="182"/>
        <v>28.299999999999272</v>
      </c>
      <c r="K80" s="155">
        <f t="shared" si="183"/>
        <v>59.703936218643371</v>
      </c>
      <c r="L80" s="155">
        <f t="shared" si="184"/>
        <v>10</v>
      </c>
      <c r="M80" s="156">
        <f t="shared" si="185"/>
        <v>1.2892790925680955</v>
      </c>
      <c r="N80" s="157">
        <f t="shared" si="186"/>
        <v>0.12892790925680955</v>
      </c>
      <c r="O80" s="155">
        <f t="shared" si="187"/>
        <v>100</v>
      </c>
      <c r="P80" s="250">
        <v>10</v>
      </c>
      <c r="Q80" s="250">
        <v>10000</v>
      </c>
      <c r="R80" s="148">
        <f t="shared" si="188"/>
        <v>1.2892790925680955</v>
      </c>
      <c r="S80" s="148">
        <f t="shared" si="189"/>
        <v>1.2892790925680955</v>
      </c>
      <c r="T80" s="148">
        <f t="shared" si="190"/>
        <v>0.12892790925680955</v>
      </c>
      <c r="U80" s="148">
        <f t="shared" si="191"/>
        <v>128.92790925680956</v>
      </c>
      <c r="V80" s="7">
        <f t="shared" si="192"/>
        <v>10000</v>
      </c>
      <c r="W80" s="7">
        <f t="shared" si="193"/>
        <v>10000000</v>
      </c>
      <c r="X80" s="1345">
        <f t="shared" si="194"/>
        <v>128.92790925680956</v>
      </c>
      <c r="Y80" s="1345">
        <f t="shared" si="195"/>
        <v>128927.90925680955</v>
      </c>
    </row>
    <row r="81" spans="1:25" x14ac:dyDescent="0.2">
      <c r="A81" s="445"/>
      <c r="B81" s="445"/>
      <c r="C81" s="1130"/>
      <c r="D81" s="1131"/>
      <c r="E81" s="1130"/>
      <c r="F81" s="1130"/>
      <c r="G81" s="1130"/>
      <c r="H81" s="1130"/>
      <c r="I81" s="446"/>
      <c r="J81" s="446"/>
      <c r="K81" s="446"/>
      <c r="L81" s="446"/>
      <c r="M81" s="447"/>
      <c r="N81" s="448"/>
      <c r="O81" s="446"/>
      <c r="P81" s="1228"/>
      <c r="Q81" s="1228"/>
      <c r="R81" s="959"/>
      <c r="S81" s="959"/>
      <c r="T81" s="449"/>
      <c r="U81" s="449"/>
      <c r="V81" s="450"/>
      <c r="W81" s="450"/>
      <c r="X81" s="451"/>
      <c r="Y81" s="452"/>
    </row>
    <row r="82" spans="1:25" ht="15.75" x14ac:dyDescent="0.2">
      <c r="A82" s="103" t="s">
        <v>1248</v>
      </c>
      <c r="B82" s="97"/>
      <c r="C82" s="97"/>
      <c r="D82" s="97"/>
      <c r="E82" s="97"/>
      <c r="F82" s="97"/>
      <c r="G82" s="97"/>
      <c r="H82" s="97"/>
      <c r="I82" s="113"/>
      <c r="J82" s="113"/>
      <c r="K82" s="113"/>
      <c r="L82" s="113"/>
      <c r="M82" s="113"/>
      <c r="N82" s="113"/>
      <c r="O82" s="113"/>
      <c r="R82" s="113"/>
      <c r="S82" s="113"/>
      <c r="T82" s="146"/>
      <c r="U82" s="146"/>
    </row>
    <row r="83" spans="1:25" ht="89.25" x14ac:dyDescent="0.2">
      <c r="A83" s="211" t="s">
        <v>0</v>
      </c>
      <c r="B83" s="212" t="s">
        <v>1</v>
      </c>
      <c r="C83" s="212" t="s">
        <v>133</v>
      </c>
      <c r="D83" s="212" t="s">
        <v>199</v>
      </c>
      <c r="E83" s="212" t="s">
        <v>135</v>
      </c>
      <c r="F83" s="212" t="s">
        <v>200</v>
      </c>
      <c r="G83" s="212" t="s">
        <v>137</v>
      </c>
      <c r="H83" s="212" t="s">
        <v>201</v>
      </c>
      <c r="I83" s="104" t="s">
        <v>8</v>
      </c>
      <c r="J83" s="104" t="s">
        <v>9</v>
      </c>
      <c r="K83" s="104" t="s">
        <v>107</v>
      </c>
      <c r="L83" s="104" t="s">
        <v>14</v>
      </c>
      <c r="M83" s="104" t="s">
        <v>1057</v>
      </c>
      <c r="N83" s="104" t="s">
        <v>1058</v>
      </c>
      <c r="O83" s="104" t="s">
        <v>100</v>
      </c>
      <c r="P83" s="6" t="s">
        <v>105</v>
      </c>
      <c r="Q83" s="6" t="s">
        <v>106</v>
      </c>
      <c r="R83" s="104" t="s">
        <v>1051</v>
      </c>
      <c r="S83" s="104" t="s">
        <v>1052</v>
      </c>
      <c r="T83" s="147" t="s">
        <v>1053</v>
      </c>
      <c r="U83" s="147" t="s">
        <v>1054</v>
      </c>
      <c r="V83" s="5" t="s">
        <v>101</v>
      </c>
      <c r="W83" s="5" t="s">
        <v>102</v>
      </c>
      <c r="X83" s="112" t="s">
        <v>1055</v>
      </c>
      <c r="Y83" s="112" t="s">
        <v>1056</v>
      </c>
    </row>
    <row r="84" spans="1:25" x14ac:dyDescent="0.2">
      <c r="A84" s="213" t="str">
        <f>A191</f>
        <v>BFKH</v>
      </c>
      <c r="B84" s="213"/>
      <c r="C84" s="219">
        <f>$D$120*10000</f>
        <v>621.29999999999995</v>
      </c>
      <c r="D84" s="216">
        <f>$E$120*10000</f>
        <v>0.6</v>
      </c>
      <c r="E84" s="1275">
        <f>B191</f>
        <v>622.79999999999995</v>
      </c>
      <c r="F84" s="1275">
        <f>C191</f>
        <v>4</v>
      </c>
      <c r="G84" s="1275">
        <f>D191</f>
        <v>1.5</v>
      </c>
      <c r="H84" s="1275">
        <f>F191</f>
        <v>7.7</v>
      </c>
      <c r="I84" s="155">
        <f t="shared" si="0"/>
        <v>0</v>
      </c>
      <c r="J84" s="155">
        <f t="shared" si="1"/>
        <v>0</v>
      </c>
      <c r="K84" s="155">
        <f t="shared" si="2"/>
        <v>8</v>
      </c>
      <c r="L84" s="155">
        <f t="shared" si="3"/>
        <v>10</v>
      </c>
      <c r="M84" s="156">
        <f t="shared" si="4"/>
        <v>1.2876227265411235</v>
      </c>
      <c r="N84" s="157">
        <f t="shared" si="5"/>
        <v>0.12876227265411233</v>
      </c>
      <c r="O84" s="155">
        <f t="shared" si="6"/>
        <v>100</v>
      </c>
      <c r="P84" s="250">
        <v>10</v>
      </c>
      <c r="Q84" s="250">
        <v>10000</v>
      </c>
      <c r="R84" s="148">
        <f t="shared" si="94"/>
        <v>1.2876227265411235</v>
      </c>
      <c r="S84" s="148">
        <f t="shared" si="95"/>
        <v>1.2876227265411235</v>
      </c>
      <c r="T84" s="148">
        <f t="shared" si="96"/>
        <v>0.12876227265411236</v>
      </c>
      <c r="U84" s="148">
        <f t="shared" si="96"/>
        <v>128.76227265411234</v>
      </c>
      <c r="V84" s="7">
        <f t="shared" si="97"/>
        <v>10000</v>
      </c>
      <c r="W84" s="7">
        <f t="shared" si="97"/>
        <v>10000000</v>
      </c>
      <c r="X84" s="1345">
        <f t="shared" si="98"/>
        <v>128.76227265411237</v>
      </c>
      <c r="Y84" s="1345">
        <f t="shared" si="98"/>
        <v>128762.27265411234</v>
      </c>
    </row>
    <row r="85" spans="1:25" x14ac:dyDescent="0.2">
      <c r="A85" s="213" t="str">
        <f t="shared" ref="A85:A93" si="196">A192</f>
        <v>CEM</v>
      </c>
      <c r="B85" s="213"/>
      <c r="C85" s="219">
        <f t="shared" ref="C85:C93" si="197">$D$120*10000</f>
        <v>621.29999999999995</v>
      </c>
      <c r="D85" s="216">
        <f t="shared" ref="D85:D93" si="198">$E$120*10000</f>
        <v>0.6</v>
      </c>
      <c r="E85" s="1275">
        <f t="shared" ref="E85:E93" si="199">B192</f>
        <v>621.1</v>
      </c>
      <c r="F85" s="1275">
        <f t="shared" ref="F85:F93" si="200">C192</f>
        <v>0.6</v>
      </c>
      <c r="G85" s="1275">
        <f t="shared" ref="G85:G93" si="201">D192</f>
        <v>-0.1</v>
      </c>
      <c r="H85" s="1275">
        <f t="shared" ref="H85:H93" si="202">F192</f>
        <v>1.5</v>
      </c>
      <c r="I85" s="155">
        <f t="shared" ref="I85:I93" si="203">IF(ABS(G85)&gt;ABS(H85), 1, 0)</f>
        <v>0</v>
      </c>
      <c r="J85" s="155">
        <f t="shared" ref="J85:J93" si="204">I85*ABS(C85-E85)</f>
        <v>0</v>
      </c>
      <c r="K85" s="155">
        <f t="shared" ref="K85:K93" si="205">SQRT(SUMSQ(F85,J85))*2</f>
        <v>1.2</v>
      </c>
      <c r="L85" s="155">
        <f t="shared" ref="L85:L93" si="206">IF(C85&lt;$K$2, C85, $K$1)</f>
        <v>10</v>
      </c>
      <c r="M85" s="156">
        <f t="shared" ref="M85:M93" si="207">IF(AND(C85&lt;$K$1,C85&gt; $K$2), K85/L85*100, K85/C85*100)</f>
        <v>0.19314340898116852</v>
      </c>
      <c r="N85" s="157">
        <f t="shared" ref="N85:N93" si="208">M85*L85/100</f>
        <v>1.9314340898116854E-2</v>
      </c>
      <c r="O85" s="155">
        <f t="shared" ref="O85:O93" si="209">N85/(M85*L85/100)*100</f>
        <v>100</v>
      </c>
      <c r="P85" s="250">
        <v>10</v>
      </c>
      <c r="Q85" s="250">
        <v>10000</v>
      </c>
      <c r="R85" s="148">
        <f t="shared" ref="R85:R93" si="210">IF( IF(P85&lt;L85, M85*L85/P85, M85)&gt;100, "ERROR",  IF(P85&lt;L85, M85*L85/P85, M85))</f>
        <v>0.19314340898116852</v>
      </c>
      <c r="S85" s="148">
        <f t="shared" ref="S85:S93" si="211">IF(IF(Q85&lt;L85, M85*L85/Q85, M85)&gt;100, "ERROR", IF(Q85&lt;L85, M85*L85/Q85, M85))</f>
        <v>0.19314340898116852</v>
      </c>
      <c r="T85" s="148">
        <f t="shared" ref="T85:T93" si="212">R85*P85*0.01</f>
        <v>1.9314340898116854E-2</v>
      </c>
      <c r="U85" s="148">
        <f t="shared" ref="U85:U93" si="213">S85*Q85*0.01</f>
        <v>19.314340898116853</v>
      </c>
      <c r="V85" s="7">
        <f t="shared" ref="V85:V93" si="214">P85*1000</f>
        <v>10000</v>
      </c>
      <c r="W85" s="7">
        <f t="shared" ref="W85:W93" si="215">Q85*1000</f>
        <v>10000000</v>
      </c>
      <c r="X85" s="1345">
        <f t="shared" ref="X85:X93" si="216">T85*1000</f>
        <v>19.314340898116853</v>
      </c>
      <c r="Y85" s="1345">
        <f t="shared" ref="Y85:Y93" si="217">U85*1000</f>
        <v>19314.340898116854</v>
      </c>
    </row>
    <row r="86" spans="1:25" x14ac:dyDescent="0.2">
      <c r="A86" s="213" t="str">
        <f t="shared" si="196"/>
        <v>CMI</v>
      </c>
      <c r="B86" s="213"/>
      <c r="C86" s="219">
        <f t="shared" si="197"/>
        <v>621.29999999999995</v>
      </c>
      <c r="D86" s="216">
        <f t="shared" si="198"/>
        <v>0.6</v>
      </c>
      <c r="E86" s="1275">
        <f t="shared" si="199"/>
        <v>608.79999999999995</v>
      </c>
      <c r="F86" s="1275">
        <f t="shared" si="200"/>
        <v>30</v>
      </c>
      <c r="G86" s="1275">
        <f t="shared" si="201"/>
        <v>-12.4</v>
      </c>
      <c r="H86" s="1275">
        <f t="shared" si="202"/>
        <v>58.6</v>
      </c>
      <c r="I86" s="155">
        <f t="shared" si="203"/>
        <v>0</v>
      </c>
      <c r="J86" s="155">
        <f t="shared" si="204"/>
        <v>0</v>
      </c>
      <c r="K86" s="155">
        <f t="shared" si="205"/>
        <v>60</v>
      </c>
      <c r="L86" s="155">
        <f t="shared" si="206"/>
        <v>10</v>
      </c>
      <c r="M86" s="156">
        <f t="shared" si="207"/>
        <v>9.6571704490584267</v>
      </c>
      <c r="N86" s="157">
        <f t="shared" si="208"/>
        <v>0.96571704490584265</v>
      </c>
      <c r="O86" s="155">
        <f t="shared" si="209"/>
        <v>100</v>
      </c>
      <c r="P86" s="250">
        <v>10</v>
      </c>
      <c r="Q86" s="250">
        <v>10000</v>
      </c>
      <c r="R86" s="148">
        <f t="shared" si="210"/>
        <v>9.6571704490584267</v>
      </c>
      <c r="S86" s="148">
        <f t="shared" si="211"/>
        <v>9.6571704490584267</v>
      </c>
      <c r="T86" s="148">
        <f t="shared" si="212"/>
        <v>0.96571704490584265</v>
      </c>
      <c r="U86" s="148">
        <f t="shared" si="213"/>
        <v>965.71704490584261</v>
      </c>
      <c r="V86" s="7">
        <f t="shared" si="214"/>
        <v>10000</v>
      </c>
      <c r="W86" s="7">
        <f t="shared" si="215"/>
        <v>10000000</v>
      </c>
      <c r="X86" s="1345">
        <f t="shared" si="216"/>
        <v>965.71704490584261</v>
      </c>
      <c r="Y86" s="1345">
        <f t="shared" si="217"/>
        <v>965717.04490584263</v>
      </c>
    </row>
    <row r="87" spans="1:25" x14ac:dyDescent="0.2">
      <c r="A87" s="213" t="str">
        <f t="shared" si="196"/>
        <v>INMETRO</v>
      </c>
      <c r="B87" s="213"/>
      <c r="C87" s="219">
        <f t="shared" si="197"/>
        <v>621.29999999999995</v>
      </c>
      <c r="D87" s="216">
        <f t="shared" si="198"/>
        <v>0.6</v>
      </c>
      <c r="E87" s="1275">
        <f t="shared" si="199"/>
        <v>621.4</v>
      </c>
      <c r="F87" s="1275">
        <f t="shared" si="200"/>
        <v>1.2</v>
      </c>
      <c r="G87" s="1275">
        <f t="shared" si="201"/>
        <v>0.1</v>
      </c>
      <c r="H87" s="1275">
        <f t="shared" si="202"/>
        <v>2.4</v>
      </c>
      <c r="I87" s="155">
        <f t="shared" si="203"/>
        <v>0</v>
      </c>
      <c r="J87" s="155">
        <f t="shared" si="204"/>
        <v>0</v>
      </c>
      <c r="K87" s="155">
        <f t="shared" si="205"/>
        <v>2.4</v>
      </c>
      <c r="L87" s="155">
        <f t="shared" si="206"/>
        <v>10</v>
      </c>
      <c r="M87" s="156">
        <f t="shared" si="207"/>
        <v>0.38628681796233705</v>
      </c>
      <c r="N87" s="157">
        <f t="shared" si="208"/>
        <v>3.8628681796233709E-2</v>
      </c>
      <c r="O87" s="155">
        <f t="shared" si="209"/>
        <v>100</v>
      </c>
      <c r="P87" s="250">
        <v>10</v>
      </c>
      <c r="Q87" s="250">
        <v>10000</v>
      </c>
      <c r="R87" s="148">
        <f t="shared" si="210"/>
        <v>0.38628681796233705</v>
      </c>
      <c r="S87" s="148">
        <f t="shared" si="211"/>
        <v>0.38628681796233705</v>
      </c>
      <c r="T87" s="148">
        <f t="shared" si="212"/>
        <v>3.8628681796233709E-2</v>
      </c>
      <c r="U87" s="148">
        <f t="shared" si="213"/>
        <v>38.628681796233707</v>
      </c>
      <c r="V87" s="7">
        <f t="shared" si="214"/>
        <v>10000</v>
      </c>
      <c r="W87" s="7">
        <f t="shared" si="215"/>
        <v>10000000</v>
      </c>
      <c r="X87" s="1345">
        <f t="shared" si="216"/>
        <v>38.628681796233707</v>
      </c>
      <c r="Y87" s="1345">
        <f t="shared" si="217"/>
        <v>38628.681796233708</v>
      </c>
    </row>
    <row r="88" spans="1:25" x14ac:dyDescent="0.2">
      <c r="A88" s="213" t="str">
        <f t="shared" si="196"/>
        <v>NPL</v>
      </c>
      <c r="B88" s="213"/>
      <c r="C88" s="219">
        <f t="shared" si="197"/>
        <v>621.29999999999995</v>
      </c>
      <c r="D88" s="216">
        <f t="shared" si="198"/>
        <v>0.6</v>
      </c>
      <c r="E88" s="1275">
        <f t="shared" si="199"/>
        <v>620.70000000000005</v>
      </c>
      <c r="F88" s="1275">
        <f t="shared" si="200"/>
        <v>1.3</v>
      </c>
      <c r="G88" s="1275">
        <f t="shared" si="201"/>
        <v>-0.6</v>
      </c>
      <c r="H88" s="1275">
        <f t="shared" si="202"/>
        <v>2.5</v>
      </c>
      <c r="I88" s="155">
        <f t="shared" si="203"/>
        <v>0</v>
      </c>
      <c r="J88" s="155">
        <f t="shared" si="204"/>
        <v>0</v>
      </c>
      <c r="K88" s="155">
        <f t="shared" si="205"/>
        <v>2.6</v>
      </c>
      <c r="L88" s="155">
        <f t="shared" si="206"/>
        <v>10</v>
      </c>
      <c r="M88" s="156">
        <f t="shared" si="207"/>
        <v>0.41847738612586516</v>
      </c>
      <c r="N88" s="157">
        <f t="shared" si="208"/>
        <v>4.1847738612586519E-2</v>
      </c>
      <c r="O88" s="155">
        <f t="shared" si="209"/>
        <v>100</v>
      </c>
      <c r="P88" s="250">
        <v>10</v>
      </c>
      <c r="Q88" s="250">
        <v>10000</v>
      </c>
      <c r="R88" s="148">
        <f t="shared" si="210"/>
        <v>0.41847738612586516</v>
      </c>
      <c r="S88" s="148">
        <f t="shared" si="211"/>
        <v>0.41847738612586516</v>
      </c>
      <c r="T88" s="148">
        <f t="shared" si="212"/>
        <v>4.1847738612586519E-2</v>
      </c>
      <c r="U88" s="148">
        <f t="shared" si="213"/>
        <v>41.847738612586518</v>
      </c>
      <c r="V88" s="7">
        <f t="shared" si="214"/>
        <v>10000</v>
      </c>
      <c r="W88" s="7">
        <f t="shared" si="215"/>
        <v>10000000</v>
      </c>
      <c r="X88" s="1345">
        <f t="shared" si="216"/>
        <v>41.847738612586518</v>
      </c>
      <c r="Y88" s="1345">
        <f t="shared" si="217"/>
        <v>41847.738612586516</v>
      </c>
    </row>
    <row r="89" spans="1:25" x14ac:dyDescent="0.2">
      <c r="A89" s="213" t="str">
        <f t="shared" si="196"/>
        <v>RISE</v>
      </c>
      <c r="B89" s="213"/>
      <c r="C89" s="219">
        <f t="shared" si="197"/>
        <v>621.29999999999995</v>
      </c>
      <c r="D89" s="216">
        <f t="shared" si="198"/>
        <v>0.6</v>
      </c>
      <c r="E89" s="1275">
        <f t="shared" si="199"/>
        <v>669.4</v>
      </c>
      <c r="F89" s="1275">
        <f t="shared" si="200"/>
        <v>17.5</v>
      </c>
      <c r="G89" s="1275">
        <f t="shared" si="201"/>
        <v>48.2</v>
      </c>
      <c r="H89" s="1275">
        <f t="shared" si="202"/>
        <v>34.4</v>
      </c>
      <c r="I89" s="155">
        <f t="shared" si="203"/>
        <v>1</v>
      </c>
      <c r="J89" s="155">
        <f t="shared" si="204"/>
        <v>48.100000000000023</v>
      </c>
      <c r="K89" s="155">
        <f t="shared" si="205"/>
        <v>102.36913597369087</v>
      </c>
      <c r="L89" s="155">
        <f t="shared" si="206"/>
        <v>10</v>
      </c>
      <c r="M89" s="156">
        <f t="shared" si="207"/>
        <v>16.476603247012857</v>
      </c>
      <c r="N89" s="157">
        <f t="shared" si="208"/>
        <v>1.6476603247012858</v>
      </c>
      <c r="O89" s="155">
        <f t="shared" si="209"/>
        <v>100</v>
      </c>
      <c r="P89" s="250">
        <v>10</v>
      </c>
      <c r="Q89" s="250">
        <v>10000</v>
      </c>
      <c r="R89" s="148">
        <f t="shared" si="210"/>
        <v>16.476603247012857</v>
      </c>
      <c r="S89" s="148">
        <f t="shared" si="211"/>
        <v>16.476603247012857</v>
      </c>
      <c r="T89" s="148">
        <f t="shared" si="212"/>
        <v>1.6476603247012858</v>
      </c>
      <c r="U89" s="148">
        <f t="shared" si="213"/>
        <v>1647.6603247012856</v>
      </c>
      <c r="V89" s="7">
        <f t="shared" si="214"/>
        <v>10000</v>
      </c>
      <c r="W89" s="7">
        <f t="shared" si="215"/>
        <v>10000000</v>
      </c>
      <c r="X89" s="1345">
        <f t="shared" si="216"/>
        <v>1647.6603247012858</v>
      </c>
      <c r="Y89" s="1345">
        <f t="shared" si="217"/>
        <v>1647660.3247012857</v>
      </c>
    </row>
    <row r="90" spans="1:25" x14ac:dyDescent="0.2">
      <c r="A90" s="213" t="str">
        <f t="shared" si="196"/>
        <v>SMU</v>
      </c>
      <c r="B90" s="213"/>
      <c r="C90" s="219">
        <f t="shared" si="197"/>
        <v>621.29999999999995</v>
      </c>
      <c r="D90" s="216">
        <f t="shared" si="198"/>
        <v>0.6</v>
      </c>
      <c r="E90" s="1275">
        <f t="shared" si="199"/>
        <v>620.9</v>
      </c>
      <c r="F90" s="1275">
        <f t="shared" si="200"/>
        <v>2.6</v>
      </c>
      <c r="G90" s="1275">
        <f t="shared" si="201"/>
        <v>-0.3</v>
      </c>
      <c r="H90" s="1275">
        <f t="shared" si="202"/>
        <v>4.9000000000000004</v>
      </c>
      <c r="I90" s="155">
        <f t="shared" si="203"/>
        <v>0</v>
      </c>
      <c r="J90" s="155">
        <f t="shared" si="204"/>
        <v>0</v>
      </c>
      <c r="K90" s="155">
        <f t="shared" si="205"/>
        <v>5.2</v>
      </c>
      <c r="L90" s="155">
        <f t="shared" si="206"/>
        <v>10</v>
      </c>
      <c r="M90" s="156">
        <f t="shared" si="207"/>
        <v>0.83695477225173032</v>
      </c>
      <c r="N90" s="157">
        <f t="shared" si="208"/>
        <v>8.3695477225173037E-2</v>
      </c>
      <c r="O90" s="155">
        <f t="shared" si="209"/>
        <v>100</v>
      </c>
      <c r="P90" s="250">
        <v>10</v>
      </c>
      <c r="Q90" s="250">
        <v>10000</v>
      </c>
      <c r="R90" s="148">
        <f t="shared" si="210"/>
        <v>0.83695477225173032</v>
      </c>
      <c r="S90" s="148">
        <f t="shared" si="211"/>
        <v>0.83695477225173032</v>
      </c>
      <c r="T90" s="148">
        <f t="shared" si="212"/>
        <v>8.3695477225173037E-2</v>
      </c>
      <c r="U90" s="148">
        <f t="shared" si="213"/>
        <v>83.695477225173036</v>
      </c>
      <c r="V90" s="7">
        <f t="shared" si="214"/>
        <v>10000</v>
      </c>
      <c r="W90" s="7">
        <f t="shared" si="215"/>
        <v>10000000</v>
      </c>
      <c r="X90" s="1345">
        <f t="shared" si="216"/>
        <v>83.695477225173036</v>
      </c>
      <c r="Y90" s="1345">
        <f t="shared" si="217"/>
        <v>83695.477225173032</v>
      </c>
    </row>
    <row r="91" spans="1:25" x14ac:dyDescent="0.2">
      <c r="A91" s="213" t="str">
        <f t="shared" si="196"/>
        <v>UME</v>
      </c>
      <c r="B91" s="213"/>
      <c r="C91" s="219">
        <f t="shared" si="197"/>
        <v>621.29999999999995</v>
      </c>
      <c r="D91" s="216">
        <f t="shared" si="198"/>
        <v>0.6</v>
      </c>
      <c r="E91" s="1275">
        <f t="shared" si="199"/>
        <v>620.29999999999995</v>
      </c>
      <c r="F91" s="1275">
        <f t="shared" si="200"/>
        <v>1.7</v>
      </c>
      <c r="G91" s="1275">
        <f t="shared" si="201"/>
        <v>-0.9</v>
      </c>
      <c r="H91" s="1275">
        <f t="shared" si="202"/>
        <v>3.3</v>
      </c>
      <c r="I91" s="155">
        <f t="shared" si="203"/>
        <v>0</v>
      </c>
      <c r="J91" s="155">
        <f t="shared" si="204"/>
        <v>0</v>
      </c>
      <c r="K91" s="155">
        <f t="shared" si="205"/>
        <v>3.4</v>
      </c>
      <c r="L91" s="155">
        <f t="shared" si="206"/>
        <v>10</v>
      </c>
      <c r="M91" s="156">
        <f t="shared" si="207"/>
        <v>0.54723965877997749</v>
      </c>
      <c r="N91" s="157">
        <f t="shared" si="208"/>
        <v>5.472396587799775E-2</v>
      </c>
      <c r="O91" s="155">
        <f t="shared" si="209"/>
        <v>100</v>
      </c>
      <c r="P91" s="250">
        <v>10</v>
      </c>
      <c r="Q91" s="250">
        <v>10000</v>
      </c>
      <c r="R91" s="148">
        <f t="shared" si="210"/>
        <v>0.54723965877997749</v>
      </c>
      <c r="S91" s="148">
        <f t="shared" si="211"/>
        <v>0.54723965877997749</v>
      </c>
      <c r="T91" s="148">
        <f t="shared" si="212"/>
        <v>5.472396587799775E-2</v>
      </c>
      <c r="U91" s="148">
        <f t="shared" si="213"/>
        <v>54.723965877997756</v>
      </c>
      <c r="V91" s="7">
        <f t="shared" si="214"/>
        <v>10000</v>
      </c>
      <c r="W91" s="7">
        <f t="shared" si="215"/>
        <v>10000000</v>
      </c>
      <c r="X91" s="1345">
        <f t="shared" si="216"/>
        <v>54.723965877997749</v>
      </c>
      <c r="Y91" s="1345">
        <f t="shared" si="217"/>
        <v>54723.965877997754</v>
      </c>
    </row>
    <row r="92" spans="1:25" x14ac:dyDescent="0.2">
      <c r="A92" s="213" t="str">
        <f t="shared" si="196"/>
        <v>VNIIM</v>
      </c>
      <c r="B92" s="213"/>
      <c r="C92" s="219">
        <f t="shared" si="197"/>
        <v>621.29999999999995</v>
      </c>
      <c r="D92" s="216">
        <f t="shared" si="198"/>
        <v>0.6</v>
      </c>
      <c r="E92" s="1275">
        <f t="shared" si="199"/>
        <v>619.79999999999995</v>
      </c>
      <c r="F92" s="1275">
        <f t="shared" si="200"/>
        <v>0.9</v>
      </c>
      <c r="G92" s="1275">
        <f t="shared" si="201"/>
        <v>-1.4</v>
      </c>
      <c r="H92" s="1275">
        <f t="shared" si="202"/>
        <v>1.9</v>
      </c>
      <c r="I92" s="155">
        <f t="shared" si="203"/>
        <v>0</v>
      </c>
      <c r="J92" s="155">
        <f t="shared" si="204"/>
        <v>0</v>
      </c>
      <c r="K92" s="155">
        <f t="shared" si="205"/>
        <v>1.8</v>
      </c>
      <c r="L92" s="155">
        <f t="shared" si="206"/>
        <v>10</v>
      </c>
      <c r="M92" s="156">
        <f t="shared" si="207"/>
        <v>0.28971511347175283</v>
      </c>
      <c r="N92" s="157">
        <f t="shared" si="208"/>
        <v>2.8971511347175283E-2</v>
      </c>
      <c r="O92" s="155">
        <f t="shared" si="209"/>
        <v>100</v>
      </c>
      <c r="P92" s="250">
        <v>10</v>
      </c>
      <c r="Q92" s="250">
        <v>10000</v>
      </c>
      <c r="R92" s="148">
        <f t="shared" si="210"/>
        <v>0.28971511347175283</v>
      </c>
      <c r="S92" s="148">
        <f t="shared" si="211"/>
        <v>0.28971511347175283</v>
      </c>
      <c r="T92" s="148">
        <f t="shared" si="212"/>
        <v>2.8971511347175283E-2</v>
      </c>
      <c r="U92" s="148">
        <f t="shared" si="213"/>
        <v>28.971511347175284</v>
      </c>
      <c r="V92" s="7">
        <f t="shared" si="214"/>
        <v>10000</v>
      </c>
      <c r="W92" s="7">
        <f t="shared" si="215"/>
        <v>10000000</v>
      </c>
      <c r="X92" s="1345">
        <f t="shared" si="216"/>
        <v>28.971511347175284</v>
      </c>
      <c r="Y92" s="1345">
        <f t="shared" si="217"/>
        <v>28971.511347175285</v>
      </c>
    </row>
    <row r="93" spans="1:25" x14ac:dyDescent="0.2">
      <c r="A93" s="213" t="str">
        <f t="shared" si="196"/>
        <v>VSL</v>
      </c>
      <c r="B93" s="213"/>
      <c r="C93" s="219">
        <f t="shared" si="197"/>
        <v>621.29999999999995</v>
      </c>
      <c r="D93" s="216">
        <f t="shared" si="198"/>
        <v>0.6</v>
      </c>
      <c r="E93" s="1275">
        <f t="shared" si="199"/>
        <v>622.4</v>
      </c>
      <c r="F93" s="1275">
        <f t="shared" si="200"/>
        <v>0.7</v>
      </c>
      <c r="G93" s="1275">
        <f t="shared" si="201"/>
        <v>1.1000000000000001</v>
      </c>
      <c r="H93" s="1275">
        <f t="shared" si="202"/>
        <v>1.6</v>
      </c>
      <c r="I93" s="155">
        <f t="shared" si="203"/>
        <v>0</v>
      </c>
      <c r="J93" s="155">
        <f t="shared" si="204"/>
        <v>0</v>
      </c>
      <c r="K93" s="155">
        <f t="shared" si="205"/>
        <v>1.4</v>
      </c>
      <c r="L93" s="155">
        <f t="shared" si="206"/>
        <v>10</v>
      </c>
      <c r="M93" s="156">
        <f t="shared" si="207"/>
        <v>0.22533397714469663</v>
      </c>
      <c r="N93" s="157">
        <f t="shared" si="208"/>
        <v>2.2533397714469664E-2</v>
      </c>
      <c r="O93" s="155">
        <f t="shared" si="209"/>
        <v>100</v>
      </c>
      <c r="P93" s="250">
        <v>10</v>
      </c>
      <c r="Q93" s="250">
        <v>10000</v>
      </c>
      <c r="R93" s="148">
        <f t="shared" si="210"/>
        <v>0.22533397714469663</v>
      </c>
      <c r="S93" s="148">
        <f t="shared" si="211"/>
        <v>0.22533397714469663</v>
      </c>
      <c r="T93" s="148">
        <f t="shared" si="212"/>
        <v>2.2533397714469664E-2</v>
      </c>
      <c r="U93" s="148">
        <f t="shared" si="213"/>
        <v>22.533397714469665</v>
      </c>
      <c r="V93" s="7">
        <f t="shared" si="214"/>
        <v>10000</v>
      </c>
      <c r="W93" s="7">
        <f t="shared" si="215"/>
        <v>10000000</v>
      </c>
      <c r="X93" s="1345">
        <f t="shared" si="216"/>
        <v>22.533397714469665</v>
      </c>
      <c r="Y93" s="1345">
        <f t="shared" si="217"/>
        <v>22533.397714469666</v>
      </c>
    </row>
    <row r="94" spans="1:25" x14ac:dyDescent="0.2">
      <c r="A94" s="445"/>
      <c r="B94" s="445"/>
      <c r="C94" s="1130"/>
      <c r="D94" s="1131"/>
      <c r="E94" s="1130"/>
      <c r="F94" s="1130"/>
      <c r="G94" s="1130"/>
      <c r="H94" s="1130"/>
      <c r="I94" s="446"/>
      <c r="J94" s="446"/>
      <c r="K94" s="446"/>
      <c r="L94" s="446"/>
      <c r="M94" s="447"/>
      <c r="N94" s="448"/>
      <c r="O94" s="446"/>
      <c r="P94" s="1228"/>
      <c r="Q94" s="1228"/>
      <c r="R94" s="959"/>
      <c r="S94" s="959"/>
      <c r="T94" s="449"/>
      <c r="U94" s="449"/>
      <c r="V94" s="450"/>
      <c r="W94" s="450"/>
      <c r="X94" s="451"/>
      <c r="Y94" s="452"/>
    </row>
    <row r="95" spans="1:25" ht="15.75" x14ac:dyDescent="0.2">
      <c r="A95" s="103" t="s">
        <v>1249</v>
      </c>
      <c r="B95" s="97"/>
      <c r="C95" s="97"/>
      <c r="D95" s="97"/>
      <c r="E95" s="97"/>
      <c r="F95" s="97"/>
      <c r="G95" s="97"/>
      <c r="H95" s="97"/>
      <c r="I95" s="113"/>
      <c r="J95" s="113"/>
      <c r="K95" s="113"/>
      <c r="L95" s="113"/>
      <c r="M95" s="113"/>
      <c r="N95" s="113"/>
      <c r="O95" s="113"/>
      <c r="R95" s="113"/>
      <c r="S95" s="113"/>
      <c r="T95" s="146"/>
      <c r="U95" s="146"/>
    </row>
    <row r="96" spans="1:25" ht="89.25" x14ac:dyDescent="0.2">
      <c r="A96" s="211" t="s">
        <v>0</v>
      </c>
      <c r="B96" s="212" t="s">
        <v>1</v>
      </c>
      <c r="C96" s="212" t="s">
        <v>133</v>
      </c>
      <c r="D96" s="212" t="s">
        <v>199</v>
      </c>
      <c r="E96" s="212" t="s">
        <v>135</v>
      </c>
      <c r="F96" s="212" t="s">
        <v>200</v>
      </c>
      <c r="G96" s="212" t="s">
        <v>137</v>
      </c>
      <c r="H96" s="212" t="s">
        <v>201</v>
      </c>
      <c r="I96" s="104" t="s">
        <v>8</v>
      </c>
      <c r="J96" s="104" t="s">
        <v>9</v>
      </c>
      <c r="K96" s="104" t="s">
        <v>107</v>
      </c>
      <c r="L96" s="104" t="s">
        <v>14</v>
      </c>
      <c r="M96" s="104" t="s">
        <v>1057</v>
      </c>
      <c r="N96" s="104" t="s">
        <v>1058</v>
      </c>
      <c r="O96" s="104" t="s">
        <v>100</v>
      </c>
      <c r="P96" s="6" t="s">
        <v>105</v>
      </c>
      <c r="Q96" s="6" t="s">
        <v>106</v>
      </c>
      <c r="R96" s="104" t="s">
        <v>1051</v>
      </c>
      <c r="S96" s="104" t="s">
        <v>1052</v>
      </c>
      <c r="T96" s="147" t="s">
        <v>1053</v>
      </c>
      <c r="U96" s="147" t="s">
        <v>1054</v>
      </c>
      <c r="V96" s="5" t="s">
        <v>101</v>
      </c>
      <c r="W96" s="5" t="s">
        <v>102</v>
      </c>
      <c r="X96" s="112" t="s">
        <v>1055</v>
      </c>
      <c r="Y96" s="112" t="s">
        <v>1056</v>
      </c>
    </row>
    <row r="97" spans="1:26" x14ac:dyDescent="0.2">
      <c r="A97" s="213" t="str">
        <f>A204</f>
        <v>BFKH</v>
      </c>
      <c r="B97" s="213"/>
      <c r="C97" s="219">
        <f>$D$121*10000</f>
        <v>149.30000000000001</v>
      </c>
      <c r="D97" s="216">
        <f>$E$121*10000</f>
        <v>0.4</v>
      </c>
      <c r="E97" s="1275">
        <f>B204</f>
        <v>151.5</v>
      </c>
      <c r="F97" s="1275">
        <f>C204</f>
        <v>2</v>
      </c>
      <c r="G97" s="1275">
        <f>D204</f>
        <v>2.1</v>
      </c>
      <c r="H97" s="1275">
        <f>F204</f>
        <v>3.8</v>
      </c>
      <c r="I97" s="155">
        <f t="shared" si="0"/>
        <v>0</v>
      </c>
      <c r="J97" s="155">
        <f t="shared" si="1"/>
        <v>0</v>
      </c>
      <c r="K97" s="155">
        <f t="shared" si="2"/>
        <v>4</v>
      </c>
      <c r="L97" s="155">
        <f t="shared" si="3"/>
        <v>10</v>
      </c>
      <c r="M97" s="156">
        <f t="shared" si="4"/>
        <v>2.6791694574681846</v>
      </c>
      <c r="N97" s="157">
        <f t="shared" si="5"/>
        <v>0.26791694574681846</v>
      </c>
      <c r="O97" s="155">
        <f t="shared" si="6"/>
        <v>100</v>
      </c>
      <c r="P97" s="250">
        <v>10</v>
      </c>
      <c r="Q97" s="250">
        <v>10000</v>
      </c>
      <c r="R97" s="148">
        <f t="shared" si="94"/>
        <v>2.6791694574681846</v>
      </c>
      <c r="S97" s="148">
        <f t="shared" si="95"/>
        <v>2.6791694574681846</v>
      </c>
      <c r="T97" s="148">
        <f t="shared" si="96"/>
        <v>0.26791694574681846</v>
      </c>
      <c r="U97" s="148">
        <f t="shared" si="96"/>
        <v>267.91694574681844</v>
      </c>
      <c r="V97" s="7">
        <f t="shared" si="97"/>
        <v>10000</v>
      </c>
      <c r="W97" s="7">
        <f t="shared" si="97"/>
        <v>10000000</v>
      </c>
      <c r="X97" s="1345">
        <f t="shared" si="98"/>
        <v>267.91694574681844</v>
      </c>
      <c r="Y97" s="1345">
        <f t="shared" si="98"/>
        <v>267916.94574681844</v>
      </c>
    </row>
    <row r="98" spans="1:26" x14ac:dyDescent="0.2">
      <c r="A98" s="213" t="str">
        <f t="shared" ref="A98:A106" si="218">A205</f>
        <v>CEM</v>
      </c>
      <c r="B98" s="213"/>
      <c r="C98" s="219">
        <f t="shared" ref="C98:C106" si="219">$D$121*10000</f>
        <v>149.30000000000001</v>
      </c>
      <c r="D98" s="216">
        <f t="shared" ref="D98:D106" si="220">$E$121*10000</f>
        <v>0.4</v>
      </c>
      <c r="E98" s="1275">
        <f t="shared" ref="E98:G98" si="221">B205</f>
        <v>148.6</v>
      </c>
      <c r="F98" s="1275">
        <f t="shared" si="221"/>
        <v>0.5</v>
      </c>
      <c r="G98" s="1275">
        <f t="shared" si="221"/>
        <v>-0.7</v>
      </c>
      <c r="H98" s="1275">
        <f t="shared" ref="H98:H106" si="222">F205</f>
        <v>1.2</v>
      </c>
      <c r="I98" s="155">
        <f t="shared" ref="I98:I106" si="223">IF(ABS(G98)&gt;ABS(H98), 1, 0)</f>
        <v>0</v>
      </c>
      <c r="J98" s="155">
        <f t="shared" ref="J98:J106" si="224">I98*ABS(C98-E98)</f>
        <v>0</v>
      </c>
      <c r="K98" s="155">
        <f t="shared" ref="K98:K106" si="225">SQRT(SUMSQ(F98,J98))*2</f>
        <v>1</v>
      </c>
      <c r="L98" s="155">
        <f t="shared" ref="L98:L106" si="226">IF(C98&lt;$K$2, C98, $K$1)</f>
        <v>10</v>
      </c>
      <c r="M98" s="156">
        <f t="shared" ref="M98:M106" si="227">IF(AND(C98&lt;$K$1,C98&gt; $K$2), K98/L98*100, K98/C98*100)</f>
        <v>0.66979236436704614</v>
      </c>
      <c r="N98" s="157">
        <f t="shared" ref="N98:N106" si="228">M98*L98/100</f>
        <v>6.6979236436704614E-2</v>
      </c>
      <c r="O98" s="155">
        <f t="shared" ref="O98:O106" si="229">N98/(M98*L98/100)*100</f>
        <v>100</v>
      </c>
      <c r="P98" s="250">
        <v>10</v>
      </c>
      <c r="Q98" s="250">
        <v>10000</v>
      </c>
      <c r="R98" s="148">
        <f t="shared" ref="R98:R106" si="230">IF( IF(P98&lt;L98, M98*L98/P98, M98)&gt;100, "ERROR",  IF(P98&lt;L98, M98*L98/P98, M98))</f>
        <v>0.66979236436704614</v>
      </c>
      <c r="S98" s="148">
        <f t="shared" ref="S98:S106" si="231">IF(IF(Q98&lt;L98, M98*L98/Q98, M98)&gt;100, "ERROR", IF(Q98&lt;L98, M98*L98/Q98, M98))</f>
        <v>0.66979236436704614</v>
      </c>
      <c r="T98" s="148">
        <f t="shared" ref="T98:T106" si="232">R98*P98*0.01</f>
        <v>6.6979236436704614E-2</v>
      </c>
      <c r="U98" s="148">
        <f t="shared" ref="U98:U106" si="233">S98*Q98*0.01</f>
        <v>66.97923643670461</v>
      </c>
      <c r="V98" s="7">
        <f t="shared" ref="V98:V106" si="234">P98*1000</f>
        <v>10000</v>
      </c>
      <c r="W98" s="7">
        <f t="shared" ref="W98:W106" si="235">Q98*1000</f>
        <v>10000000</v>
      </c>
      <c r="X98" s="1345">
        <f t="shared" ref="X98:X106" si="236">T98*1000</f>
        <v>66.97923643670461</v>
      </c>
      <c r="Y98" s="1345">
        <f t="shared" ref="Y98:Y106" si="237">U98*1000</f>
        <v>66979.23643670461</v>
      </c>
    </row>
    <row r="99" spans="1:26" x14ac:dyDescent="0.2">
      <c r="A99" s="213" t="str">
        <f t="shared" si="218"/>
        <v>CMI</v>
      </c>
      <c r="B99" s="213"/>
      <c r="C99" s="219">
        <f t="shared" si="219"/>
        <v>149.30000000000001</v>
      </c>
      <c r="D99" s="216">
        <f t="shared" si="220"/>
        <v>0.4</v>
      </c>
      <c r="E99" s="1275">
        <f t="shared" ref="E99:G99" si="238">B206</f>
        <v>149.6</v>
      </c>
      <c r="F99" s="1275">
        <f t="shared" si="238"/>
        <v>15</v>
      </c>
      <c r="G99" s="1275">
        <f t="shared" si="238"/>
        <v>0.4</v>
      </c>
      <c r="H99" s="1275">
        <f t="shared" si="222"/>
        <v>29.1</v>
      </c>
      <c r="I99" s="155">
        <f t="shared" si="223"/>
        <v>0</v>
      </c>
      <c r="J99" s="155">
        <f t="shared" si="224"/>
        <v>0</v>
      </c>
      <c r="K99" s="155">
        <f t="shared" si="225"/>
        <v>30</v>
      </c>
      <c r="L99" s="155">
        <f t="shared" si="226"/>
        <v>10</v>
      </c>
      <c r="M99" s="156">
        <f t="shared" si="227"/>
        <v>20.093770931011385</v>
      </c>
      <c r="N99" s="157">
        <f t="shared" si="228"/>
        <v>2.0093770931011385</v>
      </c>
      <c r="O99" s="155">
        <f t="shared" si="229"/>
        <v>100</v>
      </c>
      <c r="P99" s="250">
        <v>10</v>
      </c>
      <c r="Q99" s="250">
        <v>10000</v>
      </c>
      <c r="R99" s="148">
        <f t="shared" si="230"/>
        <v>20.093770931011385</v>
      </c>
      <c r="S99" s="148">
        <f t="shared" si="231"/>
        <v>20.093770931011385</v>
      </c>
      <c r="T99" s="148">
        <f t="shared" si="232"/>
        <v>2.0093770931011385</v>
      </c>
      <c r="U99" s="148">
        <f t="shared" si="233"/>
        <v>2009.3770931011386</v>
      </c>
      <c r="V99" s="7">
        <f t="shared" si="234"/>
        <v>10000</v>
      </c>
      <c r="W99" s="7">
        <f t="shared" si="235"/>
        <v>10000000</v>
      </c>
      <c r="X99" s="1345">
        <f t="shared" si="236"/>
        <v>2009.3770931011386</v>
      </c>
      <c r="Y99" s="1345">
        <f t="shared" si="237"/>
        <v>2009377.0931011387</v>
      </c>
    </row>
    <row r="100" spans="1:26" x14ac:dyDescent="0.2">
      <c r="A100" s="213" t="str">
        <f t="shared" si="218"/>
        <v>INMETRO</v>
      </c>
      <c r="B100" s="213"/>
      <c r="C100" s="219">
        <f t="shared" si="219"/>
        <v>149.30000000000001</v>
      </c>
      <c r="D100" s="216">
        <f t="shared" si="220"/>
        <v>0.4</v>
      </c>
      <c r="E100" s="1275">
        <f t="shared" ref="E100:G100" si="239">B207</f>
        <v>149.1</v>
      </c>
      <c r="F100" s="1275">
        <f t="shared" si="239"/>
        <v>0.6</v>
      </c>
      <c r="G100" s="1275">
        <f t="shared" si="239"/>
        <v>-0.2</v>
      </c>
      <c r="H100" s="1275">
        <f t="shared" si="222"/>
        <v>1.3</v>
      </c>
      <c r="I100" s="155">
        <f t="shared" si="223"/>
        <v>0</v>
      </c>
      <c r="J100" s="155">
        <f t="shared" si="224"/>
        <v>0</v>
      </c>
      <c r="K100" s="155">
        <f t="shared" si="225"/>
        <v>1.2</v>
      </c>
      <c r="L100" s="155">
        <f t="shared" si="226"/>
        <v>10</v>
      </c>
      <c r="M100" s="156">
        <f t="shared" si="227"/>
        <v>0.80375083724045537</v>
      </c>
      <c r="N100" s="157">
        <f t="shared" si="228"/>
        <v>8.0375083724045546E-2</v>
      </c>
      <c r="O100" s="155">
        <f t="shared" si="229"/>
        <v>100</v>
      </c>
      <c r="P100" s="250">
        <v>10</v>
      </c>
      <c r="Q100" s="250">
        <v>10000</v>
      </c>
      <c r="R100" s="148">
        <f t="shared" si="230"/>
        <v>0.80375083724045537</v>
      </c>
      <c r="S100" s="148">
        <f t="shared" si="231"/>
        <v>0.80375083724045537</v>
      </c>
      <c r="T100" s="148">
        <f t="shared" si="232"/>
        <v>8.0375083724045546E-2</v>
      </c>
      <c r="U100" s="148">
        <f t="shared" si="233"/>
        <v>80.375083724045538</v>
      </c>
      <c r="V100" s="7">
        <f t="shared" si="234"/>
        <v>10000</v>
      </c>
      <c r="W100" s="7">
        <f t="shared" si="235"/>
        <v>10000000</v>
      </c>
      <c r="X100" s="1345">
        <f t="shared" si="236"/>
        <v>80.375083724045552</v>
      </c>
      <c r="Y100" s="1345">
        <f t="shared" si="237"/>
        <v>80375.083724045544</v>
      </c>
    </row>
    <row r="101" spans="1:26" x14ac:dyDescent="0.2">
      <c r="A101" s="213" t="str">
        <f t="shared" si="218"/>
        <v>NPL</v>
      </c>
      <c r="B101" s="213"/>
      <c r="C101" s="219">
        <f t="shared" si="219"/>
        <v>149.30000000000001</v>
      </c>
      <c r="D101" s="216">
        <f t="shared" si="220"/>
        <v>0.4</v>
      </c>
      <c r="E101" s="1275">
        <f t="shared" ref="E101:G101" si="240">B208</f>
        <v>149.1</v>
      </c>
      <c r="F101" s="1275">
        <f t="shared" si="240"/>
        <v>0.3</v>
      </c>
      <c r="G101" s="1275">
        <f t="shared" si="240"/>
        <v>-0.2</v>
      </c>
      <c r="H101" s="1275">
        <f t="shared" si="222"/>
        <v>0.9</v>
      </c>
      <c r="I101" s="155">
        <f t="shared" si="223"/>
        <v>0</v>
      </c>
      <c r="J101" s="155">
        <f t="shared" si="224"/>
        <v>0</v>
      </c>
      <c r="K101" s="155">
        <f t="shared" si="225"/>
        <v>0.6</v>
      </c>
      <c r="L101" s="155">
        <f t="shared" si="226"/>
        <v>10</v>
      </c>
      <c r="M101" s="156">
        <f t="shared" si="227"/>
        <v>0.40187541862022769</v>
      </c>
      <c r="N101" s="157">
        <f t="shared" si="228"/>
        <v>4.0187541862022773E-2</v>
      </c>
      <c r="O101" s="155">
        <f t="shared" si="229"/>
        <v>100</v>
      </c>
      <c r="P101" s="250">
        <v>10</v>
      </c>
      <c r="Q101" s="250">
        <v>10000</v>
      </c>
      <c r="R101" s="148">
        <f t="shared" si="230"/>
        <v>0.40187541862022769</v>
      </c>
      <c r="S101" s="148">
        <f t="shared" si="231"/>
        <v>0.40187541862022769</v>
      </c>
      <c r="T101" s="148">
        <f t="shared" si="232"/>
        <v>4.0187541862022773E-2</v>
      </c>
      <c r="U101" s="148">
        <f t="shared" si="233"/>
        <v>40.187541862022769</v>
      </c>
      <c r="V101" s="7">
        <f t="shared" si="234"/>
        <v>10000</v>
      </c>
      <c r="W101" s="7">
        <f t="shared" si="235"/>
        <v>10000000</v>
      </c>
      <c r="X101" s="1345">
        <f t="shared" si="236"/>
        <v>40.187541862022776</v>
      </c>
      <c r="Y101" s="1345">
        <f t="shared" si="237"/>
        <v>40187.541862022772</v>
      </c>
    </row>
    <row r="102" spans="1:26" x14ac:dyDescent="0.2">
      <c r="A102" s="213" t="str">
        <f t="shared" si="218"/>
        <v>RISE</v>
      </c>
      <c r="B102" s="213"/>
      <c r="C102" s="219">
        <f t="shared" si="219"/>
        <v>149.30000000000001</v>
      </c>
      <c r="D102" s="216">
        <f t="shared" si="220"/>
        <v>0.4</v>
      </c>
      <c r="E102" s="1275">
        <f t="shared" ref="E102:G102" si="241">B209</f>
        <v>155.30000000000001</v>
      </c>
      <c r="F102" s="1275">
        <f t="shared" si="241"/>
        <v>11</v>
      </c>
      <c r="G102" s="1275">
        <f t="shared" si="241"/>
        <v>6</v>
      </c>
      <c r="H102" s="1275">
        <f t="shared" si="222"/>
        <v>21.3</v>
      </c>
      <c r="I102" s="155">
        <f t="shared" si="223"/>
        <v>0</v>
      </c>
      <c r="J102" s="155">
        <f t="shared" si="224"/>
        <v>0</v>
      </c>
      <c r="K102" s="155">
        <f t="shared" si="225"/>
        <v>22</v>
      </c>
      <c r="L102" s="155">
        <f t="shared" si="226"/>
        <v>10</v>
      </c>
      <c r="M102" s="156">
        <f t="shared" si="227"/>
        <v>14.735432016075015</v>
      </c>
      <c r="N102" s="157">
        <f t="shared" si="228"/>
        <v>1.4735432016075014</v>
      </c>
      <c r="O102" s="155">
        <f t="shared" si="229"/>
        <v>100</v>
      </c>
      <c r="P102" s="250">
        <v>10</v>
      </c>
      <c r="Q102" s="250">
        <v>10000</v>
      </c>
      <c r="R102" s="148">
        <f t="shared" si="230"/>
        <v>14.735432016075015</v>
      </c>
      <c r="S102" s="148">
        <f t="shared" si="231"/>
        <v>14.735432016075015</v>
      </c>
      <c r="T102" s="148">
        <f t="shared" si="232"/>
        <v>1.4735432016075014</v>
      </c>
      <c r="U102" s="148">
        <f t="shared" si="233"/>
        <v>1473.5432016075015</v>
      </c>
      <c r="V102" s="7">
        <f t="shared" si="234"/>
        <v>10000</v>
      </c>
      <c r="W102" s="7">
        <f t="shared" si="235"/>
        <v>10000000</v>
      </c>
      <c r="X102" s="1345">
        <f t="shared" si="236"/>
        <v>1473.5432016075015</v>
      </c>
      <c r="Y102" s="1345">
        <f t="shared" si="237"/>
        <v>1473543.2016075016</v>
      </c>
    </row>
    <row r="103" spans="1:26" x14ac:dyDescent="0.2">
      <c r="A103" s="213" t="str">
        <f t="shared" si="218"/>
        <v>SMU</v>
      </c>
      <c r="B103" s="213"/>
      <c r="C103" s="219">
        <f t="shared" si="219"/>
        <v>149.30000000000001</v>
      </c>
      <c r="D103" s="216">
        <f t="shared" si="220"/>
        <v>0.4</v>
      </c>
      <c r="E103" s="1275">
        <f t="shared" ref="E103:G103" si="242">B210</f>
        <v>150.5</v>
      </c>
      <c r="F103" s="1275">
        <f t="shared" si="242"/>
        <v>0.6</v>
      </c>
      <c r="G103" s="1275">
        <f t="shared" si="242"/>
        <v>1.2</v>
      </c>
      <c r="H103" s="1275">
        <f t="shared" si="222"/>
        <v>1.3</v>
      </c>
      <c r="I103" s="155">
        <f t="shared" si="223"/>
        <v>0</v>
      </c>
      <c r="J103" s="155">
        <f t="shared" si="224"/>
        <v>0</v>
      </c>
      <c r="K103" s="155">
        <f t="shared" si="225"/>
        <v>1.2</v>
      </c>
      <c r="L103" s="155">
        <f t="shared" si="226"/>
        <v>10</v>
      </c>
      <c r="M103" s="156">
        <f t="shared" si="227"/>
        <v>0.80375083724045537</v>
      </c>
      <c r="N103" s="157">
        <f t="shared" si="228"/>
        <v>8.0375083724045546E-2</v>
      </c>
      <c r="O103" s="155">
        <f t="shared" si="229"/>
        <v>100</v>
      </c>
      <c r="P103" s="250">
        <v>10</v>
      </c>
      <c r="Q103" s="250">
        <v>10000</v>
      </c>
      <c r="R103" s="148">
        <f t="shared" si="230"/>
        <v>0.80375083724045537</v>
      </c>
      <c r="S103" s="148">
        <f t="shared" si="231"/>
        <v>0.80375083724045537</v>
      </c>
      <c r="T103" s="148">
        <f t="shared" si="232"/>
        <v>8.0375083724045546E-2</v>
      </c>
      <c r="U103" s="148">
        <f t="shared" si="233"/>
        <v>80.375083724045538</v>
      </c>
      <c r="V103" s="7">
        <f t="shared" si="234"/>
        <v>10000</v>
      </c>
      <c r="W103" s="7">
        <f t="shared" si="235"/>
        <v>10000000</v>
      </c>
      <c r="X103" s="1345">
        <f t="shared" si="236"/>
        <v>80.375083724045552</v>
      </c>
      <c r="Y103" s="1345">
        <f t="shared" si="237"/>
        <v>80375.083724045544</v>
      </c>
    </row>
    <row r="104" spans="1:26" x14ac:dyDescent="0.2">
      <c r="A104" s="213" t="str">
        <f t="shared" si="218"/>
        <v>UME</v>
      </c>
      <c r="B104" s="213"/>
      <c r="C104" s="219">
        <f t="shared" si="219"/>
        <v>149.30000000000001</v>
      </c>
      <c r="D104" s="216">
        <f t="shared" si="220"/>
        <v>0.4</v>
      </c>
      <c r="E104" s="1275">
        <f t="shared" ref="E104:G104" si="243">B211</f>
        <v>148.19999999999999</v>
      </c>
      <c r="F104" s="1275">
        <f t="shared" si="243"/>
        <v>0.4</v>
      </c>
      <c r="G104" s="1275">
        <f t="shared" si="243"/>
        <v>-1.1000000000000001</v>
      </c>
      <c r="H104" s="1275">
        <f t="shared" si="222"/>
        <v>1.1000000000000001</v>
      </c>
      <c r="I104" s="155">
        <f t="shared" si="223"/>
        <v>0</v>
      </c>
      <c r="J104" s="155">
        <f t="shared" si="224"/>
        <v>0</v>
      </c>
      <c r="K104" s="155">
        <f t="shared" si="225"/>
        <v>0.8</v>
      </c>
      <c r="L104" s="155">
        <f t="shared" si="226"/>
        <v>10</v>
      </c>
      <c r="M104" s="156">
        <f t="shared" si="227"/>
        <v>0.53583389149363692</v>
      </c>
      <c r="N104" s="157">
        <f t="shared" si="228"/>
        <v>5.358338914936369E-2</v>
      </c>
      <c r="O104" s="155">
        <f t="shared" si="229"/>
        <v>100</v>
      </c>
      <c r="P104" s="250">
        <v>10</v>
      </c>
      <c r="Q104" s="250">
        <v>10000</v>
      </c>
      <c r="R104" s="148">
        <f t="shared" si="230"/>
        <v>0.53583389149363692</v>
      </c>
      <c r="S104" s="148">
        <f t="shared" si="231"/>
        <v>0.53583389149363692</v>
      </c>
      <c r="T104" s="148">
        <f t="shared" si="232"/>
        <v>5.358338914936369E-2</v>
      </c>
      <c r="U104" s="148">
        <f t="shared" si="233"/>
        <v>53.583389149363697</v>
      </c>
      <c r="V104" s="7">
        <f t="shared" si="234"/>
        <v>10000</v>
      </c>
      <c r="W104" s="7">
        <f t="shared" si="235"/>
        <v>10000000</v>
      </c>
      <c r="X104" s="1345">
        <f t="shared" si="236"/>
        <v>53.58338914936369</v>
      </c>
      <c r="Y104" s="1345">
        <f t="shared" si="237"/>
        <v>53583.389149363698</v>
      </c>
    </row>
    <row r="105" spans="1:26" x14ac:dyDescent="0.2">
      <c r="A105" s="213" t="str">
        <f t="shared" si="218"/>
        <v>VNIIM</v>
      </c>
      <c r="B105" s="213"/>
      <c r="C105" s="219">
        <f t="shared" si="219"/>
        <v>149.30000000000001</v>
      </c>
      <c r="D105" s="216">
        <f t="shared" si="220"/>
        <v>0.4</v>
      </c>
      <c r="E105" s="1275">
        <f t="shared" ref="E105:G105" si="244">B212</f>
        <v>148.4</v>
      </c>
      <c r="F105" s="1275">
        <f t="shared" si="244"/>
        <v>0.3</v>
      </c>
      <c r="G105" s="1275">
        <f t="shared" si="244"/>
        <v>-0.9</v>
      </c>
      <c r="H105" s="1275">
        <f t="shared" si="222"/>
        <v>1</v>
      </c>
      <c r="I105" s="155">
        <f t="shared" si="223"/>
        <v>0</v>
      </c>
      <c r="J105" s="155">
        <f t="shared" si="224"/>
        <v>0</v>
      </c>
      <c r="K105" s="155">
        <f t="shared" si="225"/>
        <v>0.6</v>
      </c>
      <c r="L105" s="155">
        <f t="shared" si="226"/>
        <v>10</v>
      </c>
      <c r="M105" s="156">
        <f t="shared" si="227"/>
        <v>0.40187541862022769</v>
      </c>
      <c r="N105" s="157">
        <f t="shared" si="228"/>
        <v>4.0187541862022773E-2</v>
      </c>
      <c r="O105" s="155">
        <f t="shared" si="229"/>
        <v>100</v>
      </c>
      <c r="P105" s="250">
        <v>10</v>
      </c>
      <c r="Q105" s="250">
        <v>10000</v>
      </c>
      <c r="R105" s="148">
        <f t="shared" si="230"/>
        <v>0.40187541862022769</v>
      </c>
      <c r="S105" s="148">
        <f t="shared" si="231"/>
        <v>0.40187541862022769</v>
      </c>
      <c r="T105" s="148">
        <f t="shared" si="232"/>
        <v>4.0187541862022773E-2</v>
      </c>
      <c r="U105" s="148">
        <f t="shared" si="233"/>
        <v>40.187541862022769</v>
      </c>
      <c r="V105" s="7">
        <f t="shared" si="234"/>
        <v>10000</v>
      </c>
      <c r="W105" s="7">
        <f t="shared" si="235"/>
        <v>10000000</v>
      </c>
      <c r="X105" s="1345">
        <f t="shared" si="236"/>
        <v>40.187541862022776</v>
      </c>
      <c r="Y105" s="1345">
        <f t="shared" si="237"/>
        <v>40187.541862022772</v>
      </c>
    </row>
    <row r="106" spans="1:26" x14ac:dyDescent="0.2">
      <c r="A106" s="213" t="str">
        <f t="shared" si="218"/>
        <v>VSL</v>
      </c>
      <c r="B106" s="213"/>
      <c r="C106" s="219">
        <f t="shared" si="219"/>
        <v>149.30000000000001</v>
      </c>
      <c r="D106" s="216">
        <f t="shared" si="220"/>
        <v>0.4</v>
      </c>
      <c r="E106" s="1275">
        <f t="shared" ref="E106:G106" si="245">B213</f>
        <v>150.6</v>
      </c>
      <c r="F106" s="1275">
        <f t="shared" si="245"/>
        <v>0.1</v>
      </c>
      <c r="G106" s="1275">
        <f t="shared" si="245"/>
        <v>1.3</v>
      </c>
      <c r="H106" s="1275">
        <f t="shared" si="222"/>
        <v>0.8</v>
      </c>
      <c r="I106" s="155">
        <f t="shared" si="223"/>
        <v>1</v>
      </c>
      <c r="J106" s="155">
        <f t="shared" si="224"/>
        <v>1.2999999999999829</v>
      </c>
      <c r="K106" s="155">
        <f t="shared" si="225"/>
        <v>2.6076809620810257</v>
      </c>
      <c r="L106" s="155">
        <f t="shared" si="226"/>
        <v>10</v>
      </c>
      <c r="M106" s="156">
        <f t="shared" si="227"/>
        <v>1.7466047971071839</v>
      </c>
      <c r="N106" s="157">
        <f t="shared" si="228"/>
        <v>0.17466047971071838</v>
      </c>
      <c r="O106" s="155">
        <f t="shared" si="229"/>
        <v>100</v>
      </c>
      <c r="P106" s="250">
        <v>10</v>
      </c>
      <c r="Q106" s="250">
        <v>10000</v>
      </c>
      <c r="R106" s="148">
        <f t="shared" si="230"/>
        <v>1.7466047971071839</v>
      </c>
      <c r="S106" s="148">
        <f t="shared" si="231"/>
        <v>1.7466047971071839</v>
      </c>
      <c r="T106" s="148">
        <f t="shared" si="232"/>
        <v>0.17466047971071838</v>
      </c>
      <c r="U106" s="148">
        <f t="shared" si="233"/>
        <v>174.66047971071839</v>
      </c>
      <c r="V106" s="7">
        <f t="shared" si="234"/>
        <v>10000</v>
      </c>
      <c r="W106" s="7">
        <f t="shared" si="235"/>
        <v>10000000</v>
      </c>
      <c r="X106" s="1345">
        <f t="shared" si="236"/>
        <v>174.66047971071839</v>
      </c>
      <c r="Y106" s="1345">
        <f t="shared" si="237"/>
        <v>174660.47971071838</v>
      </c>
    </row>
    <row r="107" spans="1:26" ht="14.25" x14ac:dyDescent="0.2">
      <c r="H107" s="9"/>
      <c r="P107" s="1228"/>
      <c r="Q107" s="1228"/>
      <c r="U107" s="152"/>
      <c r="V107" s="21"/>
      <c r="W107" s="21"/>
      <c r="X107" s="21"/>
      <c r="Y107" s="21"/>
      <c r="Z107" s="21"/>
    </row>
    <row r="108" spans="1:26" ht="14.25" x14ac:dyDescent="0.2">
      <c r="H108" s="9"/>
      <c r="U108" s="152"/>
      <c r="V108" s="21"/>
      <c r="W108" s="21"/>
      <c r="X108" s="21"/>
      <c r="Y108" s="21"/>
      <c r="Z108" s="21"/>
    </row>
    <row r="109" spans="1:26" ht="14.25" x14ac:dyDescent="0.2">
      <c r="H109" s="9"/>
      <c r="V109" s="21"/>
      <c r="W109" s="21"/>
      <c r="X109" s="21"/>
      <c r="Y109" s="21"/>
      <c r="Z109" s="21"/>
    </row>
    <row r="110" spans="1:26" ht="14.25" x14ac:dyDescent="0.2">
      <c r="H110" s="9"/>
      <c r="X110" s="21"/>
      <c r="Y110" s="21"/>
      <c r="Z110" s="21"/>
    </row>
    <row r="111" spans="1:26" s="227" customFormat="1" x14ac:dyDescent="0.2">
      <c r="A111" s="407" t="s">
        <v>1199</v>
      </c>
      <c r="B111" s="1095"/>
      <c r="C111" s="1095"/>
      <c r="D111" s="1095"/>
      <c r="E111" s="1095"/>
      <c r="F111" s="1095"/>
      <c r="G111" s="1095"/>
      <c r="H111" s="1095"/>
      <c r="I111" s="1096"/>
      <c r="J111" s="1096"/>
      <c r="K111" s="1096"/>
      <c r="L111" s="1096"/>
      <c r="M111" s="1097"/>
      <c r="N111" s="1097"/>
      <c r="O111" s="1096"/>
      <c r="P111" s="1098"/>
    </row>
    <row r="112" spans="1:26" s="227" customFormat="1" x14ac:dyDescent="0.2">
      <c r="A112" s="407" t="s">
        <v>1200</v>
      </c>
      <c r="B112" s="647"/>
      <c r="C112" s="647"/>
      <c r="D112" s="647"/>
      <c r="E112" s="647"/>
      <c r="F112" s="647"/>
      <c r="G112" s="647"/>
      <c r="H112" s="647"/>
      <c r="I112" s="1099"/>
      <c r="J112" s="1099"/>
      <c r="K112" s="1099"/>
      <c r="L112" s="1099"/>
      <c r="M112" s="1100"/>
      <c r="N112" s="1100"/>
      <c r="O112" s="1099"/>
      <c r="P112" s="1101"/>
    </row>
    <row r="113" spans="1:19" s="227" customFormat="1" x14ac:dyDescent="0.2">
      <c r="A113" s="404"/>
      <c r="B113" s="404" t="s">
        <v>1201</v>
      </c>
      <c r="C113" s="404"/>
      <c r="D113" s="408" t="s">
        <v>1202</v>
      </c>
      <c r="E113" s="404"/>
      <c r="G113" s="647"/>
      <c r="H113" s="647"/>
      <c r="I113" s="1099"/>
      <c r="J113" s="1099"/>
      <c r="K113" s="1099"/>
      <c r="L113" s="1099"/>
      <c r="M113" s="1100"/>
      <c r="N113" s="1100"/>
      <c r="O113" s="1099"/>
      <c r="P113" s="1101"/>
    </row>
    <row r="114" spans="1:19" s="227" customFormat="1" x14ac:dyDescent="0.2">
      <c r="A114" s="915" t="s">
        <v>1203</v>
      </c>
      <c r="B114" s="915" t="s">
        <v>1204</v>
      </c>
      <c r="C114" s="915" t="s">
        <v>1205</v>
      </c>
      <c r="D114" s="915" t="s">
        <v>1206</v>
      </c>
      <c r="E114" s="405" t="s">
        <v>1207</v>
      </c>
      <c r="G114" s="647"/>
      <c r="H114" s="647"/>
      <c r="I114" s="1099"/>
      <c r="J114" s="1099"/>
      <c r="K114" s="1099"/>
      <c r="L114" s="1099"/>
      <c r="M114" s="1100"/>
      <c r="N114" s="1100"/>
      <c r="O114" s="1099"/>
      <c r="P114" s="1101"/>
    </row>
    <row r="115" spans="1:19" s="227" customFormat="1" x14ac:dyDescent="0.2">
      <c r="A115" s="404" t="s">
        <v>829</v>
      </c>
      <c r="B115" s="404">
        <v>43.755209999999998</v>
      </c>
      <c r="C115" s="404">
        <v>8.8800000000000007E-3</v>
      </c>
      <c r="D115" s="1102">
        <v>43.7699</v>
      </c>
      <c r="E115" s="1102">
        <v>1.78E-2</v>
      </c>
      <c r="G115" s="647"/>
      <c r="H115" s="647"/>
      <c r="I115" s="1099"/>
      <c r="J115" s="1099"/>
      <c r="K115" s="1099"/>
      <c r="L115" s="1099"/>
      <c r="M115" s="1100"/>
      <c r="N115" s="1100"/>
      <c r="O115" s="1099"/>
      <c r="P115" s="1101"/>
    </row>
    <row r="116" spans="1:19" s="227" customFormat="1" x14ac:dyDescent="0.2">
      <c r="A116" s="226" t="s">
        <v>1208</v>
      </c>
      <c r="B116" s="227">
        <v>39.128529999999998</v>
      </c>
      <c r="C116" s="227">
        <v>7.9900000000000006E-3</v>
      </c>
      <c r="D116" s="1098">
        <v>39.133969999999998</v>
      </c>
      <c r="E116" s="1098">
        <v>1.247E-2</v>
      </c>
      <c r="F116" s="226"/>
      <c r="G116" s="647"/>
      <c r="H116" s="647"/>
      <c r="I116" s="1099"/>
      <c r="J116" s="1099"/>
      <c r="K116" s="1099"/>
      <c r="L116" s="1099"/>
      <c r="M116" s="1100"/>
      <c r="N116" s="1100"/>
      <c r="O116" s="1099"/>
      <c r="P116" s="1101"/>
    </row>
    <row r="117" spans="1:19" s="227" customFormat="1" x14ac:dyDescent="0.2">
      <c r="A117" s="227" t="s">
        <v>844</v>
      </c>
      <c r="B117" s="227">
        <v>15.759980000000001</v>
      </c>
      <c r="C117" s="227">
        <v>4.8300000000000001E-3</v>
      </c>
      <c r="D117" s="1098">
        <v>15.762969999999999</v>
      </c>
      <c r="E117" s="1098">
        <v>7.7600000000000004E-3</v>
      </c>
      <c r="G117" s="647"/>
      <c r="H117" s="647"/>
      <c r="I117" s="1099"/>
      <c r="J117" s="1099"/>
      <c r="K117" s="1099"/>
      <c r="L117" s="1099"/>
      <c r="M117" s="1100"/>
      <c r="N117" s="1100"/>
      <c r="O117" s="1099"/>
      <c r="P117" s="1101"/>
    </row>
    <row r="118" spans="1:19" s="226" customFormat="1" x14ac:dyDescent="0.2">
      <c r="A118" s="227" t="s">
        <v>842</v>
      </c>
      <c r="B118" s="227">
        <v>0.79630000000000001</v>
      </c>
      <c r="C118" s="227">
        <v>3.0999999999999999E-3</v>
      </c>
      <c r="D118" s="1098">
        <v>0.79269999999999996</v>
      </c>
      <c r="E118" s="1098">
        <v>1.41E-3</v>
      </c>
      <c r="F118" s="227"/>
      <c r="M118" s="1094"/>
      <c r="N118" s="1094"/>
    </row>
    <row r="119" spans="1:19" s="226" customFormat="1" x14ac:dyDescent="0.2">
      <c r="A119" s="227" t="s">
        <v>1198</v>
      </c>
      <c r="B119" s="227">
        <v>0.4627</v>
      </c>
      <c r="C119" s="227">
        <v>2E-3</v>
      </c>
      <c r="D119" s="1098">
        <v>0.46307999999999999</v>
      </c>
      <c r="E119" s="1098">
        <v>9.5E-4</v>
      </c>
      <c r="F119" s="227"/>
      <c r="M119" s="1094"/>
      <c r="N119" s="1094"/>
    </row>
    <row r="120" spans="1:19" s="226" customFormat="1" x14ac:dyDescent="0.2">
      <c r="A120" s="227" t="s">
        <v>832</v>
      </c>
      <c r="B120" s="227">
        <v>6.2129999999999998E-2</v>
      </c>
      <c r="C120" s="227">
        <v>1.2E-4</v>
      </c>
      <c r="D120" s="1098">
        <v>6.2129999999999998E-2</v>
      </c>
      <c r="E120" s="1098">
        <v>6.0000000000000002E-5</v>
      </c>
      <c r="F120" s="227"/>
      <c r="M120" s="1094"/>
      <c r="N120" s="1094"/>
    </row>
    <row r="121" spans="1:19" s="226" customFormat="1" x14ac:dyDescent="0.2">
      <c r="A121" s="405" t="s">
        <v>835</v>
      </c>
      <c r="B121" s="405">
        <v>1.495E-2</v>
      </c>
      <c r="C121" s="405">
        <v>5.0000000000000002E-5</v>
      </c>
      <c r="D121" s="1103">
        <v>1.4930000000000001E-2</v>
      </c>
      <c r="E121" s="1103">
        <v>4.0000000000000003E-5</v>
      </c>
      <c r="F121" s="227"/>
      <c r="M121" s="1094"/>
      <c r="N121" s="1094"/>
    </row>
    <row r="122" spans="1:19" s="226" customFormat="1" x14ac:dyDescent="0.2">
      <c r="M122" s="1094"/>
      <c r="N122" s="1094"/>
    </row>
    <row r="123" spans="1:19" s="226" customFormat="1" x14ac:dyDescent="0.2">
      <c r="M123" s="1094"/>
      <c r="N123" s="1094"/>
    </row>
    <row r="124" spans="1:19" s="226" customFormat="1" x14ac:dyDescent="0.2">
      <c r="A124" s="1104" t="s">
        <v>1209</v>
      </c>
      <c r="J124" s="226" t="s">
        <v>1210</v>
      </c>
    </row>
    <row r="125" spans="1:19" s="226" customFormat="1" ht="25.5" x14ac:dyDescent="0.2">
      <c r="A125" s="640" t="s">
        <v>1067</v>
      </c>
      <c r="B125" s="1105" t="s">
        <v>1211</v>
      </c>
      <c r="C125" s="1105" t="s">
        <v>1212</v>
      </c>
      <c r="D125" s="1106" t="s">
        <v>1213</v>
      </c>
      <c r="E125" s="1105" t="s">
        <v>1214</v>
      </c>
      <c r="F125" s="1105" t="s">
        <v>1215</v>
      </c>
      <c r="G125" s="412"/>
      <c r="H125" s="412"/>
      <c r="J125" s="1107" t="s">
        <v>1067</v>
      </c>
      <c r="K125" s="1108" t="s">
        <v>1216</v>
      </c>
      <c r="L125" s="1108" t="s">
        <v>315</v>
      </c>
      <c r="M125" s="913" t="s">
        <v>1217</v>
      </c>
      <c r="N125" s="1109" t="s">
        <v>131</v>
      </c>
      <c r="O125" s="1109" t="s">
        <v>1218</v>
      </c>
      <c r="P125" s="1109" t="s">
        <v>1219</v>
      </c>
      <c r="R125" s="412"/>
      <c r="S125" s="412"/>
    </row>
    <row r="126" spans="1:19" s="226" customFormat="1" x14ac:dyDescent="0.2">
      <c r="A126" s="1104" t="s">
        <v>176</v>
      </c>
      <c r="B126" s="1110">
        <v>44.106000000000002</v>
      </c>
      <c r="C126" s="1110">
        <v>3.4000000000000002E-2</v>
      </c>
      <c r="D126" s="1110">
        <v>0.33600000000000002</v>
      </c>
      <c r="E126" s="1110">
        <v>3.7999999999999999E-2</v>
      </c>
      <c r="F126" s="1110">
        <v>7.4999999999999997E-2</v>
      </c>
      <c r="G126" s="1110"/>
      <c r="H126" s="1110"/>
      <c r="J126" s="409" t="s">
        <v>176</v>
      </c>
      <c r="K126" s="1111" t="s">
        <v>1220</v>
      </c>
      <c r="L126" s="1112">
        <v>44.125</v>
      </c>
      <c r="M126" s="1113">
        <v>6.8000000000000005E-2</v>
      </c>
      <c r="N126" s="1112">
        <v>2</v>
      </c>
      <c r="O126" s="1112">
        <v>1.8800000000000001E-2</v>
      </c>
      <c r="P126" s="1112">
        <v>9.4999999999999998E-3</v>
      </c>
      <c r="R126" s="1110">
        <f>L126-O126</f>
        <v>44.106200000000001</v>
      </c>
      <c r="S126" s="1110"/>
    </row>
    <row r="127" spans="1:19" s="226" customFormat="1" x14ac:dyDescent="0.2">
      <c r="A127" s="1104" t="s">
        <v>480</v>
      </c>
      <c r="B127" s="1110">
        <v>43.710999999999999</v>
      </c>
      <c r="C127" s="1110">
        <v>2.7E-2</v>
      </c>
      <c r="D127" s="1110">
        <v>-5.8999999999999997E-2</v>
      </c>
      <c r="E127" s="1110">
        <v>3.1E-2</v>
      </c>
      <c r="F127" s="1110">
        <v>0.06</v>
      </c>
      <c r="G127" s="1110"/>
      <c r="H127" s="1110"/>
      <c r="J127" s="1114" t="s">
        <v>480</v>
      </c>
      <c r="K127" s="412" t="s">
        <v>1221</v>
      </c>
      <c r="L127" s="1115">
        <v>43.807000000000002</v>
      </c>
      <c r="M127" s="1116">
        <v>5.3499999999999999E-2</v>
      </c>
      <c r="N127" s="1115">
        <v>2</v>
      </c>
      <c r="O127" s="1115">
        <v>9.6199999999999994E-2</v>
      </c>
      <c r="P127" s="1115">
        <v>5.1000000000000004E-3</v>
      </c>
      <c r="R127" s="1110">
        <f t="shared" ref="R127:R135" si="246">L127-O127</f>
        <v>43.710799999999999</v>
      </c>
      <c r="S127" s="1110"/>
    </row>
    <row r="128" spans="1:19" s="226" customFormat="1" x14ac:dyDescent="0.2">
      <c r="A128" s="1104" t="s">
        <v>1142</v>
      </c>
      <c r="B128" s="1110">
        <v>43.551000000000002</v>
      </c>
      <c r="C128" s="1110">
        <v>1.4999999999999999E-2</v>
      </c>
      <c r="D128" s="1110">
        <v>-0.219</v>
      </c>
      <c r="E128" s="1110">
        <v>2.3E-2</v>
      </c>
      <c r="F128" s="1110">
        <v>4.4999999999999998E-2</v>
      </c>
      <c r="G128" s="1110"/>
      <c r="H128" s="1110"/>
      <c r="J128" s="1114" t="s">
        <v>1142</v>
      </c>
      <c r="K128" s="412" t="s">
        <v>1222</v>
      </c>
      <c r="L128" s="1115">
        <v>43.591999999999999</v>
      </c>
      <c r="M128" s="1116">
        <v>2.9000000000000001E-2</v>
      </c>
      <c r="N128" s="1115">
        <v>2</v>
      </c>
      <c r="O128" s="1115">
        <v>4.07E-2</v>
      </c>
      <c r="P128" s="1115">
        <v>9.7999999999999997E-3</v>
      </c>
      <c r="R128" s="1110">
        <f t="shared" si="246"/>
        <v>43.551299999999998</v>
      </c>
      <c r="S128" s="1110"/>
    </row>
    <row r="129" spans="1:19" s="226" customFormat="1" x14ac:dyDescent="0.2">
      <c r="A129" s="1104" t="s">
        <v>473</v>
      </c>
      <c r="B129" s="1110">
        <v>43.811999999999998</v>
      </c>
      <c r="C129" s="1110">
        <v>7.0000000000000007E-2</v>
      </c>
      <c r="D129" s="1110">
        <v>4.2000000000000003E-2</v>
      </c>
      <c r="E129" s="1110">
        <v>6.6000000000000003E-2</v>
      </c>
      <c r="F129" s="1110">
        <v>0.13200000000000001</v>
      </c>
      <c r="G129" s="1110"/>
      <c r="H129" s="1110"/>
      <c r="J129" s="1114" t="s">
        <v>473</v>
      </c>
      <c r="K129" s="412" t="s">
        <v>1223</v>
      </c>
      <c r="L129" s="1115">
        <v>43.81</v>
      </c>
      <c r="M129" s="1116">
        <v>0.14000000000000001</v>
      </c>
      <c r="N129" s="1115">
        <v>2</v>
      </c>
      <c r="O129" s="1115">
        <v>-2E-3</v>
      </c>
      <c r="P129" s="1115">
        <v>6.4000000000000003E-3</v>
      </c>
      <c r="R129" s="1110">
        <f t="shared" si="246"/>
        <v>43.812000000000005</v>
      </c>
      <c r="S129" s="1110"/>
    </row>
    <row r="130" spans="1:19" s="226" customFormat="1" x14ac:dyDescent="0.2">
      <c r="A130" s="1104" t="s">
        <v>16</v>
      </c>
      <c r="B130" s="1110">
        <v>43.795000000000002</v>
      </c>
      <c r="C130" s="1110">
        <v>2.1999999999999999E-2</v>
      </c>
      <c r="D130" s="1110">
        <v>2.5000000000000001E-2</v>
      </c>
      <c r="E130" s="1110">
        <v>2.5000000000000001E-2</v>
      </c>
      <c r="F130" s="1110">
        <v>4.8000000000000001E-2</v>
      </c>
      <c r="G130" s="1110"/>
      <c r="H130" s="1110"/>
      <c r="J130" s="1114" t="s">
        <v>16</v>
      </c>
      <c r="K130" s="412" t="s">
        <v>1224</v>
      </c>
      <c r="L130" s="1115">
        <v>43.814999999999998</v>
      </c>
      <c r="M130" s="1116">
        <v>4.3999999999999997E-2</v>
      </c>
      <c r="N130" s="1115">
        <v>2</v>
      </c>
      <c r="O130" s="1115">
        <v>1.9599999999999999E-2</v>
      </c>
      <c r="P130" s="1115">
        <v>1.2E-2</v>
      </c>
      <c r="R130" s="1110">
        <f t="shared" si="246"/>
        <v>43.795400000000001</v>
      </c>
      <c r="S130" s="1110"/>
    </row>
    <row r="131" spans="1:19" s="226" customFormat="1" x14ac:dyDescent="0.2">
      <c r="A131" s="1104" t="s">
        <v>1225</v>
      </c>
      <c r="B131" s="1110">
        <v>43.838000000000001</v>
      </c>
      <c r="C131" s="1110">
        <v>0.14499999999999999</v>
      </c>
      <c r="D131" s="1110">
        <v>6.8000000000000005E-2</v>
      </c>
      <c r="E131" s="1110">
        <v>0.14000000000000001</v>
      </c>
      <c r="F131" s="1110">
        <v>0.27700000000000002</v>
      </c>
      <c r="G131" s="1110"/>
      <c r="H131" s="1110"/>
      <c r="J131" s="1114" t="s">
        <v>1225</v>
      </c>
      <c r="K131" s="412" t="s">
        <v>1226</v>
      </c>
      <c r="L131" s="1115">
        <v>43.82</v>
      </c>
      <c r="M131" s="1116">
        <v>0.28999999999999998</v>
      </c>
      <c r="N131" s="1115">
        <v>2</v>
      </c>
      <c r="O131" s="1115">
        <v>1.83E-2</v>
      </c>
      <c r="P131" s="1115">
        <v>1.77E-2</v>
      </c>
      <c r="R131" s="1110">
        <f t="shared" si="246"/>
        <v>43.801699999999997</v>
      </c>
      <c r="S131" s="1110"/>
    </row>
    <row r="132" spans="1:19" s="226" customFormat="1" x14ac:dyDescent="0.2">
      <c r="A132" s="1104" t="s">
        <v>464</v>
      </c>
      <c r="B132" s="1110">
        <v>43.781999999999996</v>
      </c>
      <c r="C132" s="1110">
        <v>3.3000000000000002E-2</v>
      </c>
      <c r="D132" s="1110">
        <v>1.2E-2</v>
      </c>
      <c r="E132" s="1110">
        <v>3.1E-2</v>
      </c>
      <c r="F132" s="1110">
        <v>6.4000000000000001E-2</v>
      </c>
      <c r="G132" s="1110"/>
      <c r="H132" s="1110"/>
      <c r="J132" s="1114" t="s">
        <v>464</v>
      </c>
      <c r="K132" s="412" t="s">
        <v>1227</v>
      </c>
      <c r="L132" s="1115">
        <v>43.765000000000001</v>
      </c>
      <c r="M132" s="1116">
        <v>6.6000000000000003E-2</v>
      </c>
      <c r="N132" s="1115">
        <v>2</v>
      </c>
      <c r="O132" s="1115">
        <v>-1.7100000000000001E-2</v>
      </c>
      <c r="P132" s="1115">
        <v>6.1000000000000004E-3</v>
      </c>
      <c r="R132" s="1110">
        <f t="shared" si="246"/>
        <v>43.7821</v>
      </c>
      <c r="S132" s="1110"/>
    </row>
    <row r="133" spans="1:19" s="226" customFormat="1" x14ac:dyDescent="0.2">
      <c r="A133" s="1104" t="s">
        <v>318</v>
      </c>
      <c r="B133" s="1110">
        <v>43.777999999999999</v>
      </c>
      <c r="C133" s="1110">
        <v>6.4000000000000001E-2</v>
      </c>
      <c r="D133" s="1110">
        <v>8.0000000000000002E-3</v>
      </c>
      <c r="E133" s="1110">
        <v>5.8999999999999997E-2</v>
      </c>
      <c r="F133" s="1110">
        <v>0.11899999999999999</v>
      </c>
      <c r="G133" s="1110"/>
      <c r="H133" s="1110"/>
      <c r="J133" s="1114" t="s">
        <v>318</v>
      </c>
      <c r="K133" s="412" t="s">
        <v>1228</v>
      </c>
      <c r="L133" s="1115">
        <v>43.815899999999999</v>
      </c>
      <c r="M133" s="1116">
        <v>0.12709999999999999</v>
      </c>
      <c r="N133" s="1115">
        <v>2</v>
      </c>
      <c r="O133" s="1115">
        <v>3.8100000000000002E-2</v>
      </c>
      <c r="P133" s="1115">
        <v>1.5699999999999999E-2</v>
      </c>
      <c r="R133" s="1110">
        <f t="shared" si="246"/>
        <v>43.777799999999999</v>
      </c>
      <c r="S133" s="1110"/>
    </row>
    <row r="134" spans="1:19" s="226" customFormat="1" x14ac:dyDescent="0.2">
      <c r="A134" s="1104" t="s">
        <v>2</v>
      </c>
      <c r="B134" s="1110">
        <v>43.765000000000001</v>
      </c>
      <c r="C134" s="1110">
        <v>2.3E-2</v>
      </c>
      <c r="D134" s="1110">
        <v>-5.0000000000000001E-3</v>
      </c>
      <c r="E134" s="1110">
        <v>2.4E-2</v>
      </c>
      <c r="F134" s="1110">
        <v>0.05</v>
      </c>
      <c r="G134" s="1110"/>
      <c r="H134" s="1110"/>
      <c r="J134" s="1114" t="s">
        <v>2</v>
      </c>
      <c r="K134" s="412" t="s">
        <v>1229</v>
      </c>
      <c r="L134" s="1115">
        <v>43.63</v>
      </c>
      <c r="M134" s="1116">
        <v>4.5999999999999999E-2</v>
      </c>
      <c r="N134" s="1115">
        <v>2</v>
      </c>
      <c r="O134" s="1115">
        <v>-0.13519999999999999</v>
      </c>
      <c r="P134" s="1115">
        <v>1.09E-2</v>
      </c>
      <c r="R134" s="1110">
        <f t="shared" si="246"/>
        <v>43.7652</v>
      </c>
      <c r="S134" s="1110"/>
    </row>
    <row r="135" spans="1:19" s="226" customFormat="1" x14ac:dyDescent="0.2">
      <c r="A135" s="1117" t="s">
        <v>21</v>
      </c>
      <c r="B135" s="1118">
        <v>43.741</v>
      </c>
      <c r="C135" s="1118">
        <v>1.2999999999999999E-2</v>
      </c>
      <c r="D135" s="1118">
        <v>-2.9000000000000001E-2</v>
      </c>
      <c r="E135" s="1118">
        <v>2.1000000000000001E-2</v>
      </c>
      <c r="F135" s="1118">
        <v>0.04</v>
      </c>
      <c r="G135" s="1110"/>
      <c r="H135" s="1110"/>
      <c r="J135" s="1119" t="s">
        <v>21</v>
      </c>
      <c r="K135" s="410" t="s">
        <v>1230</v>
      </c>
      <c r="L135" s="1120">
        <v>43.7</v>
      </c>
      <c r="M135" s="1121">
        <v>2.5999999999999999E-2</v>
      </c>
      <c r="N135" s="1120">
        <v>2</v>
      </c>
      <c r="O135" s="1120">
        <v>-4.07E-2</v>
      </c>
      <c r="P135" s="1120">
        <v>1.0200000000000001E-2</v>
      </c>
      <c r="R135" s="1110">
        <f t="shared" si="246"/>
        <v>43.740700000000004</v>
      </c>
      <c r="S135" s="1110"/>
    </row>
    <row r="136" spans="1:19" s="226" customFormat="1" x14ac:dyDescent="0.2">
      <c r="L136" s="1116"/>
      <c r="M136" s="1116"/>
      <c r="N136" s="1116"/>
      <c r="O136" s="1116"/>
      <c r="P136" s="1116"/>
    </row>
    <row r="137" spans="1:19" s="226" customFormat="1" x14ac:dyDescent="0.2">
      <c r="A137" s="407" t="s">
        <v>1231</v>
      </c>
      <c r="J137" s="226" t="s">
        <v>1232</v>
      </c>
      <c r="L137" s="1116"/>
      <c r="M137" s="1116"/>
      <c r="N137" s="1116"/>
      <c r="O137" s="1116"/>
      <c r="P137" s="1116"/>
    </row>
    <row r="138" spans="1:19" s="226" customFormat="1" ht="25.5" x14ac:dyDescent="0.2">
      <c r="A138" s="640" t="s">
        <v>1067</v>
      </c>
      <c r="B138" s="1105" t="s">
        <v>1211</v>
      </c>
      <c r="C138" s="1105" t="s">
        <v>1212</v>
      </c>
      <c r="D138" s="1106" t="s">
        <v>1213</v>
      </c>
      <c r="E138" s="1105" t="s">
        <v>1214</v>
      </c>
      <c r="F138" s="1105" t="s">
        <v>1215</v>
      </c>
      <c r="H138" s="412"/>
      <c r="J138" s="1107" t="s">
        <v>1067</v>
      </c>
      <c r="K138" s="1108" t="s">
        <v>1216</v>
      </c>
      <c r="L138" s="1122" t="s">
        <v>315</v>
      </c>
      <c r="M138" s="1123" t="s">
        <v>1217</v>
      </c>
      <c r="N138" s="1124" t="s">
        <v>131</v>
      </c>
      <c r="O138" s="1124" t="s">
        <v>1218</v>
      </c>
      <c r="P138" s="1124" t="s">
        <v>1219</v>
      </c>
      <c r="R138" s="412"/>
      <c r="S138" s="412"/>
    </row>
    <row r="139" spans="1:19" s="226" customFormat="1" x14ac:dyDescent="0.2">
      <c r="A139" s="1104" t="s">
        <v>176</v>
      </c>
      <c r="B139" s="1110">
        <v>39.468000000000004</v>
      </c>
      <c r="C139" s="1110">
        <v>2.1999999999999999E-2</v>
      </c>
      <c r="D139" s="1110">
        <v>0.33400000000000002</v>
      </c>
      <c r="E139" s="1110">
        <v>2.5000000000000001E-2</v>
      </c>
      <c r="F139" s="1110">
        <v>0.05</v>
      </c>
      <c r="J139" s="1114" t="s">
        <v>176</v>
      </c>
      <c r="K139" s="412" t="s">
        <v>1220</v>
      </c>
      <c r="L139" s="1115">
        <v>39.363999999999997</v>
      </c>
      <c r="M139" s="1116">
        <v>4.3999999999999997E-2</v>
      </c>
      <c r="N139" s="1115">
        <v>2</v>
      </c>
      <c r="O139" s="1115">
        <v>-0.1042</v>
      </c>
      <c r="P139" s="1115">
        <v>4.4000000000000003E-3</v>
      </c>
      <c r="R139" s="1110"/>
      <c r="S139" s="1110"/>
    </row>
    <row r="140" spans="1:19" s="226" customFormat="1" x14ac:dyDescent="0.2">
      <c r="A140" s="1104" t="s">
        <v>480</v>
      </c>
      <c r="B140" s="1110">
        <v>39.26</v>
      </c>
      <c r="C140" s="1110">
        <v>8.5000000000000006E-2</v>
      </c>
      <c r="D140" s="1110">
        <v>0.126</v>
      </c>
      <c r="E140" s="1110">
        <v>8.5000000000000006E-2</v>
      </c>
      <c r="F140" s="1110">
        <v>0.16400000000000001</v>
      </c>
      <c r="J140" s="1114" t="s">
        <v>480</v>
      </c>
      <c r="K140" s="412" t="s">
        <v>1221</v>
      </c>
      <c r="L140" s="1115">
        <v>39.151000000000003</v>
      </c>
      <c r="M140" s="1116">
        <v>0.1706</v>
      </c>
      <c r="N140" s="1115">
        <v>2</v>
      </c>
      <c r="O140" s="1115">
        <v>-0.1094</v>
      </c>
      <c r="P140" s="1115">
        <v>9.1000000000000004E-3</v>
      </c>
      <c r="R140" s="1110"/>
      <c r="S140" s="1110"/>
    </row>
    <row r="141" spans="1:19" s="226" customFormat="1" x14ac:dyDescent="0.2">
      <c r="A141" s="1104" t="s">
        <v>1142</v>
      </c>
      <c r="B141" s="1110">
        <v>39.127000000000002</v>
      </c>
      <c r="C141" s="1110">
        <v>1.2999999999999999E-2</v>
      </c>
      <c r="D141" s="1110">
        <v>-7.0000000000000001E-3</v>
      </c>
      <c r="E141" s="1110">
        <v>1.4999999999999999E-2</v>
      </c>
      <c r="F141" s="1110">
        <v>3.2000000000000001E-2</v>
      </c>
      <c r="J141" s="1114" t="s">
        <v>1142</v>
      </c>
      <c r="K141" s="412" t="s">
        <v>1222</v>
      </c>
      <c r="L141" s="1115">
        <v>39.021999999999998</v>
      </c>
      <c r="M141" s="1116">
        <v>2.5000000000000001E-2</v>
      </c>
      <c r="N141" s="1115">
        <v>2</v>
      </c>
      <c r="O141" s="1115">
        <v>-0.105</v>
      </c>
      <c r="P141" s="1115">
        <v>2.5999999999999999E-3</v>
      </c>
      <c r="R141" s="1110"/>
      <c r="S141" s="1110"/>
    </row>
    <row r="142" spans="1:19" s="226" customFormat="1" x14ac:dyDescent="0.2">
      <c r="A142" s="1104" t="s">
        <v>473</v>
      </c>
      <c r="B142" s="1110">
        <v>38.965000000000003</v>
      </c>
      <c r="C142" s="1110">
        <v>0.105</v>
      </c>
      <c r="D142" s="1110">
        <v>-0.16800000000000001</v>
      </c>
      <c r="E142" s="1110">
        <v>0.104</v>
      </c>
      <c r="F142" s="1110">
        <v>0.20100000000000001</v>
      </c>
      <c r="J142" s="1114" t="s">
        <v>473</v>
      </c>
      <c r="K142" s="412" t="s">
        <v>1223</v>
      </c>
      <c r="L142" s="1115">
        <v>38.880000000000003</v>
      </c>
      <c r="M142" s="1116">
        <v>0.21</v>
      </c>
      <c r="N142" s="1115">
        <v>2</v>
      </c>
      <c r="O142" s="1115">
        <v>-8.5300000000000001E-2</v>
      </c>
      <c r="P142" s="1115">
        <v>4.4999999999999997E-3</v>
      </c>
      <c r="R142" s="1110"/>
      <c r="S142" s="1110"/>
    </row>
    <row r="143" spans="1:19" s="226" customFormat="1" x14ac:dyDescent="0.2">
      <c r="A143" s="1104" t="s">
        <v>16</v>
      </c>
      <c r="B143" s="1110">
        <v>39.143000000000001</v>
      </c>
      <c r="C143" s="1110">
        <v>0.02</v>
      </c>
      <c r="D143" s="1110">
        <v>8.9999999999999993E-3</v>
      </c>
      <c r="E143" s="1110">
        <v>0.02</v>
      </c>
      <c r="F143" s="1110">
        <v>0.04</v>
      </c>
      <c r="J143" s="1114" t="s">
        <v>16</v>
      </c>
      <c r="K143" s="412" t="s">
        <v>1224</v>
      </c>
      <c r="L143" s="1115">
        <v>39.21</v>
      </c>
      <c r="M143" s="1116">
        <v>3.9E-2</v>
      </c>
      <c r="N143" s="1115">
        <v>2</v>
      </c>
      <c r="O143" s="1115">
        <v>6.6699999999999995E-2</v>
      </c>
      <c r="P143" s="1115">
        <v>5.0000000000000001E-3</v>
      </c>
      <c r="R143" s="1110"/>
      <c r="S143" s="1110"/>
    </row>
    <row r="144" spans="1:19" s="226" customFormat="1" x14ac:dyDescent="0.2">
      <c r="A144" s="1104" t="s">
        <v>1225</v>
      </c>
      <c r="B144" s="1110">
        <v>39.075000000000003</v>
      </c>
      <c r="C144" s="1110">
        <v>0.13</v>
      </c>
      <c r="D144" s="1110">
        <v>-5.8999999999999997E-2</v>
      </c>
      <c r="E144" s="1110">
        <v>0.126</v>
      </c>
      <c r="F144" s="1110">
        <v>0.249</v>
      </c>
      <c r="J144" s="1114" t="s">
        <v>1225</v>
      </c>
      <c r="K144" s="412" t="s">
        <v>1226</v>
      </c>
      <c r="L144" s="1115">
        <v>38.96</v>
      </c>
      <c r="M144" s="1116">
        <v>0.26</v>
      </c>
      <c r="N144" s="1115">
        <v>2</v>
      </c>
      <c r="O144" s="1115">
        <v>-0.1147</v>
      </c>
      <c r="P144" s="1115">
        <v>2.5700000000000001E-2</v>
      </c>
      <c r="R144" s="1110"/>
      <c r="S144" s="1110"/>
    </row>
    <row r="145" spans="1:19" s="226" customFormat="1" x14ac:dyDescent="0.2">
      <c r="A145" s="1104" t="s">
        <v>464</v>
      </c>
      <c r="B145" s="1110">
        <v>39.179000000000002</v>
      </c>
      <c r="C145" s="1110">
        <v>6.5000000000000002E-2</v>
      </c>
      <c r="D145" s="1110">
        <v>4.4999999999999998E-2</v>
      </c>
      <c r="E145" s="1110">
        <v>6.3E-2</v>
      </c>
      <c r="F145" s="1110">
        <v>0.124</v>
      </c>
      <c r="J145" s="1114" t="s">
        <v>464</v>
      </c>
      <c r="K145" s="412" t="s">
        <v>1227</v>
      </c>
      <c r="L145" s="1115">
        <v>39.24</v>
      </c>
      <c r="M145" s="1116">
        <v>0.13</v>
      </c>
      <c r="N145" s="1115">
        <v>2</v>
      </c>
      <c r="O145" s="1115">
        <v>6.13E-2</v>
      </c>
      <c r="P145" s="1115">
        <v>1.37E-2</v>
      </c>
      <c r="R145" s="1110"/>
      <c r="S145" s="1110"/>
    </row>
    <row r="146" spans="1:19" s="226" customFormat="1" x14ac:dyDescent="0.2">
      <c r="A146" s="1104" t="s">
        <v>318</v>
      </c>
      <c r="B146" s="1110">
        <v>39.124000000000002</v>
      </c>
      <c r="C146" s="1110">
        <v>3.1E-2</v>
      </c>
      <c r="D146" s="1110">
        <v>-0.01</v>
      </c>
      <c r="E146" s="1110">
        <v>2.9000000000000001E-2</v>
      </c>
      <c r="F146" s="1110">
        <v>5.8999999999999997E-2</v>
      </c>
      <c r="J146" s="1114" t="s">
        <v>318</v>
      </c>
      <c r="K146" s="412" t="s">
        <v>1228</v>
      </c>
      <c r="L146" s="1115">
        <v>39.023400000000002</v>
      </c>
      <c r="M146" s="1116">
        <v>6.0999999999999999E-2</v>
      </c>
      <c r="N146" s="1115">
        <v>2</v>
      </c>
      <c r="O146" s="1115">
        <v>-0.1002</v>
      </c>
      <c r="P146" s="1115">
        <v>1.6799999999999999E-2</v>
      </c>
      <c r="R146" s="1110"/>
      <c r="S146" s="1110"/>
    </row>
    <row r="147" spans="1:19" s="226" customFormat="1" x14ac:dyDescent="0.2">
      <c r="A147" s="1104" t="s">
        <v>2</v>
      </c>
      <c r="B147" s="1110">
        <v>39.116999999999997</v>
      </c>
      <c r="C147" s="1110">
        <v>0.03</v>
      </c>
      <c r="D147" s="1110">
        <v>-1.7000000000000001E-2</v>
      </c>
      <c r="E147" s="1110">
        <v>2.9000000000000001E-2</v>
      </c>
      <c r="F147" s="1110">
        <v>5.8000000000000003E-2</v>
      </c>
      <c r="J147" s="1114" t="s">
        <v>2</v>
      </c>
      <c r="K147" s="412" t="s">
        <v>1229</v>
      </c>
      <c r="L147" s="1115">
        <v>39.43</v>
      </c>
      <c r="M147" s="1116">
        <v>0.06</v>
      </c>
      <c r="N147" s="1115">
        <v>2</v>
      </c>
      <c r="O147" s="1115">
        <v>0.3135</v>
      </c>
      <c r="P147" s="1115">
        <v>2.8999999999999998E-3</v>
      </c>
      <c r="R147" s="1110"/>
      <c r="S147" s="1110"/>
    </row>
    <row r="148" spans="1:19" s="226" customFormat="1" x14ac:dyDescent="0.2">
      <c r="A148" s="1117" t="s">
        <v>21</v>
      </c>
      <c r="B148" s="1118">
        <v>39.122999999999998</v>
      </c>
      <c r="C148" s="1118">
        <v>1.6E-2</v>
      </c>
      <c r="D148" s="1118">
        <v>-1.0999999999999999E-2</v>
      </c>
      <c r="E148" s="1118">
        <v>1.7999999999999999E-2</v>
      </c>
      <c r="F148" s="1118">
        <v>3.5999999999999997E-2</v>
      </c>
      <c r="J148" s="1114" t="s">
        <v>21</v>
      </c>
      <c r="K148" s="412" t="s">
        <v>1230</v>
      </c>
      <c r="L148" s="1115">
        <v>39.299999999999997</v>
      </c>
      <c r="M148" s="1116">
        <v>3.2000000000000001E-2</v>
      </c>
      <c r="N148" s="1115">
        <v>2</v>
      </c>
      <c r="O148" s="1115">
        <v>0.1772</v>
      </c>
      <c r="P148" s="1115">
        <v>6.0000000000000001E-3</v>
      </c>
      <c r="R148" s="1110"/>
      <c r="S148" s="1110"/>
    </row>
    <row r="149" spans="1:19" s="226" customFormat="1" x14ac:dyDescent="0.2">
      <c r="L149" s="1116"/>
      <c r="M149" s="1116"/>
      <c r="N149" s="1116"/>
      <c r="O149" s="1116"/>
      <c r="P149" s="1116"/>
    </row>
    <row r="150" spans="1:19" s="226" customFormat="1" x14ac:dyDescent="0.2">
      <c r="A150" s="407" t="s">
        <v>1233</v>
      </c>
      <c r="J150" s="226" t="s">
        <v>1234</v>
      </c>
      <c r="L150" s="1116"/>
      <c r="M150" s="1116"/>
      <c r="N150" s="1116"/>
      <c r="O150" s="1116"/>
      <c r="P150" s="1116"/>
    </row>
    <row r="151" spans="1:19" s="226" customFormat="1" ht="25.5" x14ac:dyDescent="0.2">
      <c r="A151" s="640" t="s">
        <v>1067</v>
      </c>
      <c r="B151" s="1105" t="s">
        <v>1211</v>
      </c>
      <c r="C151" s="1105" t="s">
        <v>1212</v>
      </c>
      <c r="D151" s="1106" t="s">
        <v>1213</v>
      </c>
      <c r="E151" s="1105" t="s">
        <v>1214</v>
      </c>
      <c r="F151" s="1105" t="s">
        <v>1215</v>
      </c>
      <c r="G151" s="412"/>
      <c r="H151" s="412"/>
      <c r="J151" s="1107" t="s">
        <v>1067</v>
      </c>
      <c r="K151" s="1108" t="s">
        <v>1216</v>
      </c>
      <c r="L151" s="1122" t="s">
        <v>315</v>
      </c>
      <c r="M151" s="1123" t="s">
        <v>1217</v>
      </c>
      <c r="N151" s="1124" t="s">
        <v>131</v>
      </c>
      <c r="O151" s="1124" t="s">
        <v>1218</v>
      </c>
      <c r="P151" s="1124" t="s">
        <v>1219</v>
      </c>
      <c r="R151" s="412"/>
      <c r="S151" s="412"/>
    </row>
    <row r="152" spans="1:19" s="226" customFormat="1" x14ac:dyDescent="0.2">
      <c r="A152" s="1104" t="s">
        <v>176</v>
      </c>
      <c r="B152" s="1110">
        <v>15.132999999999999</v>
      </c>
      <c r="C152" s="1110">
        <v>1.4999999999999999E-2</v>
      </c>
      <c r="D152" s="1110">
        <v>-0.63</v>
      </c>
      <c r="E152" s="1110">
        <v>1.6E-2</v>
      </c>
      <c r="F152" s="1110">
        <v>3.2000000000000001E-2</v>
      </c>
      <c r="G152" s="1110"/>
      <c r="H152" s="1110"/>
      <c r="J152" s="1114" t="s">
        <v>176</v>
      </c>
      <c r="K152" s="412" t="s">
        <v>1220</v>
      </c>
      <c r="L152" s="1115">
        <v>15.199</v>
      </c>
      <c r="M152" s="1116">
        <v>2.9000000000000001E-2</v>
      </c>
      <c r="N152" s="1115">
        <v>2</v>
      </c>
      <c r="O152" s="1115">
        <v>6.5699999999999995E-2</v>
      </c>
      <c r="P152" s="1115">
        <v>1.5E-3</v>
      </c>
      <c r="R152" s="1110"/>
      <c r="S152" s="1110"/>
    </row>
    <row r="153" spans="1:19" s="226" customFormat="1" x14ac:dyDescent="0.2">
      <c r="A153" s="1104" t="s">
        <v>480</v>
      </c>
      <c r="B153" s="1110">
        <v>15.621</v>
      </c>
      <c r="C153" s="1110">
        <v>7.8E-2</v>
      </c>
      <c r="D153" s="1110">
        <v>-0.14199999999999999</v>
      </c>
      <c r="E153" s="1110">
        <v>7.8E-2</v>
      </c>
      <c r="F153" s="1110">
        <v>0.151</v>
      </c>
      <c r="G153" s="1110"/>
      <c r="H153" s="1110"/>
      <c r="J153" s="1114" t="s">
        <v>480</v>
      </c>
      <c r="K153" s="412" t="s">
        <v>1221</v>
      </c>
      <c r="L153" s="1115">
        <v>15.685</v>
      </c>
      <c r="M153" s="1116">
        <v>0.1565</v>
      </c>
      <c r="N153" s="1115">
        <v>2</v>
      </c>
      <c r="O153" s="1115">
        <v>6.4399999999999999E-2</v>
      </c>
      <c r="P153" s="1115">
        <v>3.5000000000000001E-3</v>
      </c>
      <c r="R153" s="1110"/>
      <c r="S153" s="1110"/>
    </row>
    <row r="154" spans="1:19" s="226" customFormat="1" x14ac:dyDescent="0.2">
      <c r="A154" s="1104" t="s">
        <v>1142</v>
      </c>
      <c r="B154" s="1110">
        <v>15.981999999999999</v>
      </c>
      <c r="C154" s="1110">
        <v>6.0000000000000001E-3</v>
      </c>
      <c r="D154" s="1110">
        <v>0.219</v>
      </c>
      <c r="E154" s="1110">
        <v>0.01</v>
      </c>
      <c r="F154" s="1110">
        <v>1.9E-2</v>
      </c>
      <c r="G154" s="1110"/>
      <c r="H154" s="1110"/>
      <c r="J154" s="1114" t="s">
        <v>1142</v>
      </c>
      <c r="K154" s="412" t="s">
        <v>1222</v>
      </c>
      <c r="L154" s="1115">
        <v>16.02</v>
      </c>
      <c r="M154" s="1116">
        <v>1.0999999999999999E-2</v>
      </c>
      <c r="N154" s="1115">
        <v>2</v>
      </c>
      <c r="O154" s="1115">
        <v>3.8100000000000002E-2</v>
      </c>
      <c r="P154" s="1115">
        <v>1.1999999999999999E-3</v>
      </c>
      <c r="R154" s="1110"/>
      <c r="S154" s="1110"/>
    </row>
    <row r="155" spans="1:19" s="226" customFormat="1" x14ac:dyDescent="0.2">
      <c r="A155" s="1104" t="s">
        <v>473</v>
      </c>
      <c r="B155" s="1110">
        <v>15.881</v>
      </c>
      <c r="C155" s="1110">
        <v>6.5000000000000002E-2</v>
      </c>
      <c r="D155" s="1110">
        <v>0.11799999999999999</v>
      </c>
      <c r="E155" s="1110">
        <v>6.5000000000000002E-2</v>
      </c>
      <c r="F155" s="1110">
        <v>0.125</v>
      </c>
      <c r="G155" s="1110"/>
      <c r="H155" s="1110"/>
      <c r="J155" s="1114" t="s">
        <v>473</v>
      </c>
      <c r="K155" s="412" t="s">
        <v>1223</v>
      </c>
      <c r="L155" s="1115">
        <v>15.92</v>
      </c>
      <c r="M155" s="1116">
        <v>0.13</v>
      </c>
      <c r="N155" s="1115">
        <v>2</v>
      </c>
      <c r="O155" s="1115">
        <v>3.8699999999999998E-2</v>
      </c>
      <c r="P155" s="1115">
        <v>1.4E-3</v>
      </c>
      <c r="R155" s="1110"/>
      <c r="S155" s="1110"/>
    </row>
    <row r="156" spans="1:19" s="226" customFormat="1" x14ac:dyDescent="0.2">
      <c r="A156" s="1104" t="s">
        <v>16</v>
      </c>
      <c r="B156" s="1110">
        <v>15.786</v>
      </c>
      <c r="C156" s="1110">
        <v>2.4E-2</v>
      </c>
      <c r="D156" s="1110">
        <v>2.3E-2</v>
      </c>
      <c r="E156" s="1110">
        <v>2.3E-2</v>
      </c>
      <c r="F156" s="1110">
        <v>4.3999999999999997E-2</v>
      </c>
      <c r="G156" s="1110"/>
      <c r="H156" s="1110"/>
      <c r="J156" s="1114" t="s">
        <v>16</v>
      </c>
      <c r="K156" s="412" t="s">
        <v>1224</v>
      </c>
      <c r="L156" s="1115">
        <v>15.667</v>
      </c>
      <c r="M156" s="1116">
        <v>4.7E-2</v>
      </c>
      <c r="N156" s="1115">
        <v>2</v>
      </c>
      <c r="O156" s="1115">
        <v>-0.1192</v>
      </c>
      <c r="P156" s="1115">
        <v>2.3E-3</v>
      </c>
      <c r="R156" s="1110"/>
      <c r="S156" s="1110"/>
    </row>
    <row r="157" spans="1:19" s="226" customFormat="1" x14ac:dyDescent="0.2">
      <c r="A157" s="1104" t="s">
        <v>1225</v>
      </c>
      <c r="B157" s="1110">
        <v>15.805999999999999</v>
      </c>
      <c r="C157" s="1110">
        <v>8.5000000000000006E-2</v>
      </c>
      <c r="D157" s="1110">
        <v>4.2999999999999997E-2</v>
      </c>
      <c r="E157" s="1110">
        <v>8.2000000000000003E-2</v>
      </c>
      <c r="F157" s="1110">
        <v>0.16300000000000001</v>
      </c>
      <c r="G157" s="1110"/>
      <c r="H157" s="1110"/>
      <c r="J157" s="1114" t="s">
        <v>1225</v>
      </c>
      <c r="K157" s="412" t="s">
        <v>1226</v>
      </c>
      <c r="L157" s="1115">
        <v>15.89</v>
      </c>
      <c r="M157" s="1116">
        <v>0.17</v>
      </c>
      <c r="N157" s="1115">
        <v>2</v>
      </c>
      <c r="O157" s="1115">
        <v>8.3699999999999997E-2</v>
      </c>
      <c r="P157" s="1115">
        <v>8.6E-3</v>
      </c>
      <c r="R157" s="1110"/>
      <c r="S157" s="1110"/>
    </row>
    <row r="158" spans="1:19" s="226" customFormat="1" x14ac:dyDescent="0.2">
      <c r="A158" s="1104" t="s">
        <v>464</v>
      </c>
      <c r="B158" s="1110">
        <v>15.756</v>
      </c>
      <c r="C158" s="1110">
        <v>1.2999999999999999E-2</v>
      </c>
      <c r="D158" s="1110">
        <v>-7.0000000000000001E-3</v>
      </c>
      <c r="E158" s="1110">
        <v>1.2999999999999999E-2</v>
      </c>
      <c r="F158" s="1110">
        <v>2.5000000000000001E-2</v>
      </c>
      <c r="G158" s="1110"/>
      <c r="H158" s="1110"/>
      <c r="J158" s="1114" t="s">
        <v>464</v>
      </c>
      <c r="K158" s="412" t="s">
        <v>1227</v>
      </c>
      <c r="L158" s="1115">
        <v>15.712999999999999</v>
      </c>
      <c r="M158" s="1116">
        <v>2.5999999999999999E-2</v>
      </c>
      <c r="N158" s="1115">
        <v>2</v>
      </c>
      <c r="O158" s="1115">
        <v>-4.2799999999999998E-2</v>
      </c>
      <c r="P158" s="1115">
        <v>7.0000000000000001E-3</v>
      </c>
      <c r="R158" s="1110"/>
      <c r="S158" s="1110"/>
    </row>
    <row r="159" spans="1:19" s="226" customFormat="1" x14ac:dyDescent="0.2">
      <c r="A159" s="1104" t="s">
        <v>318</v>
      </c>
      <c r="B159" s="1110">
        <v>15.77</v>
      </c>
      <c r="C159" s="1110">
        <v>1.2E-2</v>
      </c>
      <c r="D159" s="1110">
        <v>7.0000000000000001E-3</v>
      </c>
      <c r="E159" s="1110">
        <v>1.2E-2</v>
      </c>
      <c r="F159" s="1110">
        <v>2.4E-2</v>
      </c>
      <c r="G159" s="1110"/>
      <c r="H159" s="1110"/>
      <c r="J159" s="1114" t="s">
        <v>318</v>
      </c>
      <c r="K159" s="412" t="s">
        <v>1228</v>
      </c>
      <c r="L159" s="1115">
        <v>15.834</v>
      </c>
      <c r="M159" s="1116">
        <v>2.4799999999999999E-2</v>
      </c>
      <c r="N159" s="1115">
        <v>2</v>
      </c>
      <c r="O159" s="1115">
        <v>6.3899999999999998E-2</v>
      </c>
      <c r="P159" s="1115">
        <v>6.7000000000000002E-3</v>
      </c>
      <c r="R159" s="1110"/>
      <c r="S159" s="1110"/>
    </row>
    <row r="160" spans="1:19" s="226" customFormat="1" x14ac:dyDescent="0.2">
      <c r="A160" s="1104" t="s">
        <v>2</v>
      </c>
      <c r="B160" s="1110">
        <v>15.744</v>
      </c>
      <c r="C160" s="1110">
        <v>1.4999999999999999E-2</v>
      </c>
      <c r="D160" s="1110">
        <v>-1.9E-2</v>
      </c>
      <c r="E160" s="1110">
        <v>1.6E-2</v>
      </c>
      <c r="F160" s="1110">
        <v>2.9000000000000001E-2</v>
      </c>
      <c r="G160" s="1110"/>
      <c r="H160" s="1110"/>
      <c r="J160" s="1114" t="s">
        <v>2</v>
      </c>
      <c r="K160" s="412" t="s">
        <v>1229</v>
      </c>
      <c r="L160" s="1115">
        <v>15.61</v>
      </c>
      <c r="M160" s="1116">
        <v>0.03</v>
      </c>
      <c r="N160" s="1115">
        <v>2</v>
      </c>
      <c r="O160" s="1115">
        <v>-0.13389999999999999</v>
      </c>
      <c r="P160" s="1115">
        <v>8.9999999999999998E-4</v>
      </c>
      <c r="R160" s="1110"/>
      <c r="S160" s="1110"/>
    </row>
    <row r="161" spans="1:20" s="226" customFormat="1" x14ac:dyDescent="0.2">
      <c r="A161" s="1117" t="s">
        <v>21</v>
      </c>
      <c r="B161" s="1118">
        <v>15.759</v>
      </c>
      <c r="C161" s="1118">
        <v>7.0000000000000001E-3</v>
      </c>
      <c r="D161" s="1118">
        <v>-4.0000000000000001E-3</v>
      </c>
      <c r="E161" s="1118">
        <v>8.9999999999999993E-3</v>
      </c>
      <c r="F161" s="1118">
        <v>1.7999999999999999E-2</v>
      </c>
      <c r="G161" s="1110"/>
      <c r="H161" s="1110"/>
      <c r="J161" s="1114" t="s">
        <v>21</v>
      </c>
      <c r="K161" s="412" t="s">
        <v>1230</v>
      </c>
      <c r="L161" s="1115">
        <v>15.7</v>
      </c>
      <c r="M161" s="1116">
        <v>1.2999999999999999E-2</v>
      </c>
      <c r="N161" s="1115">
        <v>2</v>
      </c>
      <c r="O161" s="1115">
        <v>-5.8799999999999998E-2</v>
      </c>
      <c r="P161" s="1115">
        <v>1.9E-3</v>
      </c>
      <c r="R161" s="1110"/>
      <c r="S161" s="1110"/>
    </row>
    <row r="162" spans="1:20" s="226" customFormat="1" x14ac:dyDescent="0.2">
      <c r="L162" s="1116"/>
      <c r="M162" s="1116"/>
      <c r="N162" s="1116"/>
      <c r="O162" s="1116"/>
      <c r="P162" s="1116"/>
    </row>
    <row r="163" spans="1:20" s="226" customFormat="1" x14ac:dyDescent="0.2">
      <c r="A163" s="407" t="s">
        <v>1235</v>
      </c>
      <c r="J163" s="226" t="s">
        <v>1236</v>
      </c>
      <c r="L163" s="1116"/>
      <c r="M163" s="1116"/>
      <c r="N163" s="1116"/>
      <c r="O163" s="1116"/>
      <c r="P163" s="1116"/>
    </row>
    <row r="164" spans="1:20" s="226" customFormat="1" ht="25.5" x14ac:dyDescent="0.2">
      <c r="A164" s="640" t="s">
        <v>1067</v>
      </c>
      <c r="B164" s="1105" t="s">
        <v>1211</v>
      </c>
      <c r="C164" s="1105" t="s">
        <v>1212</v>
      </c>
      <c r="D164" s="1106" t="s">
        <v>1213</v>
      </c>
      <c r="E164" s="1105" t="s">
        <v>1214</v>
      </c>
      <c r="F164" s="1105" t="s">
        <v>1215</v>
      </c>
      <c r="G164" s="412"/>
      <c r="H164" s="412"/>
      <c r="J164" s="1107" t="s">
        <v>1067</v>
      </c>
      <c r="K164" s="1108" t="s">
        <v>1216</v>
      </c>
      <c r="L164" s="1122" t="s">
        <v>315</v>
      </c>
      <c r="M164" s="1123" t="s">
        <v>1217</v>
      </c>
      <c r="N164" s="1124" t="s">
        <v>131</v>
      </c>
      <c r="O164" s="1124" t="s">
        <v>1218</v>
      </c>
      <c r="P164" s="1124" t="s">
        <v>1219</v>
      </c>
      <c r="Q164" s="412"/>
      <c r="S164" s="412"/>
      <c r="T164" s="412"/>
    </row>
    <row r="165" spans="1:20" s="226" customFormat="1" x14ac:dyDescent="0.2">
      <c r="A165" s="1104" t="s">
        <v>176</v>
      </c>
      <c r="B165" s="556">
        <v>0.76239999999999997</v>
      </c>
      <c r="C165" s="556">
        <v>6.0000000000000001E-3</v>
      </c>
      <c r="D165" s="556">
        <v>-3.0300000000000001E-2</v>
      </c>
      <c r="E165" s="556">
        <v>6.1999999999999998E-3</v>
      </c>
      <c r="F165" s="556">
        <v>1.21E-2</v>
      </c>
      <c r="G165" s="556"/>
      <c r="H165" s="556"/>
      <c r="J165" s="1114" t="s">
        <v>176</v>
      </c>
      <c r="K165" s="412" t="s">
        <v>1220</v>
      </c>
      <c r="L165" s="1115">
        <v>0.76500000000000001</v>
      </c>
      <c r="M165" s="1115">
        <v>1.2E-2</v>
      </c>
      <c r="N165" s="1116">
        <v>2</v>
      </c>
      <c r="O165" s="1115">
        <v>2.63E-3</v>
      </c>
      <c r="P165" s="1115">
        <v>1.1E-4</v>
      </c>
      <c r="Q165" s="556"/>
      <c r="S165" s="556"/>
      <c r="T165" s="556"/>
    </row>
    <row r="166" spans="1:20" s="226" customFormat="1" x14ac:dyDescent="0.2">
      <c r="A166" s="1104" t="s">
        <v>480</v>
      </c>
      <c r="B166" s="556">
        <v>0.78110000000000002</v>
      </c>
      <c r="C166" s="556">
        <v>0.1188</v>
      </c>
      <c r="D166" s="556">
        <v>-1.17E-2</v>
      </c>
      <c r="E166" s="556">
        <v>0.1181</v>
      </c>
      <c r="F166" s="556">
        <v>0.23169999999999999</v>
      </c>
      <c r="G166" s="556"/>
      <c r="H166" s="556"/>
      <c r="J166" s="412" t="s">
        <v>480</v>
      </c>
      <c r="K166" s="412" t="s">
        <v>1221</v>
      </c>
      <c r="L166" s="1115">
        <v>0.78069999999999995</v>
      </c>
      <c r="M166" s="1115">
        <v>0.23760000000000001</v>
      </c>
      <c r="N166" s="1116">
        <v>2</v>
      </c>
      <c r="O166" s="1115">
        <v>-3.6000000000000002E-4</v>
      </c>
      <c r="P166" s="1115">
        <v>3.0000000000000001E-5</v>
      </c>
      <c r="Q166" s="556"/>
      <c r="S166" s="556"/>
      <c r="T166" s="556"/>
    </row>
    <row r="167" spans="1:20" s="226" customFormat="1" x14ac:dyDescent="0.2">
      <c r="A167" s="1104" t="s">
        <v>1142</v>
      </c>
      <c r="B167" s="556">
        <v>0.78910000000000002</v>
      </c>
      <c r="C167" s="556">
        <v>3.15E-2</v>
      </c>
      <c r="D167" s="556">
        <v>-3.5999999999999999E-3</v>
      </c>
      <c r="E167" s="556">
        <v>3.09E-2</v>
      </c>
      <c r="F167" s="556">
        <v>6.0900000000000003E-2</v>
      </c>
      <c r="G167" s="556"/>
      <c r="H167" s="556"/>
      <c r="J167" s="1114" t="s">
        <v>1142</v>
      </c>
      <c r="K167" s="412" t="s">
        <v>1222</v>
      </c>
      <c r="L167" s="1115">
        <v>0.78900000000000003</v>
      </c>
      <c r="M167" s="1115">
        <v>6.3E-2</v>
      </c>
      <c r="N167" s="1116">
        <v>2</v>
      </c>
      <c r="O167" s="1115">
        <v>-1.3999999999999999E-4</v>
      </c>
      <c r="P167" s="1115">
        <v>8.0000000000000007E-5</v>
      </c>
      <c r="Q167" s="556"/>
      <c r="S167" s="556"/>
      <c r="T167" s="556"/>
    </row>
    <row r="168" spans="1:20" s="226" customFormat="1" x14ac:dyDescent="0.2">
      <c r="A168" s="1104" t="s">
        <v>473</v>
      </c>
      <c r="B168" s="556">
        <v>0.77939999999999998</v>
      </c>
      <c r="C168" s="556">
        <v>4.4999999999999997E-3</v>
      </c>
      <c r="D168" s="556">
        <v>-1.3299999999999999E-2</v>
      </c>
      <c r="E168" s="556">
        <v>4.7000000000000002E-3</v>
      </c>
      <c r="F168" s="556">
        <v>9.1999999999999998E-3</v>
      </c>
      <c r="G168" s="556"/>
      <c r="H168" s="556"/>
      <c r="J168" s="1114" t="s">
        <v>473</v>
      </c>
      <c r="K168" s="412" t="s">
        <v>1223</v>
      </c>
      <c r="L168" s="1115">
        <v>0.78080000000000005</v>
      </c>
      <c r="M168" s="1115">
        <v>8.8999999999999999E-3</v>
      </c>
      <c r="N168" s="1116">
        <v>2</v>
      </c>
      <c r="O168" s="1115">
        <v>1.4E-3</v>
      </c>
      <c r="P168" s="1115">
        <v>8.0000000000000007E-5</v>
      </c>
      <c r="Q168" s="556"/>
      <c r="S168" s="556"/>
      <c r="T168" s="556"/>
    </row>
    <row r="169" spans="1:20" s="226" customFormat="1" x14ac:dyDescent="0.2">
      <c r="A169" s="1104" t="s">
        <v>16</v>
      </c>
      <c r="B169" s="556">
        <v>0.79649999999999999</v>
      </c>
      <c r="C169" s="556">
        <v>1.6000000000000001E-3</v>
      </c>
      <c r="D169" s="556">
        <v>3.8E-3</v>
      </c>
      <c r="E169" s="556">
        <v>2E-3</v>
      </c>
      <c r="F169" s="556">
        <v>3.8E-3</v>
      </c>
      <c r="G169" s="556"/>
      <c r="H169" s="556"/>
      <c r="J169" s="1114" t="s">
        <v>16</v>
      </c>
      <c r="K169" s="412" t="s">
        <v>1224</v>
      </c>
      <c r="L169" s="1115">
        <v>0.79459999999999997</v>
      </c>
      <c r="M169" s="1115">
        <v>3.2000000000000002E-3</v>
      </c>
      <c r="N169" s="1116">
        <v>2</v>
      </c>
      <c r="O169" s="1115">
        <v>-1.9400000000000001E-3</v>
      </c>
      <c r="P169" s="1115">
        <v>2.3000000000000001E-4</v>
      </c>
      <c r="Q169" s="556"/>
      <c r="S169" s="556"/>
      <c r="T169" s="556"/>
    </row>
    <row r="170" spans="1:20" s="226" customFormat="1" x14ac:dyDescent="0.2">
      <c r="A170" s="1104" t="s">
        <v>1225</v>
      </c>
      <c r="B170" s="556">
        <v>0.80659999999999998</v>
      </c>
      <c r="C170" s="556">
        <v>8.9999999999999993E-3</v>
      </c>
      <c r="D170" s="556">
        <v>1.38E-2</v>
      </c>
      <c r="E170" s="556">
        <v>8.8999999999999999E-3</v>
      </c>
      <c r="F170" s="556">
        <v>1.7000000000000001E-2</v>
      </c>
      <c r="G170" s="556"/>
      <c r="H170" s="556"/>
      <c r="J170" s="1114" t="s">
        <v>1225</v>
      </c>
      <c r="K170" s="412" t="s">
        <v>1226</v>
      </c>
      <c r="L170" s="1115">
        <v>0.81</v>
      </c>
      <c r="M170" s="1115">
        <v>1.7999999999999999E-2</v>
      </c>
      <c r="N170" s="1116">
        <v>2</v>
      </c>
      <c r="O170" s="1115">
        <v>3.4499999999999999E-3</v>
      </c>
      <c r="P170" s="1115">
        <v>9.2000000000000003E-4</v>
      </c>
      <c r="Q170" s="556"/>
      <c r="S170" s="556"/>
      <c r="T170" s="556"/>
    </row>
    <row r="171" spans="1:20" s="226" customFormat="1" x14ac:dyDescent="0.2">
      <c r="A171" s="1104" t="s">
        <v>464</v>
      </c>
      <c r="B171" s="556">
        <v>0.80449999999999999</v>
      </c>
      <c r="C171" s="556">
        <v>6.4999999999999997E-3</v>
      </c>
      <c r="D171" s="556">
        <v>1.18E-2</v>
      </c>
      <c r="E171" s="556">
        <v>6.4999999999999997E-3</v>
      </c>
      <c r="F171" s="556">
        <v>1.2500000000000001E-2</v>
      </c>
      <c r="G171" s="556"/>
      <c r="H171" s="556"/>
      <c r="J171" s="411" t="s">
        <v>464</v>
      </c>
      <c r="K171" s="412" t="s">
        <v>1227</v>
      </c>
      <c r="L171" s="1115">
        <v>0.80200000000000005</v>
      </c>
      <c r="M171" s="1115">
        <v>1.2999999999999999E-2</v>
      </c>
      <c r="N171" s="1116">
        <v>2</v>
      </c>
      <c r="O171" s="1115">
        <v>-2.48E-3</v>
      </c>
      <c r="P171" s="1115">
        <v>2.7E-4</v>
      </c>
      <c r="Q171" s="556"/>
      <c r="S171" s="556"/>
      <c r="T171" s="556"/>
    </row>
    <row r="172" spans="1:20" s="226" customFormat="1" x14ac:dyDescent="0.2">
      <c r="A172" s="1104" t="s">
        <v>318</v>
      </c>
      <c r="B172" s="556">
        <v>0.79349999999999998</v>
      </c>
      <c r="C172" s="556">
        <v>6.9999999999999999E-4</v>
      </c>
      <c r="D172" s="556">
        <v>8.0000000000000004E-4</v>
      </c>
      <c r="E172" s="556">
        <v>1.5E-3</v>
      </c>
      <c r="F172" s="556">
        <v>3.0000000000000001E-3</v>
      </c>
      <c r="G172" s="556"/>
      <c r="H172" s="556"/>
      <c r="J172" s="411" t="s">
        <v>318</v>
      </c>
      <c r="K172" s="411" t="s">
        <v>1228</v>
      </c>
      <c r="L172" s="881">
        <v>0.79481000000000002</v>
      </c>
      <c r="M172" s="881">
        <v>1.33E-3</v>
      </c>
      <c r="N172" s="1116">
        <v>2</v>
      </c>
      <c r="O172" s="1115">
        <v>1.2800000000000001E-3</v>
      </c>
      <c r="P172" s="1115">
        <v>2.2000000000000001E-4</v>
      </c>
      <c r="Q172" s="556"/>
      <c r="S172" s="556"/>
      <c r="T172" s="556"/>
    </row>
    <row r="173" spans="1:20" s="226" customFormat="1" x14ac:dyDescent="0.2">
      <c r="A173" s="1104" t="s">
        <v>2</v>
      </c>
      <c r="B173" s="556">
        <v>0.7913</v>
      </c>
      <c r="C173" s="556">
        <v>1.6000000000000001E-3</v>
      </c>
      <c r="D173" s="556">
        <v>-1.4E-3</v>
      </c>
      <c r="E173" s="556">
        <v>1.8E-3</v>
      </c>
      <c r="F173" s="556">
        <v>3.5000000000000001E-3</v>
      </c>
      <c r="G173" s="556"/>
      <c r="H173" s="556"/>
      <c r="J173" s="1114" t="s">
        <v>2</v>
      </c>
      <c r="K173" s="412" t="s">
        <v>1229</v>
      </c>
      <c r="L173" s="1115">
        <v>0.78910000000000002</v>
      </c>
      <c r="M173" s="1115">
        <v>3.0999999999999999E-3</v>
      </c>
      <c r="N173" s="1116">
        <v>2</v>
      </c>
      <c r="O173" s="1115">
        <v>-2.1700000000000001E-3</v>
      </c>
      <c r="P173" s="1115">
        <v>6.9999999999999994E-5</v>
      </c>
      <c r="Q173" s="556"/>
      <c r="S173" s="556"/>
      <c r="T173" s="556"/>
    </row>
    <row r="174" spans="1:20" s="226" customFormat="1" x14ac:dyDescent="0.2">
      <c r="A174" s="1117" t="s">
        <v>21</v>
      </c>
      <c r="B174" s="569">
        <v>0.79169999999999996</v>
      </c>
      <c r="C174" s="569">
        <v>6.9999999999999999E-4</v>
      </c>
      <c r="D174" s="569">
        <v>-1E-3</v>
      </c>
      <c r="E174" s="569">
        <v>1.5E-3</v>
      </c>
      <c r="F174" s="569">
        <v>3.0000000000000001E-3</v>
      </c>
      <c r="G174" s="556"/>
      <c r="H174" s="556"/>
      <c r="J174" s="1114" t="s">
        <v>21</v>
      </c>
      <c r="K174" s="412" t="s">
        <v>1230</v>
      </c>
      <c r="L174" s="1115">
        <v>0.79</v>
      </c>
      <c r="M174" s="1115">
        <v>1.4E-3</v>
      </c>
      <c r="N174" s="1116">
        <v>2</v>
      </c>
      <c r="O174" s="1115">
        <v>-1.67E-3</v>
      </c>
      <c r="P174" s="1115">
        <v>6.9999999999999994E-5</v>
      </c>
      <c r="Q174" s="556"/>
      <c r="S174" s="556"/>
      <c r="T174" s="556"/>
    </row>
    <row r="175" spans="1:20" s="226" customFormat="1" x14ac:dyDescent="0.2">
      <c r="L175" s="1116"/>
      <c r="M175" s="1116"/>
      <c r="N175" s="1116"/>
      <c r="O175" s="1116"/>
      <c r="P175" s="1116"/>
    </row>
    <row r="176" spans="1:20" s="226" customFormat="1" x14ac:dyDescent="0.2">
      <c r="A176" s="407" t="s">
        <v>1237</v>
      </c>
      <c r="J176" s="226" t="s">
        <v>1238</v>
      </c>
      <c r="L176" s="1116"/>
      <c r="M176" s="1116"/>
      <c r="N176" s="1116"/>
      <c r="O176" s="1116"/>
      <c r="P176" s="1116"/>
    </row>
    <row r="177" spans="1:22" s="226" customFormat="1" ht="25.5" x14ac:dyDescent="0.2">
      <c r="A177" s="640" t="s">
        <v>1067</v>
      </c>
      <c r="B177" s="1105" t="s">
        <v>1211</v>
      </c>
      <c r="C177" s="1105" t="s">
        <v>1212</v>
      </c>
      <c r="D177" s="1106" t="s">
        <v>1213</v>
      </c>
      <c r="E177" s="1105" t="s">
        <v>1214</v>
      </c>
      <c r="F177" s="1105" t="s">
        <v>1215</v>
      </c>
      <c r="G177" s="412"/>
      <c r="H177" s="412"/>
      <c r="I177" s="412"/>
      <c r="J177" s="1107" t="s">
        <v>1067</v>
      </c>
      <c r="K177" s="1108" t="s">
        <v>1216</v>
      </c>
      <c r="L177" s="1122" t="s">
        <v>315</v>
      </c>
      <c r="M177" s="1123" t="s">
        <v>1217</v>
      </c>
      <c r="N177" s="1124" t="s">
        <v>131</v>
      </c>
      <c r="O177" s="1124" t="s">
        <v>1218</v>
      </c>
      <c r="P177" s="1124" t="s">
        <v>1219</v>
      </c>
      <c r="Q177" s="412"/>
      <c r="R177" s="412"/>
      <c r="S177" s="412"/>
      <c r="U177" s="412"/>
      <c r="V177" s="412"/>
    </row>
    <row r="178" spans="1:22" s="226" customFormat="1" x14ac:dyDescent="0.2">
      <c r="A178" s="1104" t="s">
        <v>176</v>
      </c>
      <c r="B178" s="1125">
        <v>0.44539000000000001</v>
      </c>
      <c r="C178" s="1125">
        <v>5.0000000000000001E-4</v>
      </c>
      <c r="D178" s="1125">
        <v>-1.7690000000000001E-2</v>
      </c>
      <c r="E178" s="1125">
        <v>1.07E-3</v>
      </c>
      <c r="F178" s="1125">
        <v>2.0600000000000002E-3</v>
      </c>
      <c r="H178" s="1125"/>
      <c r="I178" s="1125"/>
      <c r="J178" s="226" t="s">
        <v>176</v>
      </c>
      <c r="K178" s="412" t="s">
        <v>1220</v>
      </c>
      <c r="L178" s="1115">
        <v>0.46800000000000003</v>
      </c>
      <c r="M178" s="1115">
        <v>1E-3</v>
      </c>
      <c r="N178" s="1115">
        <v>2</v>
      </c>
      <c r="O178" s="1115">
        <v>2.2610000000000002E-2</v>
      </c>
      <c r="P178" s="1116">
        <v>8.4999999999999995E-4</v>
      </c>
      <c r="Q178" s="1125"/>
      <c r="R178" s="1125"/>
      <c r="S178" s="1125"/>
      <c r="U178" s="1125"/>
      <c r="V178" s="1125"/>
    </row>
    <row r="179" spans="1:22" s="226" customFormat="1" x14ac:dyDescent="0.2">
      <c r="A179" s="1104" t="s">
        <v>480</v>
      </c>
      <c r="B179" s="1125">
        <v>0.48666999999999999</v>
      </c>
      <c r="C179" s="1125">
        <v>9.5E-4</v>
      </c>
      <c r="D179" s="1125">
        <v>2.359E-2</v>
      </c>
      <c r="E179" s="1125">
        <v>1.34E-3</v>
      </c>
      <c r="F179" s="1125">
        <v>2.6199999999999999E-3</v>
      </c>
      <c r="H179" s="1125"/>
      <c r="I179" s="1125"/>
      <c r="J179" s="226" t="s">
        <v>480</v>
      </c>
      <c r="K179" s="412" t="s">
        <v>1221</v>
      </c>
      <c r="L179" s="1115">
        <v>0.435</v>
      </c>
      <c r="M179" s="1115">
        <v>1.9E-3</v>
      </c>
      <c r="N179" s="1115">
        <v>2</v>
      </c>
      <c r="O179" s="1115">
        <v>-5.1670000000000001E-2</v>
      </c>
      <c r="P179" s="1116">
        <v>4.4999999999999999E-4</v>
      </c>
      <c r="Q179" s="1125"/>
      <c r="R179" s="1125"/>
      <c r="S179" s="1125"/>
      <c r="U179" s="1125"/>
      <c r="V179" s="1125"/>
    </row>
    <row r="180" spans="1:22" s="226" customFormat="1" x14ac:dyDescent="0.2">
      <c r="A180" s="1104" t="s">
        <v>1142</v>
      </c>
      <c r="B180" s="1125">
        <v>0.46543000000000001</v>
      </c>
      <c r="C180" s="1125">
        <v>6.0000000000000001E-3</v>
      </c>
      <c r="D180" s="1125">
        <v>2.3600000000000001E-3</v>
      </c>
      <c r="E180" s="1125">
        <v>5.5300000000000002E-3</v>
      </c>
      <c r="F180" s="1125">
        <v>1.1089999999999999E-2</v>
      </c>
      <c r="H180" s="1125"/>
      <c r="I180" s="1125"/>
      <c r="J180" s="226" t="s">
        <v>1142</v>
      </c>
      <c r="K180" s="412" t="s">
        <v>1222</v>
      </c>
      <c r="L180" s="1115">
        <v>0.501</v>
      </c>
      <c r="M180" s="1115">
        <v>1.2E-2</v>
      </c>
      <c r="N180" s="1115">
        <v>2</v>
      </c>
      <c r="O180" s="1115">
        <v>3.5569999999999997E-2</v>
      </c>
      <c r="P180" s="1116">
        <v>1.2099999999999999E-3</v>
      </c>
      <c r="Q180" s="1125"/>
      <c r="R180" s="1125"/>
      <c r="S180" s="1125"/>
      <c r="U180" s="1125"/>
      <c r="V180" s="1125"/>
    </row>
    <row r="181" spans="1:22" s="226" customFormat="1" x14ac:dyDescent="0.2">
      <c r="A181" s="1104" t="s">
        <v>473</v>
      </c>
      <c r="B181" s="1125">
        <v>0.46116000000000001</v>
      </c>
      <c r="C181" s="1125">
        <v>1.4E-3</v>
      </c>
      <c r="D181" s="1125">
        <v>-1.92E-3</v>
      </c>
      <c r="E181" s="1125">
        <v>1.49E-3</v>
      </c>
      <c r="F181" s="1125">
        <v>2.8E-3</v>
      </c>
      <c r="H181" s="1125"/>
      <c r="I181" s="1125"/>
      <c r="J181" s="226" t="s">
        <v>473</v>
      </c>
      <c r="K181" s="412" t="s">
        <v>1223</v>
      </c>
      <c r="L181" s="1115">
        <v>0.50490000000000002</v>
      </c>
      <c r="M181" s="1115">
        <v>2.8E-3</v>
      </c>
      <c r="N181" s="1115">
        <v>2</v>
      </c>
      <c r="O181" s="1115">
        <v>4.3740000000000001E-2</v>
      </c>
      <c r="P181" s="1116">
        <v>5.8E-4</v>
      </c>
      <c r="Q181" s="1125"/>
      <c r="R181" s="1125"/>
      <c r="S181" s="1125"/>
      <c r="U181" s="1125"/>
      <c r="V181" s="1125"/>
    </row>
    <row r="182" spans="1:22" s="226" customFormat="1" x14ac:dyDescent="0.2">
      <c r="A182" s="1104" t="s">
        <v>16</v>
      </c>
      <c r="B182" s="1125">
        <v>0.46516000000000002</v>
      </c>
      <c r="C182" s="1125">
        <v>6.9999999999999999E-4</v>
      </c>
      <c r="D182" s="1125">
        <v>2.0799999999999998E-3</v>
      </c>
      <c r="E182" s="1125">
        <v>1.14E-3</v>
      </c>
      <c r="F182" s="1125">
        <v>2.15E-3</v>
      </c>
      <c r="H182" s="1125"/>
      <c r="I182" s="1125"/>
      <c r="J182" s="226" t="s">
        <v>16</v>
      </c>
      <c r="K182" s="412" t="s">
        <v>1224</v>
      </c>
      <c r="L182" s="1115">
        <v>0.48089999999999999</v>
      </c>
      <c r="M182" s="1115">
        <v>1.4E-3</v>
      </c>
      <c r="N182" s="1115">
        <v>2</v>
      </c>
      <c r="O182" s="1115">
        <v>1.5740000000000001E-2</v>
      </c>
      <c r="P182" s="1116">
        <v>7.6000000000000004E-4</v>
      </c>
      <c r="Q182" s="1125"/>
      <c r="R182" s="1125"/>
      <c r="S182" s="1125"/>
      <c r="U182" s="1125"/>
      <c r="V182" s="1125"/>
    </row>
    <row r="183" spans="1:22" s="226" customFormat="1" x14ac:dyDescent="0.2">
      <c r="A183" s="1104" t="s">
        <v>1225</v>
      </c>
      <c r="B183" s="1125">
        <v>0.45212000000000002</v>
      </c>
      <c r="C183" s="1125">
        <v>6.0000000000000001E-3</v>
      </c>
      <c r="D183" s="1125">
        <v>-1.0959999999999999E-2</v>
      </c>
      <c r="E183" s="1125">
        <v>5.9800000000000001E-3</v>
      </c>
      <c r="F183" s="1125">
        <v>1.149E-2</v>
      </c>
      <c r="H183" s="1125"/>
      <c r="I183" s="1125"/>
      <c r="J183" s="226" t="s">
        <v>1225</v>
      </c>
      <c r="K183" s="412" t="s">
        <v>1226</v>
      </c>
      <c r="L183" s="1115">
        <v>0.51</v>
      </c>
      <c r="M183" s="1115">
        <v>1.2E-2</v>
      </c>
      <c r="N183" s="1115">
        <v>2</v>
      </c>
      <c r="O183" s="1115">
        <v>5.7880000000000001E-2</v>
      </c>
      <c r="P183" s="1116">
        <v>2.9999999999999997E-4</v>
      </c>
      <c r="Q183" s="1125"/>
      <c r="R183" s="1125"/>
      <c r="S183" s="1125"/>
      <c r="U183" s="1125"/>
      <c r="V183" s="1125"/>
    </row>
    <row r="184" spans="1:22" s="226" customFormat="1" x14ac:dyDescent="0.2">
      <c r="A184" s="1104" t="s">
        <v>464</v>
      </c>
      <c r="B184" s="1125">
        <v>0.46422000000000002</v>
      </c>
      <c r="C184" s="1125">
        <v>2E-3</v>
      </c>
      <c r="D184" s="1125">
        <v>1.14E-3</v>
      </c>
      <c r="E184" s="1125">
        <v>1.7799999999999999E-3</v>
      </c>
      <c r="F184" s="1125">
        <v>3.5500000000000002E-3</v>
      </c>
      <c r="H184" s="1125"/>
      <c r="I184" s="1125"/>
      <c r="J184" s="226" t="s">
        <v>464</v>
      </c>
      <c r="K184" s="412" t="s">
        <v>1227</v>
      </c>
      <c r="L184" s="1115">
        <v>0.45269999999999999</v>
      </c>
      <c r="M184" s="1115">
        <v>4.0000000000000001E-3</v>
      </c>
      <c r="N184" s="1115">
        <v>2</v>
      </c>
      <c r="O184" s="1115">
        <v>-1.1520000000000001E-2</v>
      </c>
      <c r="P184" s="1116">
        <v>2.0000000000000001E-4</v>
      </c>
      <c r="Q184" s="1125"/>
      <c r="R184" s="1125"/>
      <c r="S184" s="1125"/>
      <c r="U184" s="1125"/>
      <c r="V184" s="1125"/>
    </row>
    <row r="185" spans="1:22" s="226" customFormat="1" x14ac:dyDescent="0.2">
      <c r="A185" s="1104" t="s">
        <v>318</v>
      </c>
      <c r="B185" s="1125">
        <v>0.44385000000000002</v>
      </c>
      <c r="C185" s="1125">
        <v>3.4000000000000002E-4</v>
      </c>
      <c r="D185" s="1125">
        <v>-1.9230000000000001E-2</v>
      </c>
      <c r="E185" s="1125">
        <v>1E-3</v>
      </c>
      <c r="F185" s="1125">
        <v>1.92E-3</v>
      </c>
      <c r="H185" s="1125"/>
      <c r="I185" s="1125"/>
      <c r="J185" s="226" t="s">
        <v>318</v>
      </c>
      <c r="K185" s="412" t="s">
        <v>1228</v>
      </c>
      <c r="L185" s="1115">
        <v>0.44651000000000002</v>
      </c>
      <c r="M185" s="1115">
        <v>6.8000000000000005E-4</v>
      </c>
      <c r="N185" s="1115">
        <v>2</v>
      </c>
      <c r="O185" s="1115">
        <v>2.66E-3</v>
      </c>
      <c r="P185" s="1116">
        <v>8.4999999999999995E-4</v>
      </c>
      <c r="Q185" s="1125"/>
      <c r="R185" s="1125"/>
      <c r="S185" s="1125"/>
      <c r="U185" s="1125"/>
      <c r="V185" s="1125"/>
    </row>
    <row r="186" spans="1:22" s="226" customFormat="1" x14ac:dyDescent="0.2">
      <c r="A186" s="1104" t="s">
        <v>2</v>
      </c>
      <c r="B186" s="1125">
        <v>0.4632</v>
      </c>
      <c r="C186" s="1125">
        <v>5.9999999999999995E-4</v>
      </c>
      <c r="D186" s="1125">
        <v>1.2999999999999999E-4</v>
      </c>
      <c r="E186" s="1125">
        <v>9.7999999999999997E-4</v>
      </c>
      <c r="F186" s="1125">
        <v>1.8799999999999999E-3</v>
      </c>
      <c r="H186" s="1125"/>
      <c r="I186" s="1125"/>
      <c r="J186" s="226" t="s">
        <v>2</v>
      </c>
      <c r="K186" s="412" t="s">
        <v>1229</v>
      </c>
      <c r="L186" s="1115">
        <v>0.41410000000000002</v>
      </c>
      <c r="M186" s="1115">
        <v>1.1999999999999999E-3</v>
      </c>
      <c r="N186" s="1115">
        <v>2</v>
      </c>
      <c r="O186" s="1115">
        <v>-4.9099999999999998E-2</v>
      </c>
      <c r="P186" s="1116">
        <v>9.1E-4</v>
      </c>
      <c r="Q186" s="1125"/>
      <c r="R186" s="1125"/>
      <c r="S186" s="1125"/>
      <c r="U186" s="1125"/>
      <c r="V186" s="1125"/>
    </row>
    <row r="187" spans="1:22" s="226" customFormat="1" x14ac:dyDescent="0.2">
      <c r="A187" s="1117" t="s">
        <v>21</v>
      </c>
      <c r="B187" s="1126">
        <v>0.46590999999999999</v>
      </c>
      <c r="C187" s="1126">
        <v>9.5E-4</v>
      </c>
      <c r="D187" s="1126">
        <v>2.8300000000000001E-3</v>
      </c>
      <c r="E187" s="1126">
        <v>1.32E-3</v>
      </c>
      <c r="F187" s="1126">
        <v>2.5400000000000002E-3</v>
      </c>
      <c r="H187" s="1125"/>
      <c r="I187" s="1125"/>
      <c r="J187" s="226" t="s">
        <v>21</v>
      </c>
      <c r="K187" s="412" t="s">
        <v>1230</v>
      </c>
      <c r="L187" s="1115">
        <v>0.4</v>
      </c>
      <c r="M187" s="1115">
        <v>1.9E-3</v>
      </c>
      <c r="N187" s="1115">
        <v>2</v>
      </c>
      <c r="O187" s="1115">
        <v>-6.5909999999999996E-2</v>
      </c>
      <c r="P187" s="1116">
        <v>8.8000000000000003E-4</v>
      </c>
      <c r="Q187" s="1125"/>
      <c r="R187" s="1125"/>
      <c r="S187" s="1125"/>
      <c r="U187" s="1125"/>
      <c r="V187" s="1125"/>
    </row>
    <row r="188" spans="1:22" s="226" customFormat="1" x14ac:dyDescent="0.2">
      <c r="L188" s="1116"/>
      <c r="M188" s="1116"/>
      <c r="N188" s="1116"/>
      <c r="O188" s="1116"/>
      <c r="P188" s="1116"/>
    </row>
    <row r="189" spans="1:22" s="226" customFormat="1" x14ac:dyDescent="0.2">
      <c r="A189" s="407" t="s">
        <v>1239</v>
      </c>
      <c r="J189" s="226" t="s">
        <v>1240</v>
      </c>
      <c r="L189" s="1116"/>
      <c r="M189" s="1116"/>
      <c r="N189" s="1116"/>
      <c r="O189" s="1116"/>
      <c r="P189" s="1116"/>
    </row>
    <row r="190" spans="1:22" s="226" customFormat="1" ht="25.5" x14ac:dyDescent="0.2">
      <c r="A190" s="640" t="s">
        <v>1067</v>
      </c>
      <c r="B190" s="1105" t="s">
        <v>1211</v>
      </c>
      <c r="C190" s="1105" t="s">
        <v>1212</v>
      </c>
      <c r="D190" s="1106" t="s">
        <v>1213</v>
      </c>
      <c r="E190" s="1105" t="s">
        <v>1214</v>
      </c>
      <c r="F190" s="1105" t="s">
        <v>1215</v>
      </c>
      <c r="G190" s="412" t="s">
        <v>1458</v>
      </c>
      <c r="I190" s="1127"/>
      <c r="J190" s="1107" t="s">
        <v>1067</v>
      </c>
      <c r="K190" s="1108" t="s">
        <v>1216</v>
      </c>
      <c r="L190" s="1122" t="s">
        <v>315</v>
      </c>
      <c r="M190" s="1123" t="s">
        <v>1217</v>
      </c>
      <c r="N190" s="1124" t="s">
        <v>131</v>
      </c>
      <c r="O190" s="1124" t="s">
        <v>1218</v>
      </c>
      <c r="P190" s="1124" t="s">
        <v>1219</v>
      </c>
      <c r="Q190" s="412"/>
      <c r="R190" s="412"/>
    </row>
    <row r="191" spans="1:22" s="226" customFormat="1" x14ac:dyDescent="0.2">
      <c r="A191" s="1104" t="s">
        <v>176</v>
      </c>
      <c r="B191" s="1128">
        <v>622.79999999999995</v>
      </c>
      <c r="C191" s="1128">
        <v>4</v>
      </c>
      <c r="D191" s="1128">
        <v>1.5</v>
      </c>
      <c r="E191" s="1128">
        <v>3.9</v>
      </c>
      <c r="F191" s="1128">
        <v>7.7</v>
      </c>
      <c r="G191" s="1128"/>
      <c r="I191" s="1128"/>
      <c r="J191" s="1114" t="s">
        <v>176</v>
      </c>
      <c r="K191" s="412" t="s">
        <v>1220</v>
      </c>
      <c r="L191" s="1116">
        <v>6.2399999999999997E-2</v>
      </c>
      <c r="M191" s="1115">
        <v>8.0000000000000004E-4</v>
      </c>
      <c r="N191" s="1115">
        <v>2</v>
      </c>
      <c r="O191" s="1115">
        <v>1.2E-4</v>
      </c>
      <c r="P191" s="1116">
        <v>3.4999999999999997E-5</v>
      </c>
      <c r="Q191" s="1128"/>
      <c r="R191" s="1128"/>
    </row>
    <row r="192" spans="1:22" s="226" customFormat="1" x14ac:dyDescent="0.2">
      <c r="A192" s="1104" t="s">
        <v>480</v>
      </c>
      <c r="B192" s="1128">
        <v>621.1</v>
      </c>
      <c r="C192" s="1128">
        <v>0.6</v>
      </c>
      <c r="D192" s="1128">
        <v>-0.1</v>
      </c>
      <c r="E192" s="1128">
        <v>0.7</v>
      </c>
      <c r="F192" s="1128">
        <v>1.5</v>
      </c>
      <c r="G192" s="1128"/>
      <c r="I192" s="1128"/>
      <c r="J192" s="1114" t="s">
        <v>480</v>
      </c>
      <c r="K192" s="412" t="s">
        <v>1221</v>
      </c>
      <c r="L192" s="1116">
        <v>6.216E-2</v>
      </c>
      <c r="M192" s="1115">
        <v>1.1E-4</v>
      </c>
      <c r="N192" s="1115">
        <v>2</v>
      </c>
      <c r="O192" s="1115">
        <v>4.8000000000000001E-5</v>
      </c>
      <c r="P192" s="1116">
        <v>4.1999999999999998E-5</v>
      </c>
      <c r="Q192" s="1128"/>
      <c r="R192" s="1128"/>
    </row>
    <row r="193" spans="1:18" s="226" customFormat="1" x14ac:dyDescent="0.2">
      <c r="A193" s="1104" t="s">
        <v>1142</v>
      </c>
      <c r="B193" s="1128">
        <v>608.79999999999995</v>
      </c>
      <c r="C193" s="1128">
        <v>30</v>
      </c>
      <c r="D193" s="1128">
        <v>-12.4</v>
      </c>
      <c r="E193" s="1128">
        <v>29.8</v>
      </c>
      <c r="F193" s="1128">
        <v>58.6</v>
      </c>
      <c r="G193" s="1128"/>
      <c r="I193" s="1128"/>
      <c r="J193" s="1114" t="s">
        <v>1142</v>
      </c>
      <c r="K193" s="412" t="s">
        <v>1222</v>
      </c>
      <c r="L193" s="1116">
        <v>6.0999999999999999E-2</v>
      </c>
      <c r="M193" s="1115">
        <v>6.0000000000000001E-3</v>
      </c>
      <c r="N193" s="1115">
        <v>2</v>
      </c>
      <c r="O193" s="1115">
        <v>1.18E-4</v>
      </c>
      <c r="P193" s="1116">
        <v>7.2000000000000002E-5</v>
      </c>
      <c r="Q193" s="1128"/>
      <c r="R193" s="1128"/>
    </row>
    <row r="194" spans="1:18" s="226" customFormat="1" x14ac:dyDescent="0.2">
      <c r="A194" s="1104" t="s">
        <v>473</v>
      </c>
      <c r="B194" s="1128">
        <v>621.4</v>
      </c>
      <c r="C194" s="1128">
        <v>1.2</v>
      </c>
      <c r="D194" s="1128">
        <v>0.1</v>
      </c>
      <c r="E194" s="1128">
        <v>1.2</v>
      </c>
      <c r="F194" s="1128">
        <v>2.4</v>
      </c>
      <c r="G194" s="1128"/>
      <c r="I194" s="1128"/>
      <c r="J194" s="1114" t="s">
        <v>473</v>
      </c>
      <c r="K194" s="412" t="s">
        <v>1223</v>
      </c>
      <c r="L194" s="1116">
        <v>6.232E-2</v>
      </c>
      <c r="M194" s="1115">
        <v>2.4000000000000001E-4</v>
      </c>
      <c r="N194" s="1115">
        <v>2</v>
      </c>
      <c r="O194" s="1115">
        <v>1.8000000000000001E-4</v>
      </c>
      <c r="P194" s="1116">
        <v>2.4000000000000001E-5</v>
      </c>
      <c r="Q194" s="1128"/>
      <c r="R194" s="1128"/>
    </row>
    <row r="195" spans="1:18" s="226" customFormat="1" x14ac:dyDescent="0.2">
      <c r="A195" s="1104" t="s">
        <v>16</v>
      </c>
      <c r="B195" s="1128">
        <v>620.70000000000005</v>
      </c>
      <c r="C195" s="1128">
        <v>1.3</v>
      </c>
      <c r="D195" s="1128">
        <v>-0.6</v>
      </c>
      <c r="E195" s="1128">
        <v>1.2</v>
      </c>
      <c r="F195" s="1128">
        <v>2.5</v>
      </c>
      <c r="G195" s="1128"/>
      <c r="I195" s="1128"/>
      <c r="J195" s="1114" t="s">
        <v>16</v>
      </c>
      <c r="K195" s="412" t="s">
        <v>1224</v>
      </c>
      <c r="L195" s="1116">
        <v>6.182E-2</v>
      </c>
      <c r="M195" s="1115">
        <v>2.5000000000000001E-4</v>
      </c>
      <c r="N195" s="1115">
        <v>2</v>
      </c>
      <c r="O195" s="1115">
        <v>-2.4600000000000002E-4</v>
      </c>
      <c r="P195" s="1116">
        <v>3.1000000000000001E-5</v>
      </c>
      <c r="Q195" s="1128"/>
      <c r="R195" s="1128"/>
    </row>
    <row r="196" spans="1:18" s="226" customFormat="1" x14ac:dyDescent="0.2">
      <c r="A196" s="1104" t="s">
        <v>1225</v>
      </c>
      <c r="B196" s="1128">
        <v>669.4</v>
      </c>
      <c r="C196" s="1128">
        <v>17.5</v>
      </c>
      <c r="D196" s="1128">
        <v>48.2</v>
      </c>
      <c r="E196" s="1128">
        <v>17.5</v>
      </c>
      <c r="F196" s="1128">
        <v>34.4</v>
      </c>
      <c r="G196" s="1128"/>
      <c r="I196" s="1128"/>
      <c r="J196" s="1114" t="s">
        <v>1225</v>
      </c>
      <c r="K196" s="412" t="s">
        <v>1226</v>
      </c>
      <c r="L196" s="1116">
        <v>6.7000000000000004E-2</v>
      </c>
      <c r="M196" s="1115">
        <v>3.5000000000000001E-3</v>
      </c>
      <c r="N196" s="1115">
        <v>2</v>
      </c>
      <c r="O196" s="1115">
        <v>5.8999999999999998E-5</v>
      </c>
      <c r="P196" s="1116">
        <v>7.2000000000000002E-5</v>
      </c>
      <c r="Q196" s="1128"/>
      <c r="R196" s="1128"/>
    </row>
    <row r="197" spans="1:18" s="226" customFormat="1" x14ac:dyDescent="0.2">
      <c r="A197" s="1104" t="s">
        <v>464</v>
      </c>
      <c r="B197" s="1128">
        <v>620.9</v>
      </c>
      <c r="C197" s="1128">
        <v>2.6</v>
      </c>
      <c r="D197" s="1128">
        <v>-0.3</v>
      </c>
      <c r="E197" s="1128">
        <v>2.4</v>
      </c>
      <c r="F197" s="1128">
        <v>4.9000000000000004</v>
      </c>
      <c r="G197" s="1128"/>
      <c r="I197" s="1128"/>
      <c r="J197" s="1114" t="s">
        <v>464</v>
      </c>
      <c r="K197" s="412" t="s">
        <v>1227</v>
      </c>
      <c r="L197" s="1116">
        <v>6.2030000000000002E-2</v>
      </c>
      <c r="M197" s="1115">
        <v>5.1000000000000004E-4</v>
      </c>
      <c r="N197" s="1115">
        <v>2</v>
      </c>
      <c r="O197" s="1115">
        <v>-6.4999999999999994E-5</v>
      </c>
      <c r="P197" s="1116">
        <v>3.1000000000000001E-5</v>
      </c>
      <c r="Q197" s="1128"/>
      <c r="R197" s="1128"/>
    </row>
    <row r="198" spans="1:18" s="226" customFormat="1" x14ac:dyDescent="0.2">
      <c r="A198" s="1104" t="s">
        <v>318</v>
      </c>
      <c r="B198" s="1128">
        <v>620.29999999999995</v>
      </c>
      <c r="C198" s="1128">
        <v>1.7</v>
      </c>
      <c r="D198" s="1128">
        <v>-0.9</v>
      </c>
      <c r="E198" s="1128">
        <v>1.6</v>
      </c>
      <c r="F198" s="1128">
        <v>3.3</v>
      </c>
      <c r="G198" s="1128"/>
      <c r="I198" s="1128"/>
      <c r="J198" s="1114" t="s">
        <v>318</v>
      </c>
      <c r="K198" s="412" t="s">
        <v>1228</v>
      </c>
      <c r="L198" s="1116">
        <v>6.2239999999999997E-2</v>
      </c>
      <c r="M198" s="1115">
        <v>3.4000000000000002E-4</v>
      </c>
      <c r="N198" s="1115">
        <v>2</v>
      </c>
      <c r="O198" s="1115">
        <v>2.05E-4</v>
      </c>
      <c r="P198" s="1116">
        <v>4.0000000000000003E-5</v>
      </c>
      <c r="Q198" s="1128"/>
      <c r="R198" s="1128"/>
    </row>
    <row r="199" spans="1:18" s="226" customFormat="1" x14ac:dyDescent="0.2">
      <c r="A199" s="1104" t="s">
        <v>2</v>
      </c>
      <c r="B199" s="1128">
        <v>619.79999999999995</v>
      </c>
      <c r="C199" s="1128">
        <v>0.9</v>
      </c>
      <c r="D199" s="1128">
        <v>-1.4</v>
      </c>
      <c r="E199" s="1128">
        <v>1</v>
      </c>
      <c r="F199" s="1128">
        <v>1.9</v>
      </c>
      <c r="G199" s="1128"/>
      <c r="I199" s="1128"/>
      <c r="J199" s="1114" t="s">
        <v>2</v>
      </c>
      <c r="K199" s="412" t="s">
        <v>1229</v>
      </c>
      <c r="L199" s="1116">
        <v>6.1800000000000001E-2</v>
      </c>
      <c r="M199" s="1115">
        <v>1.8000000000000001E-4</v>
      </c>
      <c r="N199" s="1115">
        <v>2</v>
      </c>
      <c r="O199" s="1115">
        <v>-1.84E-4</v>
      </c>
      <c r="P199" s="1116">
        <v>3.8999999999999999E-5</v>
      </c>
      <c r="Q199" s="1128"/>
      <c r="R199" s="1128"/>
    </row>
    <row r="200" spans="1:18" s="226" customFormat="1" x14ac:dyDescent="0.2">
      <c r="A200" s="1117" t="s">
        <v>21</v>
      </c>
      <c r="B200" s="1129">
        <v>622.4</v>
      </c>
      <c r="C200" s="1129">
        <v>0.7</v>
      </c>
      <c r="D200" s="1129">
        <v>1.1000000000000001</v>
      </c>
      <c r="E200" s="1129">
        <v>0.9</v>
      </c>
      <c r="F200" s="1129">
        <v>1.6</v>
      </c>
      <c r="G200" s="1128"/>
      <c r="I200" s="1128"/>
      <c r="J200" s="1114" t="s">
        <v>21</v>
      </c>
      <c r="K200" s="412" t="s">
        <v>1230</v>
      </c>
      <c r="L200" s="1116">
        <v>6.2E-2</v>
      </c>
      <c r="M200" s="1115">
        <v>1.2999999999999999E-4</v>
      </c>
      <c r="N200" s="1115">
        <v>2</v>
      </c>
      <c r="O200" s="1115">
        <v>-2.3599999999999999E-4</v>
      </c>
      <c r="P200" s="1116">
        <v>4.1999999999999998E-5</v>
      </c>
      <c r="Q200" s="1128"/>
      <c r="R200" s="1128"/>
    </row>
    <row r="201" spans="1:18" s="226" customFormat="1" x14ac:dyDescent="0.2">
      <c r="L201" s="1116"/>
      <c r="M201" s="1116"/>
      <c r="N201" s="1116"/>
      <c r="O201" s="1116"/>
      <c r="P201" s="1116"/>
    </row>
    <row r="202" spans="1:18" s="226" customFormat="1" x14ac:dyDescent="0.2">
      <c r="A202" s="407" t="s">
        <v>1241</v>
      </c>
      <c r="J202" s="226" t="s">
        <v>1242</v>
      </c>
      <c r="L202" s="1116"/>
      <c r="M202" s="1116"/>
      <c r="N202" s="1116"/>
      <c r="O202" s="1116"/>
      <c r="P202" s="1116"/>
    </row>
    <row r="203" spans="1:18" s="226" customFormat="1" ht="25.5" x14ac:dyDescent="0.2">
      <c r="A203" s="640" t="s">
        <v>1067</v>
      </c>
      <c r="B203" s="1105" t="s">
        <v>1211</v>
      </c>
      <c r="C203" s="1105" t="s">
        <v>1212</v>
      </c>
      <c r="D203" s="1106" t="s">
        <v>1213</v>
      </c>
      <c r="E203" s="1105" t="s">
        <v>1214</v>
      </c>
      <c r="F203" s="1105" t="s">
        <v>1215</v>
      </c>
      <c r="G203" s="412" t="s">
        <v>1458</v>
      </c>
      <c r="I203" s="1127"/>
      <c r="J203" s="1107" t="s">
        <v>1067</v>
      </c>
      <c r="K203" s="1108" t="s">
        <v>1216</v>
      </c>
      <c r="L203" s="1122" t="s">
        <v>315</v>
      </c>
      <c r="M203" s="1123" t="s">
        <v>1217</v>
      </c>
      <c r="N203" s="1124" t="s">
        <v>131</v>
      </c>
      <c r="O203" s="1124" t="s">
        <v>1218</v>
      </c>
      <c r="P203" s="1124" t="s">
        <v>1219</v>
      </c>
      <c r="Q203" s="412"/>
    </row>
    <row r="204" spans="1:18" s="226" customFormat="1" x14ac:dyDescent="0.2">
      <c r="A204" s="1104" t="s">
        <v>176</v>
      </c>
      <c r="B204" s="1128">
        <v>151.5</v>
      </c>
      <c r="C204" s="1128">
        <v>2</v>
      </c>
      <c r="D204" s="1128">
        <v>2.1</v>
      </c>
      <c r="E204" s="1128">
        <v>1.9</v>
      </c>
      <c r="F204" s="1128">
        <v>3.8</v>
      </c>
      <c r="G204" s="1128"/>
      <c r="I204" s="1128"/>
      <c r="J204" s="1114" t="s">
        <v>176</v>
      </c>
      <c r="K204" s="226">
        <v>1220</v>
      </c>
      <c r="L204" s="1115">
        <v>1.5100000000000001E-2</v>
      </c>
      <c r="M204" s="1115">
        <v>4.0000000000000002E-4</v>
      </c>
      <c r="N204" s="1115">
        <v>2</v>
      </c>
      <c r="O204" s="1116">
        <v>-4.5899999999999998E-5</v>
      </c>
      <c r="P204" s="1115">
        <v>3.57E-5</v>
      </c>
      <c r="Q204" s="1128"/>
    </row>
    <row r="205" spans="1:18" s="226" customFormat="1" x14ac:dyDescent="0.2">
      <c r="A205" s="1104" t="s">
        <v>480</v>
      </c>
      <c r="B205" s="1128">
        <v>148.6</v>
      </c>
      <c r="C205" s="1128">
        <v>0.5</v>
      </c>
      <c r="D205" s="1128">
        <v>-0.7</v>
      </c>
      <c r="E205" s="1128">
        <v>0.6</v>
      </c>
      <c r="F205" s="1128">
        <v>1.2</v>
      </c>
      <c r="G205" s="1128"/>
      <c r="I205" s="1128"/>
      <c r="J205" s="1114" t="s">
        <v>480</v>
      </c>
      <c r="K205" s="226">
        <v>1207</v>
      </c>
      <c r="L205" s="1115">
        <v>1.486E-2</v>
      </c>
      <c r="M205" s="1115">
        <v>1E-4</v>
      </c>
      <c r="N205" s="1115">
        <v>2</v>
      </c>
      <c r="O205" s="1116">
        <v>-3.8999999999999999E-6</v>
      </c>
      <c r="P205" s="1115">
        <v>6.0000000000000002E-6</v>
      </c>
      <c r="Q205" s="1128"/>
    </row>
    <row r="206" spans="1:18" s="226" customFormat="1" x14ac:dyDescent="0.2">
      <c r="A206" s="1104" t="s">
        <v>1142</v>
      </c>
      <c r="B206" s="1128">
        <v>149.6</v>
      </c>
      <c r="C206" s="1128">
        <v>15</v>
      </c>
      <c r="D206" s="1128">
        <v>0.4</v>
      </c>
      <c r="E206" s="1128">
        <v>14.8</v>
      </c>
      <c r="F206" s="1128">
        <v>29.1</v>
      </c>
      <c r="G206" s="1128"/>
      <c r="I206" s="1128"/>
      <c r="J206" s="1114" t="s">
        <v>1142</v>
      </c>
      <c r="K206" s="226">
        <v>1230</v>
      </c>
      <c r="L206" s="1115">
        <v>1.4999999999999999E-2</v>
      </c>
      <c r="M206" s="1115">
        <v>3.0000000000000001E-3</v>
      </c>
      <c r="N206" s="1115">
        <v>2</v>
      </c>
      <c r="O206" s="1116">
        <v>3.5899999999999998E-5</v>
      </c>
      <c r="P206" s="1115">
        <v>1.03E-5</v>
      </c>
      <c r="Q206" s="1128"/>
    </row>
    <row r="207" spans="1:18" s="226" customFormat="1" x14ac:dyDescent="0.2">
      <c r="A207" s="1104" t="s">
        <v>473</v>
      </c>
      <c r="B207" s="1128">
        <v>149.1</v>
      </c>
      <c r="C207" s="1128">
        <v>0.6</v>
      </c>
      <c r="D207" s="1128">
        <v>-0.2</v>
      </c>
      <c r="E207" s="1128">
        <v>0.6</v>
      </c>
      <c r="F207" s="1128">
        <v>1.3</v>
      </c>
      <c r="G207" s="1128"/>
      <c r="I207" s="1128"/>
      <c r="J207" s="1114" t="s">
        <v>473</v>
      </c>
      <c r="K207" s="226">
        <v>1225</v>
      </c>
      <c r="L207" s="1115">
        <v>1.5010000000000001E-2</v>
      </c>
      <c r="M207" s="1115">
        <v>1.2E-4</v>
      </c>
      <c r="N207" s="1115">
        <v>2</v>
      </c>
      <c r="O207" s="1116">
        <v>9.5000000000000005E-5</v>
      </c>
      <c r="P207" s="1115">
        <v>6.1999999999999999E-6</v>
      </c>
      <c r="Q207" s="1128"/>
    </row>
    <row r="208" spans="1:18" s="226" customFormat="1" x14ac:dyDescent="0.2">
      <c r="A208" s="1104" t="s">
        <v>16</v>
      </c>
      <c r="B208" s="1128">
        <v>149.1</v>
      </c>
      <c r="C208" s="1128">
        <v>0.3</v>
      </c>
      <c r="D208" s="1128">
        <v>-0.2</v>
      </c>
      <c r="E208" s="1128">
        <v>0.5</v>
      </c>
      <c r="F208" s="1128">
        <v>0.9</v>
      </c>
      <c r="G208" s="1128"/>
      <c r="I208" s="1128"/>
      <c r="J208" s="1114" t="s">
        <v>16</v>
      </c>
      <c r="K208" s="226">
        <v>1223</v>
      </c>
      <c r="L208" s="1115">
        <v>1.4853999999999999E-2</v>
      </c>
      <c r="M208" s="1115">
        <v>5.8999999999999998E-5</v>
      </c>
      <c r="N208" s="1115">
        <v>2</v>
      </c>
      <c r="O208" s="1116">
        <v>-5.38E-5</v>
      </c>
      <c r="P208" s="1115">
        <v>5.2899999999999998E-5</v>
      </c>
      <c r="Q208" s="1128"/>
    </row>
    <row r="209" spans="1:26" s="226" customFormat="1" x14ac:dyDescent="0.2">
      <c r="A209" s="1104" t="s">
        <v>1225</v>
      </c>
      <c r="B209" s="1128">
        <v>155.30000000000001</v>
      </c>
      <c r="C209" s="1128">
        <v>11</v>
      </c>
      <c r="D209" s="1128">
        <v>6</v>
      </c>
      <c r="E209" s="1128">
        <v>10.8</v>
      </c>
      <c r="F209" s="1128">
        <v>21.3</v>
      </c>
      <c r="G209" s="1128"/>
      <c r="I209" s="1128"/>
      <c r="J209" s="1114" t="s">
        <v>1225</v>
      </c>
      <c r="K209" s="226">
        <v>1214</v>
      </c>
      <c r="L209" s="1115">
        <v>1.555E-2</v>
      </c>
      <c r="M209" s="1115">
        <v>2.2000000000000001E-3</v>
      </c>
      <c r="N209" s="1115">
        <v>2</v>
      </c>
      <c r="O209" s="1116">
        <v>2.34E-5</v>
      </c>
      <c r="P209" s="1115">
        <v>5.0699999999999999E-5</v>
      </c>
      <c r="Q209" s="1128"/>
    </row>
    <row r="210" spans="1:26" s="226" customFormat="1" x14ac:dyDescent="0.2">
      <c r="A210" s="1104" t="s">
        <v>464</v>
      </c>
      <c r="B210" s="1128">
        <v>150.5</v>
      </c>
      <c r="C210" s="1128">
        <v>0.6</v>
      </c>
      <c r="D210" s="1128">
        <v>1.2</v>
      </c>
      <c r="E210" s="1128">
        <v>0.7</v>
      </c>
      <c r="F210" s="1128">
        <v>1.3</v>
      </c>
      <c r="G210" s="1128"/>
      <c r="I210" s="1128"/>
      <c r="J210" s="1114" t="s">
        <v>464</v>
      </c>
      <c r="K210" s="226">
        <v>1195</v>
      </c>
      <c r="L210" s="1115">
        <v>1.503E-2</v>
      </c>
      <c r="M210" s="1115">
        <v>1.2E-4</v>
      </c>
      <c r="N210" s="1115">
        <v>2</v>
      </c>
      <c r="O210" s="1116">
        <v>-1.9599999999999999E-5</v>
      </c>
      <c r="P210" s="1115">
        <v>5.1000000000000003E-6</v>
      </c>
      <c r="Q210" s="1128"/>
    </row>
    <row r="211" spans="1:26" s="226" customFormat="1" x14ac:dyDescent="0.2">
      <c r="A211" s="1104" t="s">
        <v>318</v>
      </c>
      <c r="B211" s="1128">
        <v>148.19999999999999</v>
      </c>
      <c r="C211" s="1128">
        <v>0.4</v>
      </c>
      <c r="D211" s="1128">
        <v>-1.1000000000000001</v>
      </c>
      <c r="E211" s="1128">
        <v>0.6</v>
      </c>
      <c r="F211" s="1128">
        <v>1.1000000000000001</v>
      </c>
      <c r="G211" s="1128"/>
      <c r="I211" s="1128"/>
      <c r="J211" s="1114" t="s">
        <v>318</v>
      </c>
      <c r="K211" s="226">
        <v>1194</v>
      </c>
      <c r="L211" s="1115">
        <v>1.485E-2</v>
      </c>
      <c r="M211" s="1115">
        <v>8.0000000000000007E-5</v>
      </c>
      <c r="N211" s="1115">
        <v>2</v>
      </c>
      <c r="O211" s="1116">
        <v>3.2299999999999999E-5</v>
      </c>
      <c r="P211" s="1115">
        <v>2.5899999999999999E-5</v>
      </c>
      <c r="Q211" s="1128"/>
    </row>
    <row r="212" spans="1:26" s="226" customFormat="1" x14ac:dyDescent="0.2">
      <c r="A212" s="1104" t="s">
        <v>2</v>
      </c>
      <c r="B212" s="1128">
        <v>148.4</v>
      </c>
      <c r="C212" s="1128">
        <v>0.3</v>
      </c>
      <c r="D212" s="1128">
        <v>-0.9</v>
      </c>
      <c r="E212" s="1128">
        <v>0.5</v>
      </c>
      <c r="F212" s="1128">
        <v>1</v>
      </c>
      <c r="G212" s="1128"/>
      <c r="I212" s="1128"/>
      <c r="J212" s="1114" t="s">
        <v>2</v>
      </c>
      <c r="K212" s="226">
        <v>1221</v>
      </c>
      <c r="L212" s="1115">
        <v>1.4840000000000001E-2</v>
      </c>
      <c r="M212" s="1115">
        <v>6.0000000000000002E-5</v>
      </c>
      <c r="N212" s="1115">
        <v>2</v>
      </c>
      <c r="O212" s="1116">
        <v>-3.9999999999999998E-7</v>
      </c>
      <c r="P212" s="1115">
        <v>8.6999999999999997E-6</v>
      </c>
      <c r="Q212" s="1128"/>
    </row>
    <row r="213" spans="1:26" s="226" customFormat="1" x14ac:dyDescent="0.2">
      <c r="A213" s="1117" t="s">
        <v>21</v>
      </c>
      <c r="B213" s="1129">
        <v>150.6</v>
      </c>
      <c r="C213" s="1129">
        <v>0.1</v>
      </c>
      <c r="D213" s="1129">
        <v>1.3</v>
      </c>
      <c r="E213" s="1129">
        <v>0.5</v>
      </c>
      <c r="F213" s="1129">
        <v>0.8</v>
      </c>
      <c r="G213" s="1128"/>
      <c r="I213" s="1128"/>
      <c r="J213" s="1114" t="s">
        <v>21</v>
      </c>
      <c r="K213" s="226">
        <v>1224</v>
      </c>
      <c r="L213" s="1115">
        <v>1.4999999999999999E-2</v>
      </c>
      <c r="M213" s="1115">
        <v>2.0999999999999999E-5</v>
      </c>
      <c r="N213" s="1115">
        <v>2</v>
      </c>
      <c r="O213" s="1116">
        <v>-6.3E-5</v>
      </c>
      <c r="P213" s="1115">
        <v>1.47E-5</v>
      </c>
      <c r="Q213" s="1128"/>
    </row>
    <row r="214" spans="1:26" s="149" customFormat="1" ht="13.15" customHeight="1" x14ac:dyDescent="0.2">
      <c r="A214" s="1"/>
      <c r="B214" s="1"/>
      <c r="C214" s="1"/>
      <c r="D214" s="1"/>
      <c r="E214" s="1"/>
      <c r="F214" s="1"/>
      <c r="G214" s="1"/>
      <c r="H214" s="1"/>
      <c r="P214" s="1"/>
      <c r="Q214" s="1"/>
      <c r="T214" s="150"/>
      <c r="U214" s="150"/>
      <c r="V214" s="1"/>
      <c r="W214" s="1"/>
      <c r="X214" s="1"/>
      <c r="Y214" s="1"/>
      <c r="Z214" s="1"/>
    </row>
    <row r="215" spans="1:26" s="149" customFormat="1" ht="13.15" customHeight="1" x14ac:dyDescent="0.2">
      <c r="A215" s="1"/>
      <c r="B215" s="1"/>
      <c r="C215" s="1"/>
      <c r="D215" s="1"/>
      <c r="E215" s="1"/>
      <c r="F215" s="1"/>
      <c r="G215" s="1"/>
      <c r="H215" s="1"/>
      <c r="P215" s="1"/>
      <c r="Q215" s="1"/>
      <c r="T215" s="150"/>
      <c r="U215" s="150"/>
      <c r="V215" s="1"/>
      <c r="W215" s="1"/>
      <c r="X215" s="1"/>
      <c r="Y215" s="1"/>
      <c r="Z215" s="1"/>
    </row>
    <row r="216" spans="1:26" s="149" customFormat="1" ht="12" customHeight="1" x14ac:dyDescent="0.2">
      <c r="A216" s="1"/>
      <c r="B216" s="1"/>
      <c r="C216" s="1"/>
      <c r="D216" s="1"/>
      <c r="E216" s="1"/>
      <c r="F216" s="1"/>
      <c r="G216" s="1"/>
      <c r="H216" s="1"/>
      <c r="P216" s="1"/>
      <c r="Q216" s="1"/>
      <c r="T216" s="150"/>
      <c r="U216" s="150"/>
      <c r="V216" s="1"/>
      <c r="W216" s="1"/>
      <c r="X216" s="1"/>
      <c r="Y216" s="1"/>
      <c r="Z216" s="1"/>
    </row>
    <row r="217" spans="1:26" s="149" customFormat="1" ht="12" customHeight="1" x14ac:dyDescent="0.2">
      <c r="A217" s="1"/>
      <c r="B217" s="1"/>
      <c r="C217" s="1"/>
      <c r="D217" s="1"/>
      <c r="E217" s="1"/>
      <c r="F217" s="1"/>
      <c r="G217" s="1"/>
      <c r="H217" s="1"/>
      <c r="P217" s="1"/>
      <c r="Q217" s="1"/>
      <c r="T217" s="150"/>
      <c r="U217" s="150"/>
      <c r="V217" s="1"/>
      <c r="W217" s="1"/>
      <c r="X217" s="1"/>
      <c r="Y217" s="1"/>
      <c r="Z217" s="1"/>
    </row>
    <row r="218" spans="1:26" s="149" customFormat="1" ht="15" customHeight="1" x14ac:dyDescent="0.2">
      <c r="A218" s="1"/>
      <c r="B218" s="1"/>
      <c r="C218" s="1"/>
      <c r="D218" s="1"/>
      <c r="E218" s="1"/>
      <c r="F218" s="1"/>
      <c r="G218" s="1"/>
      <c r="H218" s="1"/>
      <c r="P218" s="1"/>
      <c r="Q218" s="1"/>
      <c r="T218" s="150"/>
      <c r="U218" s="150"/>
      <c r="V218" s="1"/>
      <c r="W218" s="1"/>
      <c r="X218" s="1"/>
      <c r="Y218" s="1"/>
      <c r="Z218" s="1"/>
    </row>
    <row r="219" spans="1:26" s="149" customFormat="1" ht="15" customHeight="1" x14ac:dyDescent="0.2">
      <c r="A219" s="1"/>
      <c r="B219" s="1"/>
      <c r="C219" s="1"/>
      <c r="D219" s="1"/>
      <c r="E219" s="1"/>
      <c r="F219" s="1"/>
      <c r="G219" s="1"/>
      <c r="H219" s="1"/>
      <c r="P219" s="1"/>
      <c r="Q219" s="1"/>
      <c r="T219" s="150"/>
      <c r="U219" s="150"/>
      <c r="V219" s="1"/>
      <c r="W219" s="1"/>
      <c r="X219" s="1"/>
      <c r="Y219" s="1"/>
      <c r="Z219" s="1"/>
    </row>
  </sheetData>
  <sheetProtection sheet="1" formatCells="0" formatColumns="0" formatRows="0"/>
  <phoneticPr fontId="4"/>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B7DAB-EBCF-4317-90B2-3B85AADCEC13}">
  <dimension ref="A1:AA153"/>
  <sheetViews>
    <sheetView zoomScale="160" zoomScaleNormal="160" workbookViewId="0">
      <selection activeCell="R17" sqref="R17"/>
    </sheetView>
  </sheetViews>
  <sheetFormatPr defaultColWidth="9.33203125" defaultRowHeight="12.75" x14ac:dyDescent="0.2"/>
  <cols>
    <col min="1" max="2" width="9.33203125" style="1"/>
    <col min="3" max="7" width="10.1640625" style="1" customWidth="1"/>
    <col min="8" max="8" width="9.33203125" style="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1335</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1339</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 customFormat="1" x14ac:dyDescent="0.2">
      <c r="A6" s="113" t="s">
        <v>1336</v>
      </c>
      <c r="B6" s="99"/>
      <c r="C6" s="99"/>
      <c r="D6" s="99"/>
      <c r="E6" s="99"/>
      <c r="F6" s="99"/>
      <c r="G6" s="99"/>
      <c r="H6" s="99"/>
      <c r="I6" s="113"/>
      <c r="J6" s="113"/>
      <c r="K6" s="113"/>
      <c r="L6" s="113"/>
      <c r="M6" s="113"/>
      <c r="N6" s="113"/>
      <c r="O6" s="113"/>
      <c r="R6" s="113"/>
      <c r="S6" s="113"/>
      <c r="T6" s="146"/>
      <c r="U6" s="146"/>
    </row>
    <row r="7" spans="1:25" s="2" customFormat="1" x14ac:dyDescent="0.2">
      <c r="A7" s="113" t="s">
        <v>1337</v>
      </c>
      <c r="B7" s="99"/>
      <c r="C7" s="99"/>
      <c r="D7" s="99"/>
      <c r="E7" s="99"/>
      <c r="F7" s="99"/>
      <c r="G7" s="99"/>
      <c r="H7" s="99"/>
      <c r="I7" s="113"/>
      <c r="J7" s="113"/>
      <c r="K7" s="113"/>
      <c r="L7" s="113"/>
      <c r="M7" s="113"/>
      <c r="N7" s="113"/>
      <c r="O7" s="113"/>
      <c r="R7" s="113"/>
      <c r="S7" s="113"/>
      <c r="T7" s="146"/>
      <c r="U7" s="146"/>
    </row>
    <row r="8" spans="1:25" s="2" customFormat="1" x14ac:dyDescent="0.2">
      <c r="A8" s="99" t="s">
        <v>1340</v>
      </c>
      <c r="B8" s="99"/>
      <c r="C8" s="99"/>
      <c r="D8" s="99"/>
      <c r="E8" s="99"/>
      <c r="F8" s="99"/>
      <c r="G8" s="99"/>
      <c r="H8" s="99"/>
      <c r="I8" s="113"/>
      <c r="J8" s="113"/>
      <c r="K8" s="113"/>
      <c r="L8" s="113"/>
      <c r="M8" s="113"/>
      <c r="N8" s="113"/>
      <c r="O8" s="113"/>
      <c r="R8" s="113"/>
      <c r="S8" s="113"/>
      <c r="T8" s="146"/>
      <c r="U8" s="146"/>
    </row>
    <row r="9" spans="1:25" s="2" customFormat="1" x14ac:dyDescent="0.2">
      <c r="A9" s="113" t="s">
        <v>1338</v>
      </c>
      <c r="B9" s="99"/>
      <c r="C9" s="99"/>
      <c r="D9" s="99"/>
      <c r="E9" s="99"/>
      <c r="F9" s="99"/>
      <c r="G9" s="99"/>
      <c r="H9" s="99"/>
      <c r="I9" s="113"/>
      <c r="J9" s="113"/>
      <c r="K9" s="113"/>
      <c r="L9" s="113"/>
      <c r="M9" s="113"/>
      <c r="N9" s="113"/>
      <c r="O9" s="113"/>
      <c r="R9" s="113"/>
      <c r="S9" s="113"/>
      <c r="T9" s="146"/>
      <c r="U9" s="146"/>
    </row>
    <row r="10" spans="1:25" x14ac:dyDescent="0.2">
      <c r="A10" s="102"/>
      <c r="B10" s="97"/>
      <c r="C10" s="97"/>
      <c r="D10" s="97"/>
      <c r="E10" s="97"/>
      <c r="F10" s="97"/>
      <c r="G10" s="97"/>
      <c r="H10" s="97"/>
      <c r="I10" s="113"/>
      <c r="J10" s="113"/>
      <c r="K10" s="113"/>
      <c r="L10" s="113"/>
      <c r="M10" s="113"/>
      <c r="N10" s="113"/>
      <c r="O10" s="113"/>
      <c r="R10" s="113"/>
      <c r="S10" s="113"/>
      <c r="T10" s="146"/>
      <c r="U10" s="146"/>
    </row>
    <row r="11" spans="1:25" x14ac:dyDescent="0.2">
      <c r="A11" s="97"/>
      <c r="B11" s="97"/>
      <c r="C11" s="97"/>
      <c r="D11" s="97"/>
      <c r="E11" s="97"/>
      <c r="F11" s="97"/>
      <c r="G11" s="97"/>
      <c r="H11" s="97"/>
      <c r="I11" s="113"/>
      <c r="J11" s="113"/>
      <c r="K11" s="113"/>
      <c r="L11" s="113"/>
      <c r="M11" s="113"/>
      <c r="N11" s="113"/>
      <c r="O11" s="113"/>
      <c r="R11" s="113"/>
      <c r="S11" s="113"/>
      <c r="T11" s="146"/>
      <c r="U11" s="146"/>
    </row>
    <row r="12" spans="1:25" x14ac:dyDescent="0.2">
      <c r="A12" s="97"/>
      <c r="B12" s="97"/>
      <c r="C12" s="97"/>
      <c r="D12" s="97"/>
      <c r="E12" s="97"/>
      <c r="F12" s="97"/>
      <c r="G12" s="97"/>
      <c r="H12" s="97"/>
      <c r="I12" s="113"/>
      <c r="J12" s="113"/>
      <c r="K12" s="113"/>
      <c r="L12" s="113"/>
      <c r="M12" s="113"/>
      <c r="N12" s="113"/>
      <c r="O12" s="113"/>
      <c r="R12" s="113"/>
      <c r="S12" s="113"/>
      <c r="T12" s="146"/>
      <c r="U12" s="146"/>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tr">
        <f>A44</f>
        <v>Neon</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1057</v>
      </c>
      <c r="N16" s="104" t="s">
        <v>1058</v>
      </c>
      <c r="O16" s="104" t="s">
        <v>100</v>
      </c>
      <c r="P16" s="6" t="s">
        <v>105</v>
      </c>
      <c r="Q16" s="6" t="s">
        <v>106</v>
      </c>
      <c r="R16" s="104" t="s">
        <v>1051</v>
      </c>
      <c r="S16" s="104" t="s">
        <v>1052</v>
      </c>
      <c r="T16" s="147" t="s">
        <v>1053</v>
      </c>
      <c r="U16" s="147" t="s">
        <v>1054</v>
      </c>
      <c r="V16" s="5" t="s">
        <v>101</v>
      </c>
      <c r="W16" s="5" t="s">
        <v>102</v>
      </c>
      <c r="X16" s="112" t="s">
        <v>1055</v>
      </c>
      <c r="Y16" s="112" t="s">
        <v>1056</v>
      </c>
    </row>
    <row r="17" spans="1:26" x14ac:dyDescent="0.2">
      <c r="A17" s="213" t="str">
        <f>B46</f>
        <v>KRISS</v>
      </c>
      <c r="B17" s="213" t="str">
        <f>A46</f>
        <v>D081237</v>
      </c>
      <c r="C17" s="219">
        <f>C46*10000</f>
        <v>99303.000000000015</v>
      </c>
      <c r="D17" s="219">
        <f>SQRT(D46^2+E46^2)*10000</f>
        <v>410.00421900268299</v>
      </c>
      <c r="E17" s="219">
        <f>F46*10000</f>
        <v>99290</v>
      </c>
      <c r="F17" s="219">
        <f>G46/2*10000</f>
        <v>47.999999999999993</v>
      </c>
      <c r="G17" s="219">
        <f>H46*10000</f>
        <v>-14</v>
      </c>
      <c r="H17" s="219">
        <f>I46*10000</f>
        <v>125</v>
      </c>
      <c r="I17" s="155">
        <f t="shared" ref="I17:I20" si="0">IF(ABS(G17)&gt;ABS(H17), 1, 0)</f>
        <v>0</v>
      </c>
      <c r="J17" s="155">
        <f t="shared" ref="J17:J20" si="1">I17*ABS(C17-E17)</f>
        <v>0</v>
      </c>
      <c r="K17" s="155">
        <f t="shared" ref="K17:K20" si="2">SQRT(SUMSQ(F17,J17))*2</f>
        <v>95.999999999999986</v>
      </c>
      <c r="L17" s="155">
        <f t="shared" ref="L17:L20" si="3">IF(C17&lt;$K$2, C17, $K$1)</f>
        <v>10</v>
      </c>
      <c r="M17" s="156">
        <f t="shared" ref="M17:M20" si="4">IF(AND(C17&lt;$K$1,C17&gt; $K$2), K17/L17*100, K17/C17*100)</f>
        <v>9.6673816501012019E-2</v>
      </c>
      <c r="N17" s="157">
        <f t="shared" ref="N17:N20" si="5">M17*L17/100</f>
        <v>9.667381650101203E-3</v>
      </c>
      <c r="O17" s="155">
        <f t="shared" ref="O17:O20" si="6">N17/(M17*L17/100)*100</f>
        <v>100</v>
      </c>
      <c r="P17" s="250">
        <v>10</v>
      </c>
      <c r="Q17" s="250">
        <v>1000</v>
      </c>
      <c r="R17" s="148">
        <f>IF( IF(P17&lt;L17, M17*L17/P17, M17)&gt;100, "ERROR",  IF(P17&lt;L17, M17*L17/P17, M17))</f>
        <v>9.6673816501012019E-2</v>
      </c>
      <c r="S17" s="148">
        <f>IF(IF(Q17&lt;L17, M17*L17/Q17, M17)&gt;100, "ERROR", IF(Q17&lt;L17, M17*L17/Q17, M17))</f>
        <v>9.6673816501012019E-2</v>
      </c>
      <c r="T17" s="148">
        <f>R17*P17*0.01</f>
        <v>9.667381650101203E-3</v>
      </c>
      <c r="U17" s="148">
        <f>S17*Q17*0.01</f>
        <v>0.96673816501012011</v>
      </c>
      <c r="V17" s="7">
        <f>P17*1000</f>
        <v>10000</v>
      </c>
      <c r="W17" s="7">
        <f>Q17*1000</f>
        <v>1000000</v>
      </c>
      <c r="X17" s="1345">
        <f>T17*1000</f>
        <v>9.6673816501012038</v>
      </c>
      <c r="Y17" s="1345">
        <f>U17*1000</f>
        <v>966.73816501012016</v>
      </c>
    </row>
    <row r="18" spans="1:26" x14ac:dyDescent="0.2">
      <c r="A18" s="213" t="str">
        <f>B47</f>
        <v>NIM</v>
      </c>
      <c r="B18" s="213" t="str">
        <f>A47</f>
        <v>D929255</v>
      </c>
      <c r="C18" s="219">
        <f>C47*10000</f>
        <v>99181.000000000015</v>
      </c>
      <c r="D18" s="219">
        <f>SQRT(D47^2+E47^2)*10000</f>
        <v>410.00473277756203</v>
      </c>
      <c r="E18" s="219">
        <f>F47*10000</f>
        <v>99204.000000000015</v>
      </c>
      <c r="F18" s="219">
        <f>G47/2*10000</f>
        <v>75</v>
      </c>
      <c r="G18" s="219">
        <f t="shared" ref="G18:H18" si="7">H47*10000</f>
        <v>23</v>
      </c>
      <c r="H18" s="219">
        <f t="shared" si="7"/>
        <v>168.99999999999997</v>
      </c>
      <c r="I18" s="155">
        <f t="shared" si="0"/>
        <v>0</v>
      </c>
      <c r="J18" s="155">
        <f t="shared" si="1"/>
        <v>0</v>
      </c>
      <c r="K18" s="155">
        <f t="shared" si="2"/>
        <v>150</v>
      </c>
      <c r="L18" s="155">
        <f t="shared" si="3"/>
        <v>10</v>
      </c>
      <c r="M18" s="156">
        <f t="shared" si="4"/>
        <v>0.15123864449844224</v>
      </c>
      <c r="N18" s="157">
        <f t="shared" si="5"/>
        <v>1.5123864449844225E-2</v>
      </c>
      <c r="O18" s="155">
        <f t="shared" si="6"/>
        <v>100</v>
      </c>
      <c r="P18" s="250">
        <v>10</v>
      </c>
      <c r="Q18" s="250">
        <v>1000</v>
      </c>
      <c r="R18" s="148">
        <f t="shared" ref="R18:R20" si="8">IF( IF(P18&lt;L18, M18*L18/P18, M18)&gt;100, "ERROR",  IF(P18&lt;L18, M18*L18/P18, M18))</f>
        <v>0.15123864449844224</v>
      </c>
      <c r="S18" s="148">
        <f t="shared" ref="S18:S20" si="9">IF(IF(Q18&lt;L18, M18*L18/Q18, M18)&gt;100, "ERROR", IF(Q18&lt;L18, M18*L18/Q18, M18))</f>
        <v>0.15123864449844224</v>
      </c>
      <c r="T18" s="148">
        <f t="shared" ref="T18:U20" si="10">R18*P18*0.01</f>
        <v>1.5123864449844225E-2</v>
      </c>
      <c r="U18" s="148">
        <f t="shared" si="10"/>
        <v>1.5123864449844222</v>
      </c>
      <c r="V18" s="7">
        <f t="shared" ref="V18:W20" si="11">P18*1000</f>
        <v>10000</v>
      </c>
      <c r="W18" s="7">
        <f t="shared" si="11"/>
        <v>1000000</v>
      </c>
      <c r="X18" s="1345">
        <f t="shared" ref="X18:Y20" si="12">T18*1000</f>
        <v>15.123864449844225</v>
      </c>
      <c r="Y18" s="1345">
        <f t="shared" si="12"/>
        <v>1512.3864449844223</v>
      </c>
    </row>
    <row r="19" spans="1:26" x14ac:dyDescent="0.2">
      <c r="A19" s="213" t="str">
        <f>B48</f>
        <v>NIST</v>
      </c>
      <c r="B19" s="213" t="str">
        <f>A48</f>
        <v>D014941</v>
      </c>
      <c r="C19" s="219">
        <f>C48*10000</f>
        <v>99201</v>
      </c>
      <c r="D19" s="219">
        <f>SQRT(D48^2+E48^2)*10000</f>
        <v>410.00435619637017</v>
      </c>
      <c r="E19" s="219">
        <f>F48*10000</f>
        <v>102980</v>
      </c>
      <c r="F19" s="219">
        <f>G48/2*10000</f>
        <v>55</v>
      </c>
      <c r="G19" s="219">
        <f t="shared" ref="G19:H19" si="13">H48*10000</f>
        <v>3780</v>
      </c>
      <c r="H19" s="219">
        <f t="shared" si="13"/>
        <v>140</v>
      </c>
      <c r="I19" s="155">
        <f t="shared" si="0"/>
        <v>1</v>
      </c>
      <c r="J19" s="155">
        <f t="shared" si="1"/>
        <v>3779</v>
      </c>
      <c r="K19" s="155">
        <f t="shared" si="2"/>
        <v>7558.8004339312993</v>
      </c>
      <c r="L19" s="155">
        <f t="shared" si="3"/>
        <v>10</v>
      </c>
      <c r="M19" s="156">
        <f t="shared" si="4"/>
        <v>7.6196816906395082</v>
      </c>
      <c r="N19" s="157">
        <f t="shared" si="5"/>
        <v>0.76196816906395082</v>
      </c>
      <c r="O19" s="155">
        <f t="shared" si="6"/>
        <v>100</v>
      </c>
      <c r="P19" s="250">
        <v>10</v>
      </c>
      <c r="Q19" s="250">
        <v>1000</v>
      </c>
      <c r="R19" s="148">
        <f t="shared" si="8"/>
        <v>7.6196816906395082</v>
      </c>
      <c r="S19" s="148">
        <f t="shared" si="9"/>
        <v>7.6196816906395082</v>
      </c>
      <c r="T19" s="148">
        <f t="shared" si="10"/>
        <v>0.76196816906395082</v>
      </c>
      <c r="U19" s="148">
        <f t="shared" si="10"/>
        <v>76.196816906395085</v>
      </c>
      <c r="V19" s="7">
        <f t="shared" si="11"/>
        <v>10000</v>
      </c>
      <c r="W19" s="7">
        <f t="shared" si="11"/>
        <v>1000000</v>
      </c>
      <c r="X19" s="1345">
        <f t="shared" si="12"/>
        <v>761.96816906395077</v>
      </c>
      <c r="Y19" s="1345">
        <f t="shared" si="12"/>
        <v>76196.816906395092</v>
      </c>
    </row>
    <row r="20" spans="1:26" x14ac:dyDescent="0.2">
      <c r="A20" s="213" t="str">
        <f>B49</f>
        <v>VNIIM</v>
      </c>
      <c r="B20" s="213" t="str">
        <f>A49</f>
        <v>D068095</v>
      </c>
      <c r="C20" s="219">
        <f>C49*10000</f>
        <v>99454.999999999985</v>
      </c>
      <c r="D20" s="219">
        <f>SQRT(D49^2+E49^2)*10000</f>
        <v>410.00487801976209</v>
      </c>
      <c r="E20" s="219" t="s">
        <v>1459</v>
      </c>
      <c r="F20" s="219" t="s">
        <v>1459</v>
      </c>
      <c r="G20" s="219" t="s">
        <v>1459</v>
      </c>
      <c r="H20" s="219" t="s">
        <v>1459</v>
      </c>
      <c r="I20" s="155" t="e">
        <f t="shared" si="0"/>
        <v>#VALUE!</v>
      </c>
      <c r="J20" s="155" t="e">
        <f t="shared" si="1"/>
        <v>#VALUE!</v>
      </c>
      <c r="K20" s="155" t="e">
        <f t="shared" si="2"/>
        <v>#VALUE!</v>
      </c>
      <c r="L20" s="155">
        <f t="shared" si="3"/>
        <v>10</v>
      </c>
      <c r="M20" s="156" t="e">
        <f t="shared" si="4"/>
        <v>#VALUE!</v>
      </c>
      <c r="N20" s="157" t="e">
        <f t="shared" si="5"/>
        <v>#VALUE!</v>
      </c>
      <c r="O20" s="155" t="e">
        <f t="shared" si="6"/>
        <v>#VALUE!</v>
      </c>
      <c r="P20" s="250">
        <v>10</v>
      </c>
      <c r="Q20" s="250">
        <v>1000</v>
      </c>
      <c r="R20" s="148" t="e">
        <f t="shared" si="8"/>
        <v>#VALUE!</v>
      </c>
      <c r="S20" s="148" t="e">
        <f t="shared" si="9"/>
        <v>#VALUE!</v>
      </c>
      <c r="T20" s="148" t="e">
        <f t="shared" si="10"/>
        <v>#VALUE!</v>
      </c>
      <c r="U20" s="148" t="e">
        <f t="shared" si="10"/>
        <v>#VALUE!</v>
      </c>
      <c r="V20" s="7">
        <f t="shared" si="11"/>
        <v>10000</v>
      </c>
      <c r="W20" s="7">
        <f t="shared" si="11"/>
        <v>1000000</v>
      </c>
      <c r="X20" s="1345" t="e">
        <f t="shared" si="12"/>
        <v>#VALUE!</v>
      </c>
      <c r="Y20" s="1345" t="e">
        <f t="shared" si="12"/>
        <v>#VALUE!</v>
      </c>
    </row>
    <row r="21" spans="1:26" ht="14.25" x14ac:dyDescent="0.2">
      <c r="H21" s="9"/>
      <c r="U21" s="152"/>
      <c r="V21" s="21"/>
      <c r="W21" s="21"/>
      <c r="X21" s="21"/>
      <c r="Y21" s="21"/>
      <c r="Z21" s="21"/>
    </row>
    <row r="22" spans="1:26" ht="15.75" x14ac:dyDescent="0.2">
      <c r="A22" s="103" t="str">
        <f>A51</f>
        <v>Argon</v>
      </c>
      <c r="B22" s="97"/>
      <c r="C22" s="97"/>
      <c r="D22" s="97"/>
      <c r="E22" s="97"/>
      <c r="F22" s="97"/>
      <c r="G22" s="97"/>
      <c r="H22" s="97"/>
      <c r="I22" s="113"/>
      <c r="J22" s="113"/>
      <c r="K22" s="113"/>
      <c r="L22" s="113"/>
      <c r="M22" s="113"/>
      <c r="N22" s="113"/>
      <c r="O22" s="113"/>
      <c r="R22" s="113"/>
      <c r="S22" s="113"/>
      <c r="T22" s="146"/>
      <c r="U22" s="146"/>
    </row>
    <row r="23" spans="1:26" ht="102" x14ac:dyDescent="0.2">
      <c r="A23" s="211" t="s">
        <v>0</v>
      </c>
      <c r="B23" s="212" t="s">
        <v>1</v>
      </c>
      <c r="C23" s="212" t="s">
        <v>133</v>
      </c>
      <c r="D23" s="212" t="s">
        <v>199</v>
      </c>
      <c r="E23" s="212" t="s">
        <v>135</v>
      </c>
      <c r="F23" s="212" t="s">
        <v>200</v>
      </c>
      <c r="G23" s="212" t="s">
        <v>137</v>
      </c>
      <c r="H23" s="212" t="s">
        <v>201</v>
      </c>
      <c r="I23" s="104" t="s">
        <v>8</v>
      </c>
      <c r="J23" s="104" t="s">
        <v>9</v>
      </c>
      <c r="K23" s="104" t="s">
        <v>107</v>
      </c>
      <c r="L23" s="104" t="s">
        <v>14</v>
      </c>
      <c r="M23" s="104" t="s">
        <v>1057</v>
      </c>
      <c r="N23" s="104" t="s">
        <v>1058</v>
      </c>
      <c r="O23" s="104" t="s">
        <v>100</v>
      </c>
      <c r="P23" s="6" t="s">
        <v>105</v>
      </c>
      <c r="Q23" s="6" t="s">
        <v>106</v>
      </c>
      <c r="R23" s="104" t="s">
        <v>1051</v>
      </c>
      <c r="S23" s="104" t="s">
        <v>1052</v>
      </c>
      <c r="T23" s="147" t="s">
        <v>1053</v>
      </c>
      <c r="U23" s="147" t="s">
        <v>1054</v>
      </c>
      <c r="V23" s="5" t="s">
        <v>101</v>
      </c>
      <c r="W23" s="5" t="s">
        <v>102</v>
      </c>
      <c r="X23" s="112" t="s">
        <v>1055</v>
      </c>
      <c r="Y23" s="112" t="s">
        <v>1056</v>
      </c>
    </row>
    <row r="24" spans="1:26" x14ac:dyDescent="0.2">
      <c r="A24" s="213" t="str">
        <f>B53</f>
        <v>KRISS</v>
      </c>
      <c r="B24" s="213" t="str">
        <f>A53</f>
        <v>D081237</v>
      </c>
      <c r="C24" s="219">
        <f>C53*10000</f>
        <v>200636</v>
      </c>
      <c r="D24" s="219">
        <f>SQRT(D53^2+E53^2)*10000</f>
        <v>320.0183821282771</v>
      </c>
      <c r="E24" s="219">
        <f>F53*10000</f>
        <v>200619</v>
      </c>
      <c r="F24" s="219">
        <f>G53/2*10000</f>
        <v>104.49999999999999</v>
      </c>
      <c r="G24" s="219">
        <f>H53*10000</f>
        <v>-17</v>
      </c>
      <c r="H24" s="219">
        <f>I53*10000</f>
        <v>244.00000000000003</v>
      </c>
      <c r="I24" s="155">
        <f t="shared" ref="I24:I27" si="14">IF(ABS(G24)&gt;ABS(H24), 1, 0)</f>
        <v>0</v>
      </c>
      <c r="J24" s="155">
        <f t="shared" ref="J24:J27" si="15">I24*ABS(C24-E24)</f>
        <v>0</v>
      </c>
      <c r="K24" s="155">
        <f t="shared" ref="K24:K27" si="16">SQRT(SUMSQ(F24,J24))*2</f>
        <v>208.99999999999997</v>
      </c>
      <c r="L24" s="155">
        <f t="shared" ref="L24:L27" si="17">IF(C24&lt;$K$2, C24, $K$1)</f>
        <v>10</v>
      </c>
      <c r="M24" s="156">
        <f t="shared" ref="M24:M27" si="18">IF(AND(C24&lt;$K$1,C24&gt; $K$2), K24/L24*100, K24/C24*100)</f>
        <v>0.1041687433960007</v>
      </c>
      <c r="N24" s="157">
        <f t="shared" ref="N24:N27" si="19">M24*L24/100</f>
        <v>1.041687433960007E-2</v>
      </c>
      <c r="O24" s="155">
        <f t="shared" ref="O24:O27" si="20">N24/(M24*L24/100)*100</f>
        <v>100</v>
      </c>
      <c r="P24" s="250">
        <v>10</v>
      </c>
      <c r="Q24" s="250">
        <v>1000</v>
      </c>
      <c r="R24" s="148">
        <f>IF( IF(P24&lt;L24, M24*L24/P24, M24)&gt;100, "ERROR",  IF(P24&lt;L24, M24*L24/P24, M24))</f>
        <v>0.1041687433960007</v>
      </c>
      <c r="S24" s="148">
        <f>IF(IF(Q24&lt;L24, M24*L24/Q24, M24)&gt;100, "ERROR", IF(Q24&lt;L24, M24*L24/Q24, M24))</f>
        <v>0.1041687433960007</v>
      </c>
      <c r="T24" s="148">
        <f>R24*P24*0.01</f>
        <v>1.0416874339600072E-2</v>
      </c>
      <c r="U24" s="148">
        <f>S24*Q24*0.01</f>
        <v>1.0416874339600068</v>
      </c>
      <c r="V24" s="7">
        <f>P24*1000</f>
        <v>10000</v>
      </c>
      <c r="W24" s="7">
        <f>Q24*1000</f>
        <v>1000000</v>
      </c>
      <c r="X24" s="1345">
        <f>T24*1000</f>
        <v>10.416874339600072</v>
      </c>
      <c r="Y24" s="1345">
        <f>U24*1000</f>
        <v>1041.687433960007</v>
      </c>
    </row>
    <row r="25" spans="1:26" x14ac:dyDescent="0.2">
      <c r="A25" s="213" t="str">
        <f>B54</f>
        <v>NIM</v>
      </c>
      <c r="B25" s="213" t="str">
        <f>A54</f>
        <v>D929255</v>
      </c>
      <c r="C25" s="219">
        <f>C54*10000</f>
        <v>201180.99999999997</v>
      </c>
      <c r="D25" s="219">
        <f>SQRT(D54^2+E54^2)*10000</f>
        <v>320.01969080042556</v>
      </c>
      <c r="E25" s="219">
        <f>F54*10000</f>
        <v>201240</v>
      </c>
      <c r="F25" s="219">
        <f>G54/2*10000</f>
        <v>150</v>
      </c>
      <c r="G25" s="219">
        <f t="shared" ref="G25:H25" si="21">H54*10000</f>
        <v>60</v>
      </c>
      <c r="H25" s="219">
        <f t="shared" si="21"/>
        <v>330</v>
      </c>
      <c r="I25" s="155">
        <f t="shared" si="14"/>
        <v>0</v>
      </c>
      <c r="J25" s="155">
        <f t="shared" si="15"/>
        <v>0</v>
      </c>
      <c r="K25" s="155">
        <f t="shared" si="16"/>
        <v>300</v>
      </c>
      <c r="L25" s="155">
        <f t="shared" si="17"/>
        <v>10</v>
      </c>
      <c r="M25" s="156">
        <f t="shared" si="18"/>
        <v>0.14911944964981785</v>
      </c>
      <c r="N25" s="157">
        <f t="shared" si="19"/>
        <v>1.4911944964981785E-2</v>
      </c>
      <c r="O25" s="155">
        <f t="shared" si="20"/>
        <v>100</v>
      </c>
      <c r="P25" s="250">
        <v>10</v>
      </c>
      <c r="Q25" s="250">
        <v>1000</v>
      </c>
      <c r="R25" s="148">
        <f t="shared" ref="R25:R27" si="22">IF( IF(P25&lt;L25, M25*L25/P25, M25)&gt;100, "ERROR",  IF(P25&lt;L25, M25*L25/P25, M25))</f>
        <v>0.14911944964981785</v>
      </c>
      <c r="S25" s="148">
        <f t="shared" ref="S25:S27" si="23">IF(IF(Q25&lt;L25, M25*L25/Q25, M25)&gt;100, "ERROR", IF(Q25&lt;L25, M25*L25/Q25, M25))</f>
        <v>0.14911944964981785</v>
      </c>
      <c r="T25" s="148">
        <f t="shared" ref="T25:T27" si="24">R25*P25*0.01</f>
        <v>1.4911944964981785E-2</v>
      </c>
      <c r="U25" s="148">
        <f t="shared" ref="U25:U27" si="25">S25*Q25*0.01</f>
        <v>1.4911944964981785</v>
      </c>
      <c r="V25" s="7">
        <f t="shared" ref="V25:V27" si="26">P25*1000</f>
        <v>10000</v>
      </c>
      <c r="W25" s="7">
        <f t="shared" ref="W25:W27" si="27">Q25*1000</f>
        <v>1000000</v>
      </c>
      <c r="X25" s="1345">
        <f t="shared" ref="X25:X27" si="28">T25*1000</f>
        <v>14.911944964981785</v>
      </c>
      <c r="Y25" s="1345">
        <f t="shared" ref="Y25:Y27" si="29">U25*1000</f>
        <v>1491.1944964981785</v>
      </c>
    </row>
    <row r="26" spans="1:26" x14ac:dyDescent="0.2">
      <c r="A26" s="213" t="str">
        <f>B55</f>
        <v>NIST</v>
      </c>
      <c r="B26" s="213" t="str">
        <f>A55</f>
        <v>D014941</v>
      </c>
      <c r="C26" s="219">
        <f>C55*10000</f>
        <v>200790</v>
      </c>
      <c r="D26" s="219">
        <f>SQRT(D55^2+E55^2)*10000</f>
        <v>320.01795590247747</v>
      </c>
      <c r="E26" s="219">
        <f>F55*10000</f>
        <v>202280.00000000003</v>
      </c>
      <c r="F26" s="219">
        <f>G55/2*10000</f>
        <v>70</v>
      </c>
      <c r="G26" s="219">
        <f t="shared" ref="G26:H26" si="30">H55*10000</f>
        <v>1490</v>
      </c>
      <c r="H26" s="219">
        <f t="shared" si="30"/>
        <v>190</v>
      </c>
      <c r="I26" s="155">
        <f t="shared" si="14"/>
        <v>1</v>
      </c>
      <c r="J26" s="155">
        <f t="shared" si="15"/>
        <v>1490.0000000000291</v>
      </c>
      <c r="K26" s="155">
        <f t="shared" si="16"/>
        <v>2983.2867780353176</v>
      </c>
      <c r="L26" s="155">
        <f t="shared" si="17"/>
        <v>10</v>
      </c>
      <c r="M26" s="156">
        <f t="shared" si="18"/>
        <v>1.4857745794289146</v>
      </c>
      <c r="N26" s="157">
        <f t="shared" si="19"/>
        <v>0.14857745794289146</v>
      </c>
      <c r="O26" s="155">
        <f t="shared" si="20"/>
        <v>100</v>
      </c>
      <c r="P26" s="250">
        <v>10</v>
      </c>
      <c r="Q26" s="250">
        <v>1000</v>
      </c>
      <c r="R26" s="148">
        <f t="shared" si="22"/>
        <v>1.4857745794289146</v>
      </c>
      <c r="S26" s="148">
        <f t="shared" si="23"/>
        <v>1.4857745794289146</v>
      </c>
      <c r="T26" s="148">
        <f t="shared" si="24"/>
        <v>0.14857745794289146</v>
      </c>
      <c r="U26" s="148">
        <f t="shared" si="25"/>
        <v>14.857745794289146</v>
      </c>
      <c r="V26" s="7">
        <f t="shared" si="26"/>
        <v>10000</v>
      </c>
      <c r="W26" s="7">
        <f t="shared" si="27"/>
        <v>1000000</v>
      </c>
      <c r="X26" s="1345">
        <f t="shared" si="28"/>
        <v>148.57745794289144</v>
      </c>
      <c r="Y26" s="1345">
        <f t="shared" si="29"/>
        <v>14857.745794289145</v>
      </c>
    </row>
    <row r="27" spans="1:26" x14ac:dyDescent="0.2">
      <c r="A27" s="213" t="str">
        <f>B56</f>
        <v>VNIIM</v>
      </c>
      <c r="B27" s="213" t="str">
        <f>A56</f>
        <v>D068095</v>
      </c>
      <c r="C27" s="219">
        <f>C56*10000</f>
        <v>201469.99999999997</v>
      </c>
      <c r="D27" s="219">
        <f>SQRT(D56^2+E56^2)*10000</f>
        <v>320.02127444905909</v>
      </c>
      <c r="E27" s="219">
        <f>F56*10000</f>
        <v>201650</v>
      </c>
      <c r="F27" s="219">
        <f>G56/2*10000</f>
        <v>150</v>
      </c>
      <c r="G27" s="219">
        <f t="shared" ref="G27:H27" si="31">H56*10000</f>
        <v>180</v>
      </c>
      <c r="H27" s="219">
        <f t="shared" si="31"/>
        <v>330</v>
      </c>
      <c r="I27" s="155">
        <f t="shared" si="14"/>
        <v>0</v>
      </c>
      <c r="J27" s="155">
        <f t="shared" si="15"/>
        <v>0</v>
      </c>
      <c r="K27" s="155">
        <f t="shared" si="16"/>
        <v>300</v>
      </c>
      <c r="L27" s="155">
        <f t="shared" si="17"/>
        <v>10</v>
      </c>
      <c r="M27" s="156">
        <f t="shared" si="18"/>
        <v>0.14890554424976424</v>
      </c>
      <c r="N27" s="157">
        <f t="shared" si="19"/>
        <v>1.4890554424976422E-2</v>
      </c>
      <c r="O27" s="155">
        <f t="shared" si="20"/>
        <v>100</v>
      </c>
      <c r="P27" s="250">
        <v>10</v>
      </c>
      <c r="Q27" s="250">
        <v>1000</v>
      </c>
      <c r="R27" s="148">
        <f t="shared" si="22"/>
        <v>0.14890554424976424</v>
      </c>
      <c r="S27" s="148">
        <f t="shared" si="23"/>
        <v>0.14890554424976424</v>
      </c>
      <c r="T27" s="148">
        <f t="shared" si="24"/>
        <v>1.4890554424976424E-2</v>
      </c>
      <c r="U27" s="148">
        <f t="shared" si="25"/>
        <v>1.4890554424976423</v>
      </c>
      <c r="V27" s="7">
        <f t="shared" si="26"/>
        <v>10000</v>
      </c>
      <c r="W27" s="7">
        <f t="shared" si="27"/>
        <v>1000000</v>
      </c>
      <c r="X27" s="1345">
        <f t="shared" si="28"/>
        <v>14.890554424976424</v>
      </c>
      <c r="Y27" s="1345">
        <f t="shared" si="29"/>
        <v>1489.0554424976424</v>
      </c>
    </row>
    <row r="28" spans="1:26" ht="14.25" x14ac:dyDescent="0.2">
      <c r="H28" s="9"/>
      <c r="U28" s="152"/>
      <c r="V28" s="21"/>
      <c r="W28" s="21"/>
      <c r="X28" s="21"/>
      <c r="Y28" s="21"/>
      <c r="Z28" s="21"/>
    </row>
    <row r="29" spans="1:26" ht="15.75" x14ac:dyDescent="0.2">
      <c r="A29" s="103" t="str">
        <f>A58</f>
        <v>Kr</v>
      </c>
      <c r="B29" s="97"/>
      <c r="C29" s="97"/>
      <c r="D29" s="97"/>
      <c r="E29" s="97"/>
      <c r="F29" s="97"/>
      <c r="G29" s="97"/>
      <c r="H29" s="97"/>
      <c r="I29" s="113"/>
      <c r="J29" s="113"/>
      <c r="K29" s="113"/>
      <c r="L29" s="113"/>
      <c r="M29" s="113"/>
      <c r="N29" s="113"/>
      <c r="O29" s="113"/>
      <c r="R29" s="113"/>
      <c r="S29" s="113"/>
      <c r="T29" s="146"/>
      <c r="U29" s="146"/>
    </row>
    <row r="30" spans="1:26" ht="102" x14ac:dyDescent="0.2">
      <c r="A30" s="211" t="s">
        <v>0</v>
      </c>
      <c r="B30" s="212" t="s">
        <v>1</v>
      </c>
      <c r="C30" s="212" t="s">
        <v>133</v>
      </c>
      <c r="D30" s="212" t="s">
        <v>199</v>
      </c>
      <c r="E30" s="212" t="s">
        <v>135</v>
      </c>
      <c r="F30" s="212" t="s">
        <v>200</v>
      </c>
      <c r="G30" s="212" t="s">
        <v>137</v>
      </c>
      <c r="H30" s="212" t="s">
        <v>201</v>
      </c>
      <c r="I30" s="104" t="s">
        <v>8</v>
      </c>
      <c r="J30" s="104" t="s">
        <v>9</v>
      </c>
      <c r="K30" s="104" t="s">
        <v>107</v>
      </c>
      <c r="L30" s="104" t="s">
        <v>14</v>
      </c>
      <c r="M30" s="104" t="s">
        <v>1057</v>
      </c>
      <c r="N30" s="104" t="s">
        <v>1058</v>
      </c>
      <c r="O30" s="104" t="s">
        <v>100</v>
      </c>
      <c r="P30" s="6" t="s">
        <v>105</v>
      </c>
      <c r="Q30" s="6" t="s">
        <v>106</v>
      </c>
      <c r="R30" s="104" t="s">
        <v>1051</v>
      </c>
      <c r="S30" s="104" t="s">
        <v>1052</v>
      </c>
      <c r="T30" s="147" t="s">
        <v>1053</v>
      </c>
      <c r="U30" s="147" t="s">
        <v>1054</v>
      </c>
      <c r="V30" s="5" t="s">
        <v>101</v>
      </c>
      <c r="W30" s="5" t="s">
        <v>102</v>
      </c>
      <c r="X30" s="112" t="s">
        <v>1055</v>
      </c>
      <c r="Y30" s="112" t="s">
        <v>1056</v>
      </c>
    </row>
    <row r="31" spans="1:26" x14ac:dyDescent="0.2">
      <c r="A31" s="213" t="str">
        <f>B60</f>
        <v>KRISS</v>
      </c>
      <c r="B31" s="213" t="str">
        <f>A60</f>
        <v>D081237</v>
      </c>
      <c r="C31" s="219">
        <f>C60*10000</f>
        <v>21284</v>
      </c>
      <c r="D31" s="219">
        <f>SQRT(D60^2+E60^2)*10000</f>
        <v>400.00054449962943</v>
      </c>
      <c r="E31" s="219">
        <f>F60*10000</f>
        <v>21279</v>
      </c>
      <c r="F31" s="219">
        <f>G60/2*10000</f>
        <v>11.25</v>
      </c>
      <c r="G31" s="219">
        <f>H60*10000</f>
        <v>-5</v>
      </c>
      <c r="H31" s="219">
        <f>I60*10000</f>
        <v>28</v>
      </c>
      <c r="I31" s="155">
        <f t="shared" ref="I31:I34" si="32">IF(ABS(G31)&gt;ABS(H31), 1, 0)</f>
        <v>0</v>
      </c>
      <c r="J31" s="155">
        <f t="shared" ref="J31:J34" si="33">I31*ABS(C31-E31)</f>
        <v>0</v>
      </c>
      <c r="K31" s="155">
        <f t="shared" ref="K31:K34" si="34">SQRT(SUMSQ(F31,J31))*2</f>
        <v>22.5</v>
      </c>
      <c r="L31" s="155">
        <f t="shared" ref="L31:L34" si="35">IF(C31&lt;$K$2, C31, $K$1)</f>
        <v>10</v>
      </c>
      <c r="M31" s="156">
        <f t="shared" ref="M31:M34" si="36">IF(AND(C31&lt;$K$1,C31&gt; $K$2), K31/L31*100, K31/C31*100)</f>
        <v>0.10571321180229279</v>
      </c>
      <c r="N31" s="157">
        <f t="shared" ref="N31:N34" si="37">M31*L31/100</f>
        <v>1.0571321180229278E-2</v>
      </c>
      <c r="O31" s="155">
        <f t="shared" ref="O31:O34" si="38">N31/(M31*L31/100)*100</f>
        <v>100</v>
      </c>
      <c r="P31" s="250">
        <v>10</v>
      </c>
      <c r="Q31" s="250">
        <v>1000</v>
      </c>
      <c r="R31" s="148">
        <f>IF( IF(P31&lt;L31, M31*L31/P31, M31)&gt;100, "ERROR",  IF(P31&lt;L31, M31*L31/P31, M31))</f>
        <v>0.10571321180229279</v>
      </c>
      <c r="S31" s="148">
        <f>IF(IF(Q31&lt;L31, M31*L31/Q31, M31)&gt;100, "ERROR", IF(Q31&lt;L31, M31*L31/Q31, M31))</f>
        <v>0.10571321180229279</v>
      </c>
      <c r="T31" s="148">
        <f>R31*P31*0.01</f>
        <v>1.0571321180229279E-2</v>
      </c>
      <c r="U31" s="148">
        <f>S31*Q31*0.01</f>
        <v>1.0571321180229278</v>
      </c>
      <c r="V31" s="7">
        <f>P31*1000</f>
        <v>10000</v>
      </c>
      <c r="W31" s="7">
        <f>Q31*1000</f>
        <v>1000000</v>
      </c>
      <c r="X31" s="1345">
        <f>T31*1000</f>
        <v>10.57132118022928</v>
      </c>
      <c r="Y31" s="1345">
        <f>U31*1000</f>
        <v>1057.1321180229279</v>
      </c>
    </row>
    <row r="32" spans="1:26" x14ac:dyDescent="0.2">
      <c r="A32" s="213" t="str">
        <f>B61</f>
        <v>NIM</v>
      </c>
      <c r="B32" s="213" t="str">
        <f>A61</f>
        <v>D929255</v>
      </c>
      <c r="C32" s="219">
        <f>C61*10000</f>
        <v>20185</v>
      </c>
      <c r="D32" s="219">
        <f>SQRT(D61^2+E61^2)*10000</f>
        <v>400.0005281246514</v>
      </c>
      <c r="E32" s="219">
        <f>F61*10000</f>
        <v>20193</v>
      </c>
      <c r="F32" s="219">
        <f>G61/2*10000</f>
        <v>15</v>
      </c>
      <c r="G32" s="219">
        <f t="shared" ref="G32:H32" si="39">H61*10000</f>
        <v>8</v>
      </c>
      <c r="H32" s="219">
        <f t="shared" si="39"/>
        <v>34</v>
      </c>
      <c r="I32" s="155">
        <f t="shared" si="32"/>
        <v>0</v>
      </c>
      <c r="J32" s="155">
        <f t="shared" si="33"/>
        <v>0</v>
      </c>
      <c r="K32" s="155">
        <f t="shared" si="34"/>
        <v>30</v>
      </c>
      <c r="L32" s="155">
        <f t="shared" si="35"/>
        <v>10</v>
      </c>
      <c r="M32" s="156">
        <f t="shared" si="36"/>
        <v>0.14862521674510776</v>
      </c>
      <c r="N32" s="157">
        <f t="shared" si="37"/>
        <v>1.4862521674510775E-2</v>
      </c>
      <c r="O32" s="155">
        <f t="shared" si="38"/>
        <v>100</v>
      </c>
      <c r="P32" s="250">
        <v>10</v>
      </c>
      <c r="Q32" s="250">
        <v>1000</v>
      </c>
      <c r="R32" s="148">
        <f t="shared" ref="R32:R34" si="40">IF( IF(P32&lt;L32, M32*L32/P32, M32)&gt;100, "ERROR",  IF(P32&lt;L32, M32*L32/P32, M32))</f>
        <v>0.14862521674510776</v>
      </c>
      <c r="S32" s="148">
        <f t="shared" ref="S32:S34" si="41">IF(IF(Q32&lt;L32, M32*L32/Q32, M32)&gt;100, "ERROR", IF(Q32&lt;L32, M32*L32/Q32, M32))</f>
        <v>0.14862521674510776</v>
      </c>
      <c r="T32" s="148">
        <f t="shared" ref="T32:T34" si="42">R32*P32*0.01</f>
        <v>1.4862521674510775E-2</v>
      </c>
      <c r="U32" s="148">
        <f t="shared" ref="U32:U34" si="43">S32*Q32*0.01</f>
        <v>1.4862521674510776</v>
      </c>
      <c r="V32" s="7">
        <f t="shared" ref="V32:V34" si="44">P32*1000</f>
        <v>10000</v>
      </c>
      <c r="W32" s="7">
        <f t="shared" ref="W32:W34" si="45">Q32*1000</f>
        <v>1000000</v>
      </c>
      <c r="X32" s="1345">
        <f t="shared" ref="X32:X34" si="46">T32*1000</f>
        <v>14.862521674510775</v>
      </c>
      <c r="Y32" s="1345">
        <f t="shared" ref="Y32:Y34" si="47">U32*1000</f>
        <v>1486.2521674510776</v>
      </c>
    </row>
    <row r="33" spans="1:26" x14ac:dyDescent="0.2">
      <c r="A33" s="213" t="str">
        <f>B62</f>
        <v>NIST</v>
      </c>
      <c r="B33" s="213" t="str">
        <f>A62</f>
        <v>D014941</v>
      </c>
      <c r="C33" s="219">
        <f>C62*10000</f>
        <v>19888</v>
      </c>
      <c r="D33" s="219">
        <f>SQRT(D62^2+E62^2)*10000</f>
        <v>400.00051199967231</v>
      </c>
      <c r="E33" s="219">
        <f>F62*10000</f>
        <v>20639</v>
      </c>
      <c r="F33" s="219">
        <f>G62/2*10000</f>
        <v>5.5</v>
      </c>
      <c r="G33" s="219">
        <f t="shared" ref="G33:H33" si="48">H62*10000</f>
        <v>751</v>
      </c>
      <c r="H33" s="219">
        <f t="shared" si="48"/>
        <v>20</v>
      </c>
      <c r="I33" s="155">
        <f t="shared" si="32"/>
        <v>1</v>
      </c>
      <c r="J33" s="155">
        <f t="shared" si="33"/>
        <v>751</v>
      </c>
      <c r="K33" s="155">
        <f t="shared" si="34"/>
        <v>1502.0402790870824</v>
      </c>
      <c r="L33" s="155">
        <f t="shared" si="35"/>
        <v>10</v>
      </c>
      <c r="M33" s="156">
        <f t="shared" si="36"/>
        <v>7.5524953695046371</v>
      </c>
      <c r="N33" s="157">
        <f t="shared" si="37"/>
        <v>0.75524953695046382</v>
      </c>
      <c r="O33" s="155">
        <f t="shared" si="38"/>
        <v>100</v>
      </c>
      <c r="P33" s="250">
        <v>10</v>
      </c>
      <c r="Q33" s="250">
        <v>1000</v>
      </c>
      <c r="R33" s="148">
        <f t="shared" si="40"/>
        <v>7.5524953695046371</v>
      </c>
      <c r="S33" s="148">
        <f t="shared" si="41"/>
        <v>7.5524953695046371</v>
      </c>
      <c r="T33" s="148">
        <f t="shared" si="42"/>
        <v>0.75524953695046382</v>
      </c>
      <c r="U33" s="148">
        <f t="shared" si="43"/>
        <v>75.524953695046378</v>
      </c>
      <c r="V33" s="7">
        <f t="shared" si="44"/>
        <v>10000</v>
      </c>
      <c r="W33" s="7">
        <f t="shared" si="45"/>
        <v>1000000</v>
      </c>
      <c r="X33" s="1345">
        <f t="shared" si="46"/>
        <v>755.24953695046383</v>
      </c>
      <c r="Y33" s="1345">
        <f t="shared" si="47"/>
        <v>75524.953695046381</v>
      </c>
    </row>
    <row r="34" spans="1:26" x14ac:dyDescent="0.2">
      <c r="A34" s="213" t="str">
        <f>B63</f>
        <v>VNIIM</v>
      </c>
      <c r="B34" s="213" t="str">
        <f>A63</f>
        <v>D068095</v>
      </c>
      <c r="C34" s="219">
        <f>C63*10000</f>
        <v>20101</v>
      </c>
      <c r="D34" s="219">
        <f>SQRT(D63^2+E63^2)*10000</f>
        <v>400.0005281246514</v>
      </c>
      <c r="E34" s="219" t="s">
        <v>1459</v>
      </c>
      <c r="F34" s="219" t="s">
        <v>1459</v>
      </c>
      <c r="G34" s="219" t="s">
        <v>1459</v>
      </c>
      <c r="H34" s="219" t="s">
        <v>1459</v>
      </c>
      <c r="I34" s="155" t="e">
        <f t="shared" si="32"/>
        <v>#VALUE!</v>
      </c>
      <c r="J34" s="155" t="e">
        <f t="shared" si="33"/>
        <v>#VALUE!</v>
      </c>
      <c r="K34" s="155" t="e">
        <f t="shared" si="34"/>
        <v>#VALUE!</v>
      </c>
      <c r="L34" s="155">
        <f t="shared" si="35"/>
        <v>10</v>
      </c>
      <c r="M34" s="156" t="e">
        <f t="shared" si="36"/>
        <v>#VALUE!</v>
      </c>
      <c r="N34" s="157" t="e">
        <f t="shared" si="37"/>
        <v>#VALUE!</v>
      </c>
      <c r="O34" s="155" t="e">
        <f t="shared" si="38"/>
        <v>#VALUE!</v>
      </c>
      <c r="P34" s="250">
        <v>10</v>
      </c>
      <c r="Q34" s="250">
        <v>1000</v>
      </c>
      <c r="R34" s="148" t="e">
        <f t="shared" si="40"/>
        <v>#VALUE!</v>
      </c>
      <c r="S34" s="148" t="e">
        <f t="shared" si="41"/>
        <v>#VALUE!</v>
      </c>
      <c r="T34" s="148" t="e">
        <f t="shared" si="42"/>
        <v>#VALUE!</v>
      </c>
      <c r="U34" s="148" t="e">
        <f t="shared" si="43"/>
        <v>#VALUE!</v>
      </c>
      <c r="V34" s="7">
        <f t="shared" si="44"/>
        <v>10000</v>
      </c>
      <c r="W34" s="7">
        <f t="shared" si="45"/>
        <v>1000000</v>
      </c>
      <c r="X34" s="1345" t="e">
        <f t="shared" si="46"/>
        <v>#VALUE!</v>
      </c>
      <c r="Y34" s="1345" t="e">
        <f t="shared" si="47"/>
        <v>#VALUE!</v>
      </c>
    </row>
    <row r="35" spans="1:26" ht="14.25" x14ac:dyDescent="0.2">
      <c r="H35" s="9"/>
      <c r="U35" s="152"/>
      <c r="V35" s="21"/>
      <c r="W35" s="21"/>
      <c r="X35" s="21"/>
      <c r="Y35" s="21"/>
      <c r="Z35" s="21"/>
    </row>
    <row r="36" spans="1:26" ht="15.75" x14ac:dyDescent="0.2">
      <c r="A36" s="103" t="str">
        <f>A65</f>
        <v>Xe</v>
      </c>
      <c r="B36" s="97"/>
      <c r="C36" s="97"/>
      <c r="D36" s="97"/>
      <c r="E36" s="97"/>
      <c r="F36" s="97"/>
      <c r="G36" s="97"/>
      <c r="H36" s="97"/>
      <c r="I36" s="113"/>
      <c r="J36" s="113"/>
      <c r="K36" s="113"/>
      <c r="L36" s="113"/>
      <c r="M36" s="113"/>
      <c r="N36" s="113"/>
      <c r="O36" s="113"/>
      <c r="R36" s="113"/>
      <c r="S36" s="113"/>
      <c r="T36" s="146"/>
      <c r="U36" s="146"/>
    </row>
    <row r="37" spans="1:26" ht="102" x14ac:dyDescent="0.2">
      <c r="A37" s="211" t="s">
        <v>0</v>
      </c>
      <c r="B37" s="212" t="s">
        <v>1</v>
      </c>
      <c r="C37" s="212" t="s">
        <v>133</v>
      </c>
      <c r="D37" s="212" t="s">
        <v>199</v>
      </c>
      <c r="E37" s="212" t="s">
        <v>135</v>
      </c>
      <c r="F37" s="212" t="s">
        <v>200</v>
      </c>
      <c r="G37" s="212" t="s">
        <v>137</v>
      </c>
      <c r="H37" s="212" t="s">
        <v>201</v>
      </c>
      <c r="I37" s="104" t="s">
        <v>8</v>
      </c>
      <c r="J37" s="104" t="s">
        <v>9</v>
      </c>
      <c r="K37" s="104" t="s">
        <v>107</v>
      </c>
      <c r="L37" s="104" t="s">
        <v>14</v>
      </c>
      <c r="M37" s="104" t="s">
        <v>1057</v>
      </c>
      <c r="N37" s="104" t="s">
        <v>1058</v>
      </c>
      <c r="O37" s="104" t="s">
        <v>100</v>
      </c>
      <c r="P37" s="6" t="s">
        <v>105</v>
      </c>
      <c r="Q37" s="6" t="s">
        <v>106</v>
      </c>
      <c r="R37" s="104" t="s">
        <v>1051</v>
      </c>
      <c r="S37" s="104" t="s">
        <v>1052</v>
      </c>
      <c r="T37" s="147" t="s">
        <v>1053</v>
      </c>
      <c r="U37" s="147" t="s">
        <v>1054</v>
      </c>
      <c r="V37" s="5" t="s">
        <v>101</v>
      </c>
      <c r="W37" s="5" t="s">
        <v>102</v>
      </c>
      <c r="X37" s="112" t="s">
        <v>1055</v>
      </c>
      <c r="Y37" s="112" t="s">
        <v>1056</v>
      </c>
    </row>
    <row r="38" spans="1:26" x14ac:dyDescent="0.2">
      <c r="A38" s="213" t="str">
        <f>B67</f>
        <v>KRISS</v>
      </c>
      <c r="B38" s="213" t="str">
        <f>A67</f>
        <v>D081237</v>
      </c>
      <c r="C38" s="219">
        <f>C67*10000</f>
        <v>10065</v>
      </c>
      <c r="D38" s="219">
        <f>SQRT(D67^2+E67^2)*10000</f>
        <v>510.00020745093815</v>
      </c>
      <c r="E38" s="219">
        <f>F67*10000</f>
        <v>10069.999999999998</v>
      </c>
      <c r="F38" s="219">
        <f>G67/2*10000</f>
        <v>9.5500000000000007</v>
      </c>
      <c r="G38" s="219">
        <f>H67*10000</f>
        <v>5</v>
      </c>
      <c r="H38" s="219">
        <f>I67*10000</f>
        <v>22</v>
      </c>
      <c r="I38" s="155">
        <f t="shared" ref="I38:I41" si="49">IF(ABS(G38)&gt;ABS(H38), 1, 0)</f>
        <v>0</v>
      </c>
      <c r="J38" s="155">
        <f t="shared" ref="J38:J41" si="50">I38*ABS(C38-E38)</f>
        <v>0</v>
      </c>
      <c r="K38" s="155">
        <f t="shared" ref="K38:K41" si="51">SQRT(SUMSQ(F38,J38))*2</f>
        <v>19.100000000000001</v>
      </c>
      <c r="L38" s="155">
        <f t="shared" ref="L38:L41" si="52">IF(C38&lt;$K$2, C38, $K$1)</f>
        <v>10</v>
      </c>
      <c r="M38" s="156">
        <f t="shared" ref="M38:M41" si="53">IF(AND(C38&lt;$K$1,C38&gt; $K$2), K38/L38*100, K38/C38*100)</f>
        <v>0.18976651763537011</v>
      </c>
      <c r="N38" s="157">
        <f t="shared" ref="N38:N41" si="54">M38*L38/100</f>
        <v>1.8976651763537012E-2</v>
      </c>
      <c r="O38" s="155">
        <f t="shared" ref="O38:O41" si="55">N38/(M38*L38/100)*100</f>
        <v>100</v>
      </c>
      <c r="P38" s="250">
        <v>10</v>
      </c>
      <c r="Q38" s="250">
        <v>1000</v>
      </c>
      <c r="R38" s="148">
        <f>IF( IF(P38&lt;L38, M38*L38/P38, M38)&gt;100, "ERROR",  IF(P38&lt;L38, M38*L38/P38, M38))</f>
        <v>0.18976651763537011</v>
      </c>
      <c r="S38" s="148">
        <f>IF(IF(Q38&lt;L38, M38*L38/Q38, M38)&gt;100, "ERROR", IF(Q38&lt;L38, M38*L38/Q38, M38))</f>
        <v>0.18976651763537011</v>
      </c>
      <c r="T38" s="148">
        <f>R38*P38*0.01</f>
        <v>1.8976651763537012E-2</v>
      </c>
      <c r="U38" s="148">
        <f>S38*Q38*0.01</f>
        <v>1.8976651763537014</v>
      </c>
      <c r="V38" s="7">
        <f>P38*1000</f>
        <v>10000</v>
      </c>
      <c r="W38" s="7">
        <f>Q38*1000</f>
        <v>1000000</v>
      </c>
      <c r="X38" s="1345">
        <f>T38*1000</f>
        <v>18.976651763537014</v>
      </c>
      <c r="Y38" s="1345">
        <f>U38*1000</f>
        <v>1897.6651763537013</v>
      </c>
    </row>
    <row r="39" spans="1:26" x14ac:dyDescent="0.2">
      <c r="A39" s="213" t="str">
        <f>B68</f>
        <v>NIM</v>
      </c>
      <c r="B39" s="213" t="str">
        <f>A68</f>
        <v>D929255</v>
      </c>
      <c r="C39" s="219">
        <f>C68*10000</f>
        <v>10096</v>
      </c>
      <c r="D39" s="219">
        <f>SQRT(D68^2+E68^2)*10000</f>
        <v>510.00019852937311</v>
      </c>
      <c r="E39" s="219">
        <f>F68*10000</f>
        <v>10102</v>
      </c>
      <c r="F39" s="219">
        <f>G68/2*10000</f>
        <v>10</v>
      </c>
      <c r="G39" s="219">
        <f t="shared" ref="G39:H39" si="56">H68*10000</f>
        <v>5.9999999999999991</v>
      </c>
      <c r="H39" s="219">
        <f t="shared" si="56"/>
        <v>23</v>
      </c>
      <c r="I39" s="155">
        <f t="shared" si="49"/>
        <v>0</v>
      </c>
      <c r="J39" s="155">
        <f t="shared" si="50"/>
        <v>0</v>
      </c>
      <c r="K39" s="155">
        <f t="shared" si="51"/>
        <v>20</v>
      </c>
      <c r="L39" s="155">
        <f t="shared" si="52"/>
        <v>10</v>
      </c>
      <c r="M39" s="156">
        <f t="shared" si="53"/>
        <v>0.19809825673534073</v>
      </c>
      <c r="N39" s="157">
        <f t="shared" si="54"/>
        <v>1.9809825673534075E-2</v>
      </c>
      <c r="O39" s="155">
        <f t="shared" si="55"/>
        <v>100</v>
      </c>
      <c r="P39" s="250">
        <v>10</v>
      </c>
      <c r="Q39" s="250">
        <v>1000</v>
      </c>
      <c r="R39" s="148">
        <f t="shared" ref="R39:R41" si="57">IF( IF(P39&lt;L39, M39*L39/P39, M39)&gt;100, "ERROR",  IF(P39&lt;L39, M39*L39/P39, M39))</f>
        <v>0.19809825673534073</v>
      </c>
      <c r="S39" s="148">
        <f t="shared" ref="S39:S41" si="58">IF(IF(Q39&lt;L39, M39*L39/Q39, M39)&gt;100, "ERROR", IF(Q39&lt;L39, M39*L39/Q39, M39))</f>
        <v>0.19809825673534073</v>
      </c>
      <c r="T39" s="148">
        <f t="shared" ref="T39:T41" si="59">R39*P39*0.01</f>
        <v>1.9809825673534075E-2</v>
      </c>
      <c r="U39" s="148">
        <f t="shared" ref="U39:U41" si="60">S39*Q39*0.01</f>
        <v>1.9809825673534074</v>
      </c>
      <c r="V39" s="7">
        <f t="shared" ref="V39:V41" si="61">P39*1000</f>
        <v>10000</v>
      </c>
      <c r="W39" s="7">
        <f t="shared" ref="W39:W41" si="62">Q39*1000</f>
        <v>1000000</v>
      </c>
      <c r="X39" s="1345">
        <f t="shared" ref="X39:X41" si="63">T39*1000</f>
        <v>19.809825673534075</v>
      </c>
      <c r="Y39" s="1345">
        <f t="shared" ref="Y39:Y41" si="64">U39*1000</f>
        <v>1980.9825673534074</v>
      </c>
    </row>
    <row r="40" spans="1:26" x14ac:dyDescent="0.2">
      <c r="A40" s="213" t="str">
        <f>B69</f>
        <v>NIST</v>
      </c>
      <c r="B40" s="213" t="str">
        <f>A69</f>
        <v>D014941</v>
      </c>
      <c r="C40" s="219">
        <f>C69*10000</f>
        <v>10167</v>
      </c>
      <c r="D40" s="219">
        <f>SQRT(D69^2+E69^2)*10000</f>
        <v>510.0001898038862</v>
      </c>
      <c r="E40" s="219" t="s">
        <v>1459</v>
      </c>
      <c r="F40" s="219" t="s">
        <v>1459</v>
      </c>
      <c r="G40" s="219" t="s">
        <v>1459</v>
      </c>
      <c r="H40" s="219" t="s">
        <v>1459</v>
      </c>
      <c r="I40" s="155" t="e">
        <f t="shared" si="49"/>
        <v>#VALUE!</v>
      </c>
      <c r="J40" s="155" t="e">
        <f t="shared" si="50"/>
        <v>#VALUE!</v>
      </c>
      <c r="K40" s="155" t="e">
        <f t="shared" si="51"/>
        <v>#VALUE!</v>
      </c>
      <c r="L40" s="155">
        <f t="shared" si="52"/>
        <v>10</v>
      </c>
      <c r="M40" s="156" t="e">
        <f t="shared" si="53"/>
        <v>#VALUE!</v>
      </c>
      <c r="N40" s="157" t="e">
        <f t="shared" si="54"/>
        <v>#VALUE!</v>
      </c>
      <c r="O40" s="155" t="e">
        <f t="shared" si="55"/>
        <v>#VALUE!</v>
      </c>
      <c r="P40" s="250">
        <v>10</v>
      </c>
      <c r="Q40" s="250">
        <v>1000</v>
      </c>
      <c r="R40" s="148" t="e">
        <f t="shared" si="57"/>
        <v>#VALUE!</v>
      </c>
      <c r="S40" s="148" t="e">
        <f t="shared" si="58"/>
        <v>#VALUE!</v>
      </c>
      <c r="T40" s="148" t="e">
        <f t="shared" si="59"/>
        <v>#VALUE!</v>
      </c>
      <c r="U40" s="148" t="e">
        <f t="shared" si="60"/>
        <v>#VALUE!</v>
      </c>
      <c r="V40" s="7">
        <f t="shared" si="61"/>
        <v>10000</v>
      </c>
      <c r="W40" s="7">
        <f t="shared" si="62"/>
        <v>1000000</v>
      </c>
      <c r="X40" s="1345" t="e">
        <f t="shared" si="63"/>
        <v>#VALUE!</v>
      </c>
      <c r="Y40" s="1345" t="e">
        <f t="shared" si="64"/>
        <v>#VALUE!</v>
      </c>
    </row>
    <row r="41" spans="1:26" x14ac:dyDescent="0.2">
      <c r="A41" s="213" t="str">
        <f>B70</f>
        <v>VNIIM</v>
      </c>
      <c r="B41" s="213" t="str">
        <f>A70</f>
        <v>D068095</v>
      </c>
      <c r="C41" s="219">
        <f>C70*10000</f>
        <v>10130.999999999998</v>
      </c>
      <c r="D41" s="219">
        <f>SQRT(D70^2+E70^2)*10000</f>
        <v>510.00019852937311</v>
      </c>
      <c r="E41" s="219" t="s">
        <v>1459</v>
      </c>
      <c r="F41" s="219" t="s">
        <v>1459</v>
      </c>
      <c r="G41" s="219" t="s">
        <v>1459</v>
      </c>
      <c r="H41" s="219" t="s">
        <v>1459</v>
      </c>
      <c r="I41" s="155" t="e">
        <f t="shared" si="49"/>
        <v>#VALUE!</v>
      </c>
      <c r="J41" s="155" t="e">
        <f t="shared" si="50"/>
        <v>#VALUE!</v>
      </c>
      <c r="K41" s="155" t="e">
        <f t="shared" si="51"/>
        <v>#VALUE!</v>
      </c>
      <c r="L41" s="155">
        <f t="shared" si="52"/>
        <v>10</v>
      </c>
      <c r="M41" s="156" t="e">
        <f t="shared" si="53"/>
        <v>#VALUE!</v>
      </c>
      <c r="N41" s="157" t="e">
        <f t="shared" si="54"/>
        <v>#VALUE!</v>
      </c>
      <c r="O41" s="155" t="e">
        <f t="shared" si="55"/>
        <v>#VALUE!</v>
      </c>
      <c r="P41" s="250">
        <v>10</v>
      </c>
      <c r="Q41" s="250">
        <v>1000</v>
      </c>
      <c r="R41" s="148" t="e">
        <f t="shared" si="57"/>
        <v>#VALUE!</v>
      </c>
      <c r="S41" s="148" t="e">
        <f t="shared" si="58"/>
        <v>#VALUE!</v>
      </c>
      <c r="T41" s="148" t="e">
        <f t="shared" si="59"/>
        <v>#VALUE!</v>
      </c>
      <c r="U41" s="148" t="e">
        <f t="shared" si="60"/>
        <v>#VALUE!</v>
      </c>
      <c r="V41" s="7">
        <f t="shared" si="61"/>
        <v>10000</v>
      </c>
      <c r="W41" s="7">
        <f t="shared" si="62"/>
        <v>1000000</v>
      </c>
      <c r="X41" s="1345" t="e">
        <f t="shared" si="63"/>
        <v>#VALUE!</v>
      </c>
      <c r="Y41" s="1345" t="e">
        <f t="shared" si="64"/>
        <v>#VALUE!</v>
      </c>
    </row>
    <row r="42" spans="1:26" ht="14.25" x14ac:dyDescent="0.2">
      <c r="H42" s="9"/>
      <c r="U42" s="152"/>
      <c r="V42" s="21"/>
      <c r="W42" s="21"/>
      <c r="X42" s="21"/>
      <c r="Y42" s="21"/>
      <c r="Z42" s="21"/>
    </row>
    <row r="43" spans="1:26" s="226" customFormat="1" ht="17.25" customHeight="1" x14ac:dyDescent="0.2"/>
    <row r="44" spans="1:26" s="227" customFormat="1" ht="12.75" customHeight="1" x14ac:dyDescent="0.2">
      <c r="A44" s="1207" t="s">
        <v>1328</v>
      </c>
      <c r="B44" s="665"/>
      <c r="C44" s="1190"/>
      <c r="D44" s="1208"/>
      <c r="E44" s="1190"/>
      <c r="F44" s="1208"/>
      <c r="G44" s="665"/>
      <c r="H44" s="1208"/>
      <c r="I44" s="421" t="s">
        <v>1329</v>
      </c>
    </row>
    <row r="45" spans="1:26" s="227" customFormat="1" ht="18.2" customHeight="1" x14ac:dyDescent="0.2">
      <c r="A45" s="1205" t="s">
        <v>1323</v>
      </c>
      <c r="B45" s="1105" t="s">
        <v>1324</v>
      </c>
      <c r="C45" s="1206" t="s">
        <v>1310</v>
      </c>
      <c r="D45" s="855" t="s">
        <v>1311</v>
      </c>
      <c r="E45" s="679" t="s">
        <v>1312</v>
      </c>
      <c r="F45" s="958" t="s">
        <v>1317</v>
      </c>
      <c r="G45" s="1106" t="s">
        <v>1333</v>
      </c>
      <c r="H45" s="956" t="s">
        <v>1320</v>
      </c>
      <c r="I45" s="1106" t="s">
        <v>1334</v>
      </c>
    </row>
    <row r="46" spans="1:26" s="227" customFormat="1" ht="23.1" customHeight="1" x14ac:dyDescent="0.2">
      <c r="A46" s="1153" t="s">
        <v>1313</v>
      </c>
      <c r="B46" s="1180" t="s">
        <v>1124</v>
      </c>
      <c r="C46" s="1019">
        <v>9.9303000000000008</v>
      </c>
      <c r="D46" s="1154">
        <v>1.8599999999999999E-4</v>
      </c>
      <c r="E46" s="1155">
        <v>4.1000000000000002E-2</v>
      </c>
      <c r="F46" s="1181">
        <v>9.9290000000000003</v>
      </c>
      <c r="G46" s="1033">
        <v>9.5999999999999992E-3</v>
      </c>
      <c r="H46" s="1181">
        <v>-1.4E-3</v>
      </c>
      <c r="I46" s="1033">
        <v>1.2500000000000001E-2</v>
      </c>
    </row>
    <row r="47" spans="1:26" s="227" customFormat="1" ht="22.7" customHeight="1" x14ac:dyDescent="0.2">
      <c r="A47" s="1147" t="s">
        <v>1314</v>
      </c>
      <c r="B47" s="1184" t="s">
        <v>1319</v>
      </c>
      <c r="C47" s="985">
        <v>9.9181000000000008</v>
      </c>
      <c r="D47" s="1162">
        <v>1.9699999999999999E-4</v>
      </c>
      <c r="E47" s="1163">
        <v>4.1000000000000002E-2</v>
      </c>
      <c r="F47" s="1185">
        <v>9.9204000000000008</v>
      </c>
      <c r="G47" s="1042">
        <v>1.4999999999999999E-2</v>
      </c>
      <c r="H47" s="1185">
        <v>2.3E-3</v>
      </c>
      <c r="I47" s="1031">
        <v>1.6899999999999998E-2</v>
      </c>
    </row>
    <row r="48" spans="1:26" s="227" customFormat="1" ht="22.7" customHeight="1" x14ac:dyDescent="0.2">
      <c r="A48" s="1147" t="s">
        <v>1315</v>
      </c>
      <c r="B48" s="1188" t="s">
        <v>1182</v>
      </c>
      <c r="C48" s="985">
        <v>9.9200999999999997</v>
      </c>
      <c r="D48" s="1162">
        <v>1.8900000000000001E-4</v>
      </c>
      <c r="E48" s="1163">
        <v>4.1000000000000002E-2</v>
      </c>
      <c r="F48" s="988">
        <v>10.298</v>
      </c>
      <c r="G48" s="1042">
        <v>1.0999999999999999E-2</v>
      </c>
      <c r="H48" s="1186">
        <v>0.378</v>
      </c>
      <c r="I48" s="1042">
        <v>1.4E-2</v>
      </c>
    </row>
    <row r="49" spans="1:27" s="227" customFormat="1" ht="23.1" customHeight="1" x14ac:dyDescent="0.2">
      <c r="A49" s="1170" t="s">
        <v>1316</v>
      </c>
      <c r="B49" s="1189" t="s">
        <v>1100</v>
      </c>
      <c r="C49" s="1026">
        <v>9.9454999999999991</v>
      </c>
      <c r="D49" s="1171">
        <v>2.0000000000000001E-4</v>
      </c>
      <c r="E49" s="1172">
        <v>4.1000000000000002E-2</v>
      </c>
      <c r="F49" s="1190"/>
      <c r="G49" s="1201"/>
      <c r="H49" s="1149"/>
      <c r="I49" s="1203"/>
    </row>
    <row r="51" spans="1:27" s="227" customFormat="1" ht="17.25" customHeight="1" x14ac:dyDescent="0.2">
      <c r="A51" s="1207" t="s">
        <v>1331</v>
      </c>
      <c r="B51" s="665"/>
      <c r="C51" s="1190"/>
      <c r="D51" s="1208"/>
      <c r="E51" s="1190"/>
      <c r="F51" s="1208"/>
      <c r="G51" s="665"/>
      <c r="H51" s="1208"/>
      <c r="I51" s="421" t="s">
        <v>1329</v>
      </c>
      <c r="S51" s="1"/>
      <c r="T51" s="1"/>
      <c r="U51" s="1"/>
      <c r="V51" s="149"/>
      <c r="W51" s="149"/>
      <c r="X51" s="149"/>
      <c r="Y51" s="149"/>
      <c r="Z51" s="149"/>
      <c r="AA51" s="149"/>
    </row>
    <row r="52" spans="1:27" s="227" customFormat="1" ht="18.2" customHeight="1" x14ac:dyDescent="0.2">
      <c r="A52" s="1205" t="s">
        <v>1323</v>
      </c>
      <c r="B52" s="1105" t="s">
        <v>1324</v>
      </c>
      <c r="C52" s="1206" t="s">
        <v>1310</v>
      </c>
      <c r="D52" s="855" t="s">
        <v>1311</v>
      </c>
      <c r="E52" s="679" t="s">
        <v>1312</v>
      </c>
      <c r="F52" s="958" t="s">
        <v>1317</v>
      </c>
      <c r="G52" s="1106" t="s">
        <v>1333</v>
      </c>
      <c r="H52" s="956" t="s">
        <v>1320</v>
      </c>
      <c r="I52" s="1106" t="s">
        <v>1334</v>
      </c>
      <c r="S52" s="226"/>
      <c r="T52" s="226"/>
      <c r="U52" s="226"/>
      <c r="V52" s="226"/>
      <c r="W52" s="226"/>
      <c r="X52" s="226"/>
      <c r="Y52" s="226"/>
      <c r="Z52" s="226"/>
      <c r="AA52" s="226"/>
    </row>
    <row r="53" spans="1:27" s="227" customFormat="1" ht="23.1" customHeight="1" x14ac:dyDescent="0.2">
      <c r="A53" s="1153" t="s">
        <v>1313</v>
      </c>
      <c r="B53" s="1180" t="s">
        <v>1124</v>
      </c>
      <c r="C53" s="1156">
        <v>20.063600000000001</v>
      </c>
      <c r="D53" s="1157">
        <v>3.4299999999999999E-4</v>
      </c>
      <c r="E53" s="1158">
        <v>3.2000000000000001E-2</v>
      </c>
      <c r="F53" s="1182">
        <v>20.061900000000001</v>
      </c>
      <c r="G53" s="1181">
        <v>2.0899999999999998E-2</v>
      </c>
      <c r="H53" s="1156">
        <v>-1.6999999999999999E-3</v>
      </c>
      <c r="I53" s="1181">
        <v>2.4400000000000002E-2</v>
      </c>
      <c r="U53" s="1148"/>
      <c r="X53" s="1148"/>
      <c r="AA53" s="744"/>
    </row>
    <row r="54" spans="1:27" s="227" customFormat="1" ht="22.7" customHeight="1" x14ac:dyDescent="0.2">
      <c r="A54" s="1147" t="s">
        <v>1314</v>
      </c>
      <c r="B54" s="1184" t="s">
        <v>1319</v>
      </c>
      <c r="C54" s="1164">
        <v>20.118099999999998</v>
      </c>
      <c r="D54" s="1165">
        <v>3.5500000000000001E-4</v>
      </c>
      <c r="E54" s="1166">
        <v>3.2000000000000001E-2</v>
      </c>
      <c r="F54" s="1186">
        <v>20.123999999999999</v>
      </c>
      <c r="G54" s="988">
        <v>0.03</v>
      </c>
      <c r="H54" s="1194">
        <v>6.0000000000000001E-3</v>
      </c>
      <c r="I54" s="988">
        <v>3.3000000000000002E-2</v>
      </c>
    </row>
    <row r="55" spans="1:27" s="227" customFormat="1" ht="22.7" customHeight="1" x14ac:dyDescent="0.2">
      <c r="A55" s="1147" t="s">
        <v>1315</v>
      </c>
      <c r="B55" s="1188" t="s">
        <v>1182</v>
      </c>
      <c r="C55" s="1164">
        <v>20.079000000000001</v>
      </c>
      <c r="D55" s="1165">
        <v>3.39E-4</v>
      </c>
      <c r="E55" s="1166">
        <v>3.2000000000000001E-2</v>
      </c>
      <c r="F55" s="1186">
        <v>20.228000000000002</v>
      </c>
      <c r="G55" s="988">
        <v>1.4E-2</v>
      </c>
      <c r="H55" s="1194">
        <v>0.14899999999999999</v>
      </c>
      <c r="I55" s="988">
        <v>1.9E-2</v>
      </c>
    </row>
    <row r="56" spans="1:27" s="227" customFormat="1" ht="23.1" customHeight="1" x14ac:dyDescent="0.2">
      <c r="A56" s="1170" t="s">
        <v>1316</v>
      </c>
      <c r="B56" s="1189" t="s">
        <v>1100</v>
      </c>
      <c r="C56" s="1173">
        <v>20.146999999999998</v>
      </c>
      <c r="D56" s="1174">
        <v>3.6900000000000002E-4</v>
      </c>
      <c r="E56" s="1175">
        <v>3.2000000000000001E-2</v>
      </c>
      <c r="F56" s="1191">
        <v>20.164999999999999</v>
      </c>
      <c r="G56" s="1192">
        <v>0.03</v>
      </c>
      <c r="H56" s="1196">
        <v>1.7999999999999999E-2</v>
      </c>
      <c r="I56" s="1192">
        <v>3.3000000000000002E-2</v>
      </c>
    </row>
    <row r="57" spans="1:27" s="227" customFormat="1" ht="23.1" customHeight="1" x14ac:dyDescent="0.2">
      <c r="A57" s="1084"/>
      <c r="B57" s="1197"/>
      <c r="C57" s="1198"/>
      <c r="D57" s="1198"/>
      <c r="E57" s="1198"/>
    </row>
    <row r="58" spans="1:27" s="227" customFormat="1" ht="17.25" customHeight="1" x14ac:dyDescent="0.2">
      <c r="A58" s="1207" t="s">
        <v>1332</v>
      </c>
      <c r="B58" s="665"/>
      <c r="C58" s="1190"/>
      <c r="D58" s="1208"/>
      <c r="E58" s="1190"/>
      <c r="F58" s="1208"/>
      <c r="G58" s="665"/>
      <c r="H58" s="1208"/>
      <c r="I58" s="421" t="s">
        <v>1329</v>
      </c>
      <c r="S58" s="1199"/>
      <c r="T58" s="1200"/>
      <c r="U58" s="1198"/>
      <c r="V58" s="1198"/>
      <c r="W58" s="1198"/>
      <c r="X58" s="1198"/>
      <c r="Y58" s="1198"/>
      <c r="Z58" s="1198"/>
    </row>
    <row r="59" spans="1:27" s="227" customFormat="1" ht="18.2" customHeight="1" x14ac:dyDescent="0.2">
      <c r="A59" s="1205" t="s">
        <v>1323</v>
      </c>
      <c r="B59" s="1105" t="s">
        <v>1324</v>
      </c>
      <c r="C59" s="1206" t="s">
        <v>1310</v>
      </c>
      <c r="D59" s="855" t="s">
        <v>1311</v>
      </c>
      <c r="E59" s="679" t="s">
        <v>1312</v>
      </c>
      <c r="F59" s="958" t="s">
        <v>1317</v>
      </c>
      <c r="G59" s="1106" t="s">
        <v>1333</v>
      </c>
      <c r="H59" s="956" t="s">
        <v>1320</v>
      </c>
      <c r="I59" s="1106" t="s">
        <v>1334</v>
      </c>
      <c r="S59" s="1114"/>
      <c r="T59" s="1114"/>
      <c r="U59" s="1114"/>
      <c r="V59" s="1114"/>
      <c r="W59" s="1114"/>
      <c r="X59" s="1114"/>
      <c r="Y59" s="1114"/>
      <c r="Z59" s="1114"/>
      <c r="AA59" s="1114"/>
    </row>
    <row r="60" spans="1:27" s="227" customFormat="1" ht="23.1" customHeight="1" x14ac:dyDescent="0.2">
      <c r="A60" s="1153" t="s">
        <v>1313</v>
      </c>
      <c r="B60" s="1193" t="s">
        <v>1124</v>
      </c>
      <c r="C60" s="1159">
        <v>2.1284000000000001</v>
      </c>
      <c r="D60" s="1157">
        <v>6.6000000000000005E-5</v>
      </c>
      <c r="E60" s="1158">
        <v>0.04</v>
      </c>
      <c r="F60" s="1033">
        <v>2.1278999999999999</v>
      </c>
      <c r="G60" s="969">
        <v>2.2499999999999998E-3</v>
      </c>
      <c r="H60" s="1033">
        <v>-5.0000000000000001E-4</v>
      </c>
      <c r="I60" s="1182">
        <v>2.8E-3</v>
      </c>
      <c r="U60" s="1148"/>
      <c r="X60" s="1148"/>
      <c r="AA60" s="744"/>
    </row>
    <row r="61" spans="1:27" s="227" customFormat="1" ht="22.7" customHeight="1" x14ac:dyDescent="0.2">
      <c r="A61" s="1147" t="s">
        <v>1314</v>
      </c>
      <c r="B61" s="1184" t="s">
        <v>1319</v>
      </c>
      <c r="C61" s="1167">
        <v>2.0185</v>
      </c>
      <c r="D61" s="1165">
        <v>6.4999999999999994E-5</v>
      </c>
      <c r="E61" s="1166">
        <v>0.04</v>
      </c>
      <c r="F61" s="1031">
        <v>2.0192999999999999</v>
      </c>
      <c r="G61" s="1187">
        <v>3.0000000000000001E-3</v>
      </c>
      <c r="H61" s="1031">
        <v>8.0000000000000004E-4</v>
      </c>
      <c r="I61" s="1187">
        <v>3.3999999999999998E-3</v>
      </c>
    </row>
    <row r="62" spans="1:27" s="227" customFormat="1" ht="22.7" customHeight="1" x14ac:dyDescent="0.2">
      <c r="A62" s="1147" t="s">
        <v>1315</v>
      </c>
      <c r="B62" s="1184" t="s">
        <v>1182</v>
      </c>
      <c r="C62" s="1167">
        <v>1.9887999999999999</v>
      </c>
      <c r="D62" s="1165">
        <v>6.3999999999999997E-5</v>
      </c>
      <c r="E62" s="1166">
        <v>0.04</v>
      </c>
      <c r="F62" s="1031">
        <v>2.0638999999999998</v>
      </c>
      <c r="G62" s="1187">
        <v>1.1000000000000001E-3</v>
      </c>
      <c r="H62" s="1031">
        <v>7.51E-2</v>
      </c>
      <c r="I62" s="1187">
        <v>2E-3</v>
      </c>
    </row>
    <row r="63" spans="1:27" s="227" customFormat="1" ht="23.1" customHeight="1" x14ac:dyDescent="0.2">
      <c r="A63" s="1170" t="s">
        <v>1316</v>
      </c>
      <c r="B63" s="1195" t="s">
        <v>1100</v>
      </c>
      <c r="C63" s="1176">
        <v>2.0101</v>
      </c>
      <c r="D63" s="1174">
        <v>6.4999999999999994E-5</v>
      </c>
      <c r="E63" s="1175">
        <v>0.04</v>
      </c>
      <c r="F63" s="1201"/>
      <c r="G63" s="1190"/>
      <c r="H63" s="1203"/>
      <c r="I63" s="1149"/>
    </row>
    <row r="64" spans="1:27" s="227" customFormat="1" ht="12.75" customHeight="1" x14ac:dyDescent="0.2">
      <c r="A64" s="744"/>
      <c r="B64" s="744"/>
      <c r="C64" s="744"/>
      <c r="D64" s="744"/>
      <c r="E64" s="744"/>
      <c r="F64" s="744"/>
      <c r="G64" s="744"/>
      <c r="H64" s="744"/>
      <c r="I64" s="744"/>
      <c r="J64" s="744"/>
      <c r="K64" s="744"/>
      <c r="L64" s="744"/>
      <c r="M64" s="744"/>
      <c r="N64" s="744"/>
    </row>
    <row r="65" spans="1:26" ht="15.75" x14ac:dyDescent="0.2">
      <c r="A65" s="1207" t="s">
        <v>1330</v>
      </c>
      <c r="B65" s="665"/>
      <c r="C65" s="1190"/>
      <c r="D65" s="1208"/>
      <c r="E65" s="1190"/>
      <c r="F65" s="1208"/>
      <c r="G65" s="665"/>
      <c r="H65" s="1208"/>
      <c r="I65" s="421" t="s">
        <v>1329</v>
      </c>
      <c r="U65" s="152"/>
      <c r="V65" s="21"/>
      <c r="W65" s="21"/>
      <c r="X65" s="21"/>
      <c r="Y65" s="21"/>
      <c r="Z65" s="21"/>
    </row>
    <row r="66" spans="1:26" ht="18.75" x14ac:dyDescent="0.2">
      <c r="A66" s="1205" t="s">
        <v>1323</v>
      </c>
      <c r="B66" s="1105" t="s">
        <v>1324</v>
      </c>
      <c r="C66" s="1206" t="s">
        <v>1310</v>
      </c>
      <c r="D66" s="855" t="s">
        <v>1311</v>
      </c>
      <c r="E66" s="679" t="s">
        <v>1312</v>
      </c>
      <c r="F66" s="958" t="s">
        <v>1317</v>
      </c>
      <c r="G66" s="1106" t="s">
        <v>1333</v>
      </c>
      <c r="H66" s="956" t="s">
        <v>1320</v>
      </c>
      <c r="I66" s="1106" t="s">
        <v>1334</v>
      </c>
      <c r="U66" s="152"/>
      <c r="V66" s="21"/>
      <c r="W66" s="21"/>
      <c r="X66" s="21"/>
      <c r="Y66" s="21"/>
      <c r="Z66" s="21"/>
    </row>
    <row r="67" spans="1:26" ht="14.25" x14ac:dyDescent="0.2">
      <c r="A67" s="1153" t="s">
        <v>1313</v>
      </c>
      <c r="B67" s="1193" t="s">
        <v>1124</v>
      </c>
      <c r="C67" s="1160">
        <v>1.0065</v>
      </c>
      <c r="D67" s="1157">
        <v>4.6E-5</v>
      </c>
      <c r="E67" s="1161">
        <v>5.0999999999999997E-2</v>
      </c>
      <c r="F67" s="1033">
        <v>1.0069999999999999</v>
      </c>
      <c r="G67" s="1183">
        <v>1.91E-3</v>
      </c>
      <c r="H67" s="1033">
        <v>5.0000000000000001E-4</v>
      </c>
      <c r="I67" s="1160">
        <v>2.2000000000000001E-3</v>
      </c>
      <c r="U67" s="152"/>
      <c r="V67" s="21"/>
      <c r="W67" s="21"/>
      <c r="X67" s="21"/>
      <c r="Y67" s="21"/>
      <c r="Z67" s="21"/>
    </row>
    <row r="68" spans="1:26" ht="24" x14ac:dyDescent="0.2">
      <c r="A68" s="1147" t="s">
        <v>1314</v>
      </c>
      <c r="B68" s="1184" t="s">
        <v>1319</v>
      </c>
      <c r="C68" s="1168">
        <v>1.0096000000000001</v>
      </c>
      <c r="D68" s="1165">
        <v>4.5000000000000003E-5</v>
      </c>
      <c r="E68" s="1169">
        <v>5.0999999999999997E-2</v>
      </c>
      <c r="F68" s="1031">
        <v>1.0102</v>
      </c>
      <c r="G68" s="1168">
        <v>2E-3</v>
      </c>
      <c r="H68" s="1031">
        <v>5.9999999999999995E-4</v>
      </c>
      <c r="I68" s="1168">
        <v>2.3E-3</v>
      </c>
      <c r="U68" s="152"/>
      <c r="V68" s="21"/>
      <c r="W68" s="21"/>
      <c r="X68" s="21"/>
      <c r="Y68" s="21"/>
      <c r="Z68" s="21"/>
    </row>
    <row r="69" spans="1:26" ht="24" x14ac:dyDescent="0.2">
      <c r="A69" s="1147" t="s">
        <v>1315</v>
      </c>
      <c r="B69" s="1184" t="s">
        <v>1182</v>
      </c>
      <c r="C69" s="1168">
        <v>1.0166999999999999</v>
      </c>
      <c r="D69" s="1165">
        <v>4.3999999999999999E-5</v>
      </c>
      <c r="E69" s="1169">
        <v>5.0999999999999997E-2</v>
      </c>
      <c r="F69" s="1202"/>
      <c r="G69" s="1148"/>
      <c r="H69" s="1049"/>
      <c r="I69" s="1024"/>
      <c r="U69" s="152"/>
      <c r="V69" s="21"/>
      <c r="W69" s="21"/>
      <c r="X69" s="21"/>
      <c r="Y69" s="21"/>
      <c r="Z69" s="21"/>
    </row>
    <row r="70" spans="1:26" ht="24" x14ac:dyDescent="0.2">
      <c r="A70" s="1170" t="s">
        <v>1316</v>
      </c>
      <c r="B70" s="1195" t="s">
        <v>1100</v>
      </c>
      <c r="C70" s="1177">
        <v>1.0130999999999999</v>
      </c>
      <c r="D70" s="1174">
        <v>4.5000000000000003E-5</v>
      </c>
      <c r="E70" s="1178">
        <v>5.0999999999999997E-2</v>
      </c>
      <c r="F70" s="1201"/>
      <c r="G70" s="1190"/>
      <c r="H70" s="1203"/>
      <c r="I70" s="1149"/>
      <c r="U70" s="152"/>
      <c r="V70" s="21"/>
      <c r="W70" s="21"/>
      <c r="X70" s="21"/>
      <c r="Y70" s="21"/>
      <c r="Z70" s="21"/>
    </row>
    <row r="71" spans="1:26" ht="14.25" x14ac:dyDescent="0.2">
      <c r="H71" s="9"/>
      <c r="U71" s="152"/>
      <c r="V71" s="21"/>
      <c r="W71" s="21"/>
      <c r="X71" s="21"/>
      <c r="Y71" s="21"/>
      <c r="Z71" s="21"/>
    </row>
    <row r="72" spans="1:26" ht="14.25" x14ac:dyDescent="0.2">
      <c r="H72" s="9"/>
      <c r="U72" s="152"/>
      <c r="V72" s="21"/>
      <c r="W72" s="21"/>
      <c r="X72" s="21"/>
      <c r="Y72" s="21"/>
      <c r="Z72" s="21"/>
    </row>
    <row r="73" spans="1:26" ht="14.25" x14ac:dyDescent="0.2">
      <c r="H73" s="9"/>
      <c r="U73" s="152"/>
      <c r="V73" s="21"/>
      <c r="W73" s="21"/>
      <c r="X73" s="21"/>
      <c r="Y73" s="21"/>
      <c r="Z73" s="21"/>
    </row>
    <row r="74" spans="1:26" ht="14.25" x14ac:dyDescent="0.2">
      <c r="H74" s="9"/>
      <c r="U74" s="152"/>
      <c r="V74" s="21"/>
      <c r="W74" s="21"/>
      <c r="X74" s="21"/>
      <c r="Y74" s="21"/>
      <c r="Z74" s="21"/>
    </row>
    <row r="75" spans="1:26" ht="14.25" x14ac:dyDescent="0.2">
      <c r="H75" s="9"/>
      <c r="U75" s="152"/>
      <c r="V75" s="21"/>
      <c r="W75" s="21"/>
      <c r="X75" s="21"/>
      <c r="Y75" s="21"/>
      <c r="Z75" s="21"/>
    </row>
    <row r="76" spans="1:26" ht="14.25" x14ac:dyDescent="0.2">
      <c r="H76" s="9"/>
      <c r="U76" s="152"/>
      <c r="V76" s="21"/>
      <c r="W76" s="21"/>
      <c r="X76" s="21"/>
      <c r="Y76" s="21"/>
      <c r="Z76" s="21"/>
    </row>
    <row r="77" spans="1:26" ht="14.25" x14ac:dyDescent="0.2">
      <c r="H77" s="9"/>
      <c r="U77" s="152"/>
      <c r="V77" s="21"/>
      <c r="W77" s="21"/>
      <c r="X77" s="21"/>
      <c r="Y77" s="21"/>
      <c r="Z77" s="21"/>
    </row>
    <row r="78" spans="1:26" s="226" customFormat="1" ht="17.25" customHeight="1" x14ac:dyDescent="0.2">
      <c r="A78" s="226" t="s">
        <v>1325</v>
      </c>
    </row>
    <row r="79" spans="1:26" s="227" customFormat="1" ht="12.75" customHeight="1" x14ac:dyDescent="0.2">
      <c r="A79" s="1204" t="s">
        <v>1323</v>
      </c>
      <c r="B79" s="412" t="s">
        <v>1324</v>
      </c>
      <c r="C79" s="1148"/>
      <c r="D79" s="1145" t="s">
        <v>1306</v>
      </c>
      <c r="E79" s="1148"/>
      <c r="F79" s="1148"/>
      <c r="G79" s="1146" t="s">
        <v>1307</v>
      </c>
      <c r="H79" s="1148"/>
      <c r="I79" s="1148"/>
      <c r="J79" s="1146" t="s">
        <v>1308</v>
      </c>
      <c r="K79" s="1148"/>
      <c r="L79" s="1148"/>
      <c r="M79" s="1146" t="s">
        <v>1309</v>
      </c>
      <c r="N79" s="1148"/>
    </row>
    <row r="80" spans="1:26" s="227" customFormat="1" ht="18.2" customHeight="1" x14ac:dyDescent="0.2">
      <c r="A80" s="1149"/>
      <c r="B80" s="1149"/>
      <c r="C80" s="1150" t="s">
        <v>1310</v>
      </c>
      <c r="D80" s="957" t="s">
        <v>1311</v>
      </c>
      <c r="E80" s="1151" t="s">
        <v>1312</v>
      </c>
      <c r="F80" s="955" t="s">
        <v>1310</v>
      </c>
      <c r="G80" s="955" t="s">
        <v>1311</v>
      </c>
      <c r="H80" s="957" t="s">
        <v>1312</v>
      </c>
      <c r="I80" s="1151" t="s">
        <v>1310</v>
      </c>
      <c r="J80" s="955" t="s">
        <v>1311</v>
      </c>
      <c r="K80" s="957" t="s">
        <v>1312</v>
      </c>
      <c r="L80" s="957" t="s">
        <v>1310</v>
      </c>
      <c r="M80" s="955" t="s">
        <v>1311</v>
      </c>
      <c r="N80" s="1152" t="s">
        <v>1312</v>
      </c>
    </row>
    <row r="81" spans="1:14" s="227" customFormat="1" ht="23.1" customHeight="1" x14ac:dyDescent="0.2">
      <c r="A81" s="1153" t="s">
        <v>1313</v>
      </c>
      <c r="B81" s="1180" t="s">
        <v>1124</v>
      </c>
      <c r="C81" s="1019">
        <v>9.9303000000000008</v>
      </c>
      <c r="D81" s="1154">
        <v>1.8599999999999999E-4</v>
      </c>
      <c r="E81" s="1155">
        <v>4.1000000000000002E-2</v>
      </c>
      <c r="F81" s="1156">
        <v>20.063600000000001</v>
      </c>
      <c r="G81" s="1157">
        <v>3.4299999999999999E-4</v>
      </c>
      <c r="H81" s="1158">
        <v>3.2000000000000001E-2</v>
      </c>
      <c r="I81" s="1159">
        <v>2.1284000000000001</v>
      </c>
      <c r="J81" s="1157">
        <v>6.6000000000000005E-5</v>
      </c>
      <c r="K81" s="1158">
        <v>0.04</v>
      </c>
      <c r="L81" s="1160">
        <v>1.0065</v>
      </c>
      <c r="M81" s="1157">
        <v>4.6E-5</v>
      </c>
      <c r="N81" s="1161">
        <v>5.0999999999999997E-2</v>
      </c>
    </row>
    <row r="82" spans="1:14" s="227" customFormat="1" ht="22.7" customHeight="1" x14ac:dyDescent="0.2">
      <c r="A82" s="1147" t="s">
        <v>1314</v>
      </c>
      <c r="B82" s="1184" t="s">
        <v>1319</v>
      </c>
      <c r="C82" s="985">
        <v>9.9181000000000008</v>
      </c>
      <c r="D82" s="1162">
        <v>1.9699999999999999E-4</v>
      </c>
      <c r="E82" s="1163">
        <v>4.1000000000000002E-2</v>
      </c>
      <c r="F82" s="1164">
        <v>20.118099999999998</v>
      </c>
      <c r="G82" s="1165">
        <v>3.5500000000000001E-4</v>
      </c>
      <c r="H82" s="1166">
        <v>3.2000000000000001E-2</v>
      </c>
      <c r="I82" s="1167">
        <v>2.0185</v>
      </c>
      <c r="J82" s="1165">
        <v>6.4999999999999994E-5</v>
      </c>
      <c r="K82" s="1166">
        <v>0.04</v>
      </c>
      <c r="L82" s="1168">
        <v>1.0096000000000001</v>
      </c>
      <c r="M82" s="1165">
        <v>4.5000000000000003E-5</v>
      </c>
      <c r="N82" s="1169">
        <v>5.0999999999999997E-2</v>
      </c>
    </row>
    <row r="83" spans="1:14" s="227" customFormat="1" ht="22.7" customHeight="1" x14ac:dyDescent="0.2">
      <c r="A83" s="1147" t="s">
        <v>1315</v>
      </c>
      <c r="B83" s="1188" t="s">
        <v>1182</v>
      </c>
      <c r="C83" s="985">
        <v>9.9200999999999997</v>
      </c>
      <c r="D83" s="1162">
        <v>1.8900000000000001E-4</v>
      </c>
      <c r="E83" s="1163">
        <v>4.1000000000000002E-2</v>
      </c>
      <c r="F83" s="1164">
        <v>20.079000000000001</v>
      </c>
      <c r="G83" s="1165">
        <v>3.39E-4</v>
      </c>
      <c r="H83" s="1166">
        <v>3.2000000000000001E-2</v>
      </c>
      <c r="I83" s="1167">
        <v>1.9887999999999999</v>
      </c>
      <c r="J83" s="1165">
        <v>6.3999999999999997E-5</v>
      </c>
      <c r="K83" s="1166">
        <v>0.04</v>
      </c>
      <c r="L83" s="1168">
        <v>1.0166999999999999</v>
      </c>
      <c r="M83" s="1165">
        <v>4.3999999999999999E-5</v>
      </c>
      <c r="N83" s="1169">
        <v>5.0999999999999997E-2</v>
      </c>
    </row>
    <row r="84" spans="1:14" s="227" customFormat="1" ht="23.1" customHeight="1" x14ac:dyDescent="0.2">
      <c r="A84" s="1170" t="s">
        <v>1316</v>
      </c>
      <c r="B84" s="1189" t="s">
        <v>1100</v>
      </c>
      <c r="C84" s="1026">
        <v>9.9454999999999991</v>
      </c>
      <c r="D84" s="1171">
        <v>2.0000000000000001E-4</v>
      </c>
      <c r="E84" s="1172">
        <v>4.1000000000000002E-2</v>
      </c>
      <c r="F84" s="1173">
        <v>20.146999999999998</v>
      </c>
      <c r="G84" s="1174">
        <v>3.6900000000000002E-4</v>
      </c>
      <c r="H84" s="1175">
        <v>3.2000000000000001E-2</v>
      </c>
      <c r="I84" s="1176">
        <v>2.0101</v>
      </c>
      <c r="J84" s="1174">
        <v>6.4999999999999994E-5</v>
      </c>
      <c r="K84" s="1175">
        <v>0.04</v>
      </c>
      <c r="L84" s="1177">
        <v>1.0130999999999999</v>
      </c>
      <c r="M84" s="1174">
        <v>4.5000000000000003E-5</v>
      </c>
      <c r="N84" s="1178">
        <v>5.0999999999999997E-2</v>
      </c>
    </row>
    <row r="86" spans="1:14" s="226" customFormat="1" ht="17.25" customHeight="1" x14ac:dyDescent="0.2">
      <c r="A86" s="226" t="s">
        <v>1326</v>
      </c>
    </row>
    <row r="87" spans="1:14" s="227" customFormat="1" ht="17.25" customHeight="1" x14ac:dyDescent="0.2">
      <c r="A87" s="1204" t="s">
        <v>1323</v>
      </c>
      <c r="B87" s="412" t="s">
        <v>1324</v>
      </c>
      <c r="C87" s="1145" t="s">
        <v>1306</v>
      </c>
      <c r="E87" s="1148"/>
      <c r="F87" s="1146" t="s">
        <v>1307</v>
      </c>
      <c r="H87" s="1148"/>
      <c r="I87" s="1146" t="s">
        <v>1308</v>
      </c>
      <c r="K87" s="1148"/>
      <c r="L87" s="1146" t="s">
        <v>1309</v>
      </c>
      <c r="N87" s="744"/>
    </row>
    <row r="88" spans="1:14" s="227" customFormat="1" ht="18.2" customHeight="1" x14ac:dyDescent="0.2">
      <c r="A88" s="1203"/>
      <c r="B88" s="1203"/>
      <c r="C88" s="1179" t="s">
        <v>1317</v>
      </c>
      <c r="D88" s="1037" t="s">
        <v>1318</v>
      </c>
      <c r="E88" s="1037"/>
      <c r="F88" s="1152" t="s">
        <v>1317</v>
      </c>
      <c r="G88" s="1179" t="s">
        <v>1318</v>
      </c>
      <c r="I88" s="1037" t="s">
        <v>1317</v>
      </c>
      <c r="J88" s="992" t="s">
        <v>1318</v>
      </c>
      <c r="L88" s="1037" t="s">
        <v>1317</v>
      </c>
      <c r="M88" s="957" t="s">
        <v>1318</v>
      </c>
    </row>
    <row r="89" spans="1:14" s="227" customFormat="1" ht="23.1" customHeight="1" x14ac:dyDescent="0.2">
      <c r="A89" s="1153" t="s">
        <v>1313</v>
      </c>
      <c r="B89" s="1180" t="s">
        <v>1124</v>
      </c>
      <c r="C89" s="1181">
        <v>9.9290000000000003</v>
      </c>
      <c r="D89" s="1033">
        <v>9.5999999999999992E-3</v>
      </c>
      <c r="E89" s="1033"/>
      <c r="F89" s="1182">
        <v>20.061900000000001</v>
      </c>
      <c r="G89" s="1181">
        <v>2.0899999999999998E-2</v>
      </c>
      <c r="I89" s="1033">
        <v>2.1278999999999999</v>
      </c>
      <c r="J89" s="969">
        <v>2.2499999999999998E-3</v>
      </c>
      <c r="L89" s="1033">
        <v>1.0069999999999999</v>
      </c>
      <c r="M89" s="1183">
        <v>1.91E-3</v>
      </c>
    </row>
    <row r="90" spans="1:14" s="227" customFormat="1" ht="22.7" customHeight="1" x14ac:dyDescent="0.2">
      <c r="A90" s="1147" t="s">
        <v>1314</v>
      </c>
      <c r="B90" s="1184" t="s">
        <v>1319</v>
      </c>
      <c r="C90" s="1185">
        <v>9.9204000000000008</v>
      </c>
      <c r="D90" s="1042">
        <v>1.4999999999999999E-2</v>
      </c>
      <c r="E90" s="1042"/>
      <c r="F90" s="1186">
        <v>20.123999999999999</v>
      </c>
      <c r="G90" s="988">
        <v>0.03</v>
      </c>
      <c r="I90" s="1031">
        <v>2.0192999999999999</v>
      </c>
      <c r="J90" s="1187">
        <v>3.0000000000000001E-3</v>
      </c>
      <c r="L90" s="1031">
        <v>1.0102</v>
      </c>
      <c r="M90" s="1168">
        <v>2E-3</v>
      </c>
    </row>
    <row r="91" spans="1:14" s="227" customFormat="1" ht="22.7" customHeight="1" x14ac:dyDescent="0.2">
      <c r="A91" s="1147" t="s">
        <v>1315</v>
      </c>
      <c r="B91" s="1188" t="s">
        <v>1182</v>
      </c>
      <c r="C91" s="988">
        <v>10.298</v>
      </c>
      <c r="D91" s="1042">
        <v>1.0999999999999999E-2</v>
      </c>
      <c r="E91" s="1042"/>
      <c r="F91" s="1186">
        <v>20.228000000000002</v>
      </c>
      <c r="G91" s="988">
        <v>1.4E-2</v>
      </c>
      <c r="I91" s="1031">
        <v>2.0638999999999998</v>
      </c>
      <c r="J91" s="1187">
        <v>1.1000000000000001E-3</v>
      </c>
      <c r="L91" s="1202"/>
      <c r="M91" s="1148"/>
    </row>
    <row r="92" spans="1:14" s="227" customFormat="1" ht="23.1" customHeight="1" x14ac:dyDescent="0.2">
      <c r="A92" s="1170" t="s">
        <v>1316</v>
      </c>
      <c r="B92" s="1189" t="s">
        <v>1100</v>
      </c>
      <c r="C92" s="1190"/>
      <c r="D92" s="1201"/>
      <c r="E92" s="1201"/>
      <c r="F92" s="1191">
        <v>20.164999999999999</v>
      </c>
      <c r="G92" s="1192">
        <v>0.03</v>
      </c>
      <c r="I92" s="1201"/>
      <c r="J92" s="1190"/>
      <c r="L92" s="1201"/>
      <c r="M92" s="1190"/>
    </row>
    <row r="93" spans="1:14" s="227" customFormat="1" ht="23.1" customHeight="1" x14ac:dyDescent="0.2">
      <c r="A93" s="1084"/>
      <c r="B93" s="1197"/>
      <c r="C93" s="1198"/>
      <c r="D93" s="1198"/>
      <c r="E93" s="1198"/>
      <c r="F93" s="1199"/>
      <c r="G93" s="1200"/>
      <c r="H93" s="1198"/>
      <c r="I93" s="1198"/>
      <c r="J93" s="1198"/>
      <c r="K93" s="1198"/>
      <c r="L93" s="1198"/>
      <c r="M93" s="1198"/>
    </row>
    <row r="94" spans="1:14" s="226" customFormat="1" ht="18" customHeight="1" x14ac:dyDescent="0.2">
      <c r="A94" s="1114" t="s">
        <v>1327</v>
      </c>
      <c r="B94" s="1114"/>
      <c r="C94" s="1114"/>
      <c r="D94" s="1114"/>
      <c r="E94" s="1114"/>
      <c r="F94" s="1114"/>
      <c r="G94" s="1114"/>
      <c r="H94" s="1114"/>
      <c r="I94" s="1114"/>
      <c r="J94" s="1114"/>
      <c r="K94" s="1114"/>
      <c r="L94" s="1114"/>
      <c r="M94" s="1114"/>
      <c r="N94" s="1114"/>
    </row>
    <row r="95" spans="1:14" s="227" customFormat="1" ht="17.25" customHeight="1" x14ac:dyDescent="0.2">
      <c r="A95" s="1204" t="s">
        <v>1323</v>
      </c>
      <c r="B95" s="412" t="s">
        <v>1324</v>
      </c>
      <c r="C95" s="1145" t="s">
        <v>1306</v>
      </c>
      <c r="E95" s="1148"/>
      <c r="F95" s="1146" t="s">
        <v>1307</v>
      </c>
      <c r="H95" s="1148"/>
      <c r="I95" s="1146" t="s">
        <v>1308</v>
      </c>
      <c r="K95" s="1148"/>
      <c r="L95" s="1146" t="s">
        <v>1309</v>
      </c>
      <c r="N95" s="744"/>
    </row>
    <row r="96" spans="1:14" s="227" customFormat="1" ht="18.2" customHeight="1" x14ac:dyDescent="0.2">
      <c r="A96" s="1149"/>
      <c r="B96" s="1149"/>
      <c r="C96" s="992" t="s">
        <v>1320</v>
      </c>
      <c r="D96" s="1037" t="s">
        <v>1321</v>
      </c>
      <c r="E96" s="1037"/>
      <c r="F96" s="955" t="s">
        <v>1320</v>
      </c>
      <c r="G96" s="1179" t="s">
        <v>1321</v>
      </c>
      <c r="I96" s="1037" t="s">
        <v>1320</v>
      </c>
      <c r="J96" s="992" t="s">
        <v>1321</v>
      </c>
      <c r="L96" s="1037" t="s">
        <v>1320</v>
      </c>
      <c r="M96" s="957" t="s">
        <v>1321</v>
      </c>
    </row>
    <row r="97" spans="1:26" s="227" customFormat="1" ht="23.1" customHeight="1" x14ac:dyDescent="0.2">
      <c r="A97" s="1153" t="s">
        <v>1313</v>
      </c>
      <c r="B97" s="1193" t="s">
        <v>1124</v>
      </c>
      <c r="C97" s="1181">
        <v>-1.4E-3</v>
      </c>
      <c r="D97" s="1033">
        <v>1.2500000000000001E-2</v>
      </c>
      <c r="E97" s="1033"/>
      <c r="F97" s="1156">
        <v>-1.6999999999999999E-3</v>
      </c>
      <c r="G97" s="1181">
        <v>2.4400000000000002E-2</v>
      </c>
      <c r="I97" s="1033">
        <v>-5.0000000000000001E-4</v>
      </c>
      <c r="J97" s="1182">
        <v>2.8E-3</v>
      </c>
      <c r="L97" s="1033">
        <v>5.0000000000000001E-4</v>
      </c>
      <c r="M97" s="1160">
        <v>2.2000000000000001E-3</v>
      </c>
    </row>
    <row r="98" spans="1:26" s="227" customFormat="1" ht="22.7" customHeight="1" x14ac:dyDescent="0.2">
      <c r="A98" s="1147" t="s">
        <v>1314</v>
      </c>
      <c r="B98" s="1184" t="s">
        <v>1319</v>
      </c>
      <c r="C98" s="1185">
        <v>2.3E-3</v>
      </c>
      <c r="D98" s="1031">
        <v>1.6899999999999998E-2</v>
      </c>
      <c r="E98" s="1031"/>
      <c r="F98" s="1194">
        <v>6.0000000000000001E-3</v>
      </c>
      <c r="G98" s="988">
        <v>3.3000000000000002E-2</v>
      </c>
      <c r="I98" s="1031">
        <v>8.0000000000000004E-4</v>
      </c>
      <c r="J98" s="1187">
        <v>3.3999999999999998E-3</v>
      </c>
      <c r="L98" s="1031">
        <v>5.9999999999999995E-4</v>
      </c>
      <c r="M98" s="1168">
        <v>2.3E-3</v>
      </c>
    </row>
    <row r="99" spans="1:26" s="227" customFormat="1" ht="22.7" customHeight="1" x14ac:dyDescent="0.2">
      <c r="A99" s="1147" t="s">
        <v>1315</v>
      </c>
      <c r="B99" s="1184" t="s">
        <v>1182</v>
      </c>
      <c r="C99" s="1186">
        <v>0.378</v>
      </c>
      <c r="D99" s="1042">
        <v>1.4E-2</v>
      </c>
      <c r="E99" s="1042"/>
      <c r="F99" s="1194">
        <v>0.14899999999999999</v>
      </c>
      <c r="G99" s="988">
        <v>1.9E-2</v>
      </c>
      <c r="I99" s="1031">
        <v>7.51E-2</v>
      </c>
      <c r="J99" s="1187">
        <v>2E-3</v>
      </c>
      <c r="L99" s="1049"/>
      <c r="M99" s="1024"/>
    </row>
    <row r="100" spans="1:26" s="227" customFormat="1" ht="23.1" customHeight="1" x14ac:dyDescent="0.2">
      <c r="A100" s="1170" t="s">
        <v>1316</v>
      </c>
      <c r="B100" s="1195" t="s">
        <v>1100</v>
      </c>
      <c r="C100" s="1149"/>
      <c r="D100" s="1203"/>
      <c r="E100" s="1203"/>
      <c r="F100" s="1196">
        <v>1.7999999999999999E-2</v>
      </c>
      <c r="G100" s="1192">
        <v>3.3000000000000002E-2</v>
      </c>
      <c r="I100" s="1203"/>
      <c r="J100" s="1149"/>
      <c r="L100" s="1203"/>
      <c r="M100" s="1149"/>
    </row>
    <row r="101" spans="1:26" s="227" customFormat="1" ht="54.75" customHeight="1" x14ac:dyDescent="0.2">
      <c r="A101" s="1413" t="s">
        <v>1322</v>
      </c>
      <c r="B101" s="1413"/>
      <c r="C101" s="1413"/>
      <c r="D101" s="1413"/>
      <c r="E101" s="1413"/>
      <c r="F101" s="1413"/>
      <c r="G101" s="1413"/>
      <c r="H101" s="1413"/>
      <c r="I101" s="1413"/>
      <c r="J101" s="1413"/>
      <c r="K101" s="1413"/>
      <c r="L101" s="1413"/>
      <c r="M101" s="1413"/>
      <c r="N101" s="1413"/>
    </row>
    <row r="102" spans="1:26" ht="14.25" x14ac:dyDescent="0.2">
      <c r="T102" s="151"/>
      <c r="U102" s="152"/>
      <c r="V102" s="21"/>
      <c r="W102" s="21"/>
      <c r="X102" s="21"/>
      <c r="Y102" s="21"/>
      <c r="Z102" s="21"/>
    </row>
    <row r="103" spans="1:26" ht="14.25" x14ac:dyDescent="0.2">
      <c r="T103" s="151"/>
      <c r="U103" s="152"/>
      <c r="V103" s="21"/>
      <c r="W103" s="21"/>
      <c r="X103" s="21"/>
      <c r="Y103" s="21"/>
      <c r="Z103" s="21"/>
    </row>
    <row r="104" spans="1:26" ht="14.25" x14ac:dyDescent="0.2">
      <c r="T104" s="151"/>
      <c r="U104" s="152"/>
      <c r="V104" s="21"/>
      <c r="W104" s="21"/>
      <c r="X104" s="21"/>
      <c r="Y104" s="21"/>
      <c r="Z104" s="21"/>
    </row>
    <row r="105" spans="1:26" ht="14.25" x14ac:dyDescent="0.2">
      <c r="T105" s="151"/>
      <c r="U105" s="152"/>
      <c r="V105" s="21"/>
      <c r="W105" s="21"/>
      <c r="X105" s="21"/>
      <c r="Y105" s="21"/>
      <c r="Z105" s="21"/>
    </row>
    <row r="106" spans="1:26" ht="14.25" x14ac:dyDescent="0.2">
      <c r="T106" s="151"/>
      <c r="U106" s="152"/>
      <c r="V106" s="21"/>
      <c r="W106" s="21"/>
      <c r="X106" s="21"/>
      <c r="Y106" s="21"/>
      <c r="Z106" s="21"/>
    </row>
    <row r="107" spans="1:26" ht="14.25" x14ac:dyDescent="0.2">
      <c r="T107" s="151"/>
      <c r="U107" s="152"/>
      <c r="V107" s="21"/>
      <c r="W107" s="21"/>
      <c r="X107" s="21"/>
      <c r="Y107" s="21"/>
      <c r="Z107" s="21"/>
    </row>
    <row r="108" spans="1:26" ht="14.25" x14ac:dyDescent="0.2">
      <c r="T108" s="151"/>
      <c r="U108" s="152"/>
      <c r="V108" s="21"/>
      <c r="W108" s="21"/>
      <c r="X108" s="21"/>
      <c r="Y108" s="21"/>
      <c r="Z108" s="21"/>
    </row>
    <row r="109" spans="1:26" ht="14.25" x14ac:dyDescent="0.2">
      <c r="T109" s="151"/>
      <c r="U109" s="152"/>
      <c r="V109" s="21"/>
      <c r="W109" s="21"/>
      <c r="X109" s="21"/>
      <c r="Y109" s="21"/>
      <c r="Z109" s="21"/>
    </row>
    <row r="110" spans="1:26" ht="14.25" x14ac:dyDescent="0.2">
      <c r="T110" s="151"/>
      <c r="U110" s="152"/>
      <c r="V110" s="21"/>
      <c r="W110" s="21"/>
      <c r="X110" s="21"/>
      <c r="Y110" s="21"/>
      <c r="Z110" s="21"/>
    </row>
    <row r="111" spans="1:26" ht="14.25" x14ac:dyDescent="0.2">
      <c r="T111" s="151"/>
      <c r="U111" s="152"/>
      <c r="V111" s="21"/>
      <c r="W111" s="21"/>
      <c r="X111" s="21"/>
      <c r="Y111" s="21"/>
      <c r="Z111" s="21"/>
    </row>
    <row r="112" spans="1:26" ht="14.25" x14ac:dyDescent="0.2">
      <c r="T112" s="151"/>
      <c r="U112" s="152"/>
      <c r="V112" s="21"/>
      <c r="W112" s="21"/>
      <c r="X112" s="21"/>
      <c r="Y112" s="21"/>
      <c r="Z112" s="21"/>
    </row>
    <row r="113" spans="1:26" ht="14.25" x14ac:dyDescent="0.2">
      <c r="T113" s="151"/>
      <c r="U113" s="152"/>
      <c r="V113" s="21"/>
      <c r="W113" s="21"/>
      <c r="X113" s="21"/>
      <c r="Y113" s="21"/>
      <c r="Z113" s="21"/>
    </row>
    <row r="114" spans="1:26" ht="14.25" x14ac:dyDescent="0.2">
      <c r="A114" s="23"/>
      <c r="B114" s="23"/>
      <c r="C114" s="23"/>
      <c r="D114" s="23"/>
      <c r="T114" s="151"/>
      <c r="U114" s="152"/>
      <c r="V114" s="21"/>
      <c r="W114" s="21"/>
      <c r="X114" s="21"/>
      <c r="Y114" s="21"/>
      <c r="Z114" s="21"/>
    </row>
    <row r="115" spans="1:26" ht="14.25" x14ac:dyDescent="0.2">
      <c r="A115" s="23"/>
      <c r="B115" s="23"/>
      <c r="C115" s="23"/>
      <c r="D115" s="23"/>
      <c r="T115" s="151"/>
      <c r="U115" s="152"/>
      <c r="V115" s="21"/>
      <c r="W115" s="21"/>
      <c r="X115" s="21"/>
      <c r="Y115" s="21"/>
      <c r="Z115" s="21"/>
    </row>
    <row r="116" spans="1:26" ht="14.25" x14ac:dyDescent="0.2">
      <c r="A116" s="23"/>
      <c r="B116" s="23"/>
      <c r="C116" s="23"/>
      <c r="D116" s="23"/>
      <c r="T116" s="151"/>
      <c r="U116" s="152"/>
      <c r="V116" s="21"/>
      <c r="W116" s="21"/>
      <c r="X116" s="21"/>
      <c r="Y116" s="21"/>
      <c r="Z116" s="21"/>
    </row>
    <row r="117" spans="1:26" ht="14.25" x14ac:dyDescent="0.2">
      <c r="A117" s="23"/>
      <c r="B117" s="23"/>
      <c r="C117" s="23"/>
      <c r="D117" s="23"/>
      <c r="T117" s="151"/>
      <c r="U117" s="152"/>
      <c r="V117" s="21"/>
      <c r="W117" s="21"/>
      <c r="X117" s="21"/>
      <c r="Y117" s="21"/>
      <c r="Z117" s="21"/>
    </row>
    <row r="118" spans="1:26" ht="14.25" x14ac:dyDescent="0.2">
      <c r="A118" s="23"/>
      <c r="B118" s="23"/>
      <c r="C118" s="23"/>
      <c r="D118" s="23"/>
      <c r="T118" s="151"/>
      <c r="U118" s="152"/>
      <c r="V118" s="21"/>
      <c r="W118" s="21"/>
      <c r="X118" s="21"/>
      <c r="Y118" s="21"/>
      <c r="Z118" s="21"/>
    </row>
    <row r="119" spans="1:26" ht="14.25" x14ac:dyDescent="0.2">
      <c r="A119" s="23"/>
      <c r="B119" s="23"/>
      <c r="C119" s="23"/>
      <c r="D119" s="23"/>
      <c r="T119" s="151"/>
      <c r="U119" s="152"/>
      <c r="V119" s="21"/>
      <c r="W119" s="21"/>
      <c r="X119" s="21"/>
      <c r="Y119" s="21"/>
      <c r="Z119" s="21"/>
    </row>
    <row r="120" spans="1:26" ht="14.25" x14ac:dyDescent="0.2">
      <c r="A120" s="23"/>
      <c r="B120" s="23"/>
      <c r="C120" s="23"/>
      <c r="D120" s="23"/>
      <c r="T120" s="151"/>
      <c r="U120" s="152"/>
      <c r="V120" s="21"/>
      <c r="W120" s="21"/>
      <c r="X120" s="21"/>
      <c r="Y120" s="21"/>
      <c r="Z120" s="21"/>
    </row>
    <row r="121" spans="1:26" ht="14.25" x14ac:dyDescent="0.2">
      <c r="A121" s="23"/>
      <c r="B121" s="23"/>
      <c r="C121" s="23"/>
      <c r="D121" s="23"/>
      <c r="T121" s="151"/>
      <c r="U121" s="152"/>
      <c r="V121" s="21"/>
      <c r="W121" s="21"/>
      <c r="X121" s="21"/>
      <c r="Y121" s="21"/>
      <c r="Z121" s="21"/>
    </row>
    <row r="122" spans="1:26" ht="14.25" x14ac:dyDescent="0.2">
      <c r="A122" s="23"/>
      <c r="B122" s="23"/>
      <c r="C122" s="23"/>
      <c r="D122" s="23"/>
      <c r="T122" s="151"/>
      <c r="U122" s="152"/>
      <c r="V122" s="21"/>
      <c r="W122" s="21"/>
      <c r="X122" s="21"/>
      <c r="Y122" s="21"/>
      <c r="Z122" s="21"/>
    </row>
    <row r="123" spans="1:26" ht="14.25" x14ac:dyDescent="0.2">
      <c r="A123" s="23"/>
      <c r="B123" s="23"/>
      <c r="C123" s="23"/>
      <c r="D123" s="23"/>
      <c r="T123" s="151"/>
      <c r="U123" s="152"/>
      <c r="V123" s="21"/>
      <c r="W123" s="21"/>
      <c r="X123" s="21"/>
      <c r="Y123" s="21"/>
      <c r="Z123" s="21"/>
    </row>
    <row r="124" spans="1:26" ht="14.25" x14ac:dyDescent="0.2">
      <c r="A124" s="23"/>
      <c r="B124" s="23"/>
      <c r="C124" s="23"/>
      <c r="D124" s="23"/>
      <c r="T124" s="151"/>
      <c r="U124" s="152"/>
      <c r="V124" s="21"/>
      <c r="W124" s="21"/>
      <c r="X124" s="21"/>
      <c r="Y124" s="21"/>
      <c r="Z124" s="21"/>
    </row>
    <row r="125" spans="1:26" ht="14.25" x14ac:dyDescent="0.2">
      <c r="A125" s="23"/>
      <c r="B125" s="23"/>
      <c r="C125" s="23"/>
      <c r="D125" s="23"/>
      <c r="T125" s="151"/>
      <c r="U125" s="152"/>
      <c r="V125" s="21"/>
      <c r="W125" s="21"/>
      <c r="X125" s="21"/>
      <c r="Y125" s="21"/>
      <c r="Z125" s="21"/>
    </row>
    <row r="126" spans="1:26" ht="14.25" x14ac:dyDescent="0.2">
      <c r="A126" s="23"/>
      <c r="B126" s="23"/>
      <c r="C126" s="23"/>
      <c r="D126" s="23"/>
      <c r="T126" s="151"/>
      <c r="U126" s="152"/>
      <c r="V126" s="21"/>
      <c r="W126" s="21"/>
      <c r="X126" s="21"/>
      <c r="Y126" s="21"/>
      <c r="Z126" s="21"/>
    </row>
    <row r="127" spans="1:26" ht="14.25" x14ac:dyDescent="0.2">
      <c r="A127" s="23"/>
      <c r="B127" s="23"/>
      <c r="C127" s="23"/>
      <c r="D127" s="23"/>
      <c r="T127" s="151"/>
      <c r="U127" s="152"/>
      <c r="V127" s="21"/>
      <c r="W127" s="21"/>
      <c r="X127" s="21"/>
      <c r="Y127" s="21"/>
      <c r="Z127" s="21"/>
    </row>
    <row r="128" spans="1:26" ht="13.5" x14ac:dyDescent="0.2">
      <c r="A128" s="24"/>
      <c r="B128" s="24"/>
      <c r="T128" s="153"/>
      <c r="V128" s="21"/>
      <c r="W128" s="21"/>
      <c r="X128" s="21"/>
      <c r="Y128" s="21"/>
      <c r="Z128" s="21"/>
    </row>
    <row r="142" spans="1:1" ht="16.899999999999999" customHeight="1" x14ac:dyDescent="0.2">
      <c r="A142" s="25"/>
    </row>
    <row r="143" spans="1:1" ht="12" customHeight="1" x14ac:dyDescent="0.2">
      <c r="A143" s="4"/>
    </row>
    <row r="144" spans="1:1" ht="13.15" customHeight="1" x14ac:dyDescent="0.2"/>
    <row r="145" spans="1:26" ht="13.15" customHeight="1" x14ac:dyDescent="0.2"/>
    <row r="146" spans="1:26" ht="13.15" customHeight="1" x14ac:dyDescent="0.2"/>
    <row r="147" spans="1:26" s="149" customFormat="1" ht="13.15" customHeight="1" x14ac:dyDescent="0.2">
      <c r="A147" s="1"/>
      <c r="B147" s="1"/>
      <c r="C147" s="1"/>
      <c r="D147" s="1"/>
      <c r="E147" s="1"/>
      <c r="F147" s="1"/>
      <c r="G147" s="1"/>
      <c r="H147" s="1"/>
      <c r="P147" s="1"/>
      <c r="Q147" s="1"/>
      <c r="T147" s="150"/>
      <c r="U147" s="150"/>
      <c r="V147" s="1"/>
      <c r="W147" s="1"/>
      <c r="X147" s="1"/>
      <c r="Y147" s="1"/>
      <c r="Z147" s="1"/>
    </row>
    <row r="148" spans="1:26" s="149" customFormat="1" ht="13.15" customHeight="1" x14ac:dyDescent="0.2">
      <c r="A148" s="1"/>
      <c r="B148" s="1"/>
      <c r="C148" s="1"/>
      <c r="D148" s="1"/>
      <c r="E148" s="1"/>
      <c r="F148" s="1"/>
      <c r="G148" s="1"/>
      <c r="H148" s="1"/>
      <c r="P148" s="1"/>
      <c r="Q148" s="1"/>
      <c r="T148" s="150"/>
      <c r="U148" s="150"/>
      <c r="V148" s="1"/>
      <c r="W148" s="1"/>
      <c r="X148" s="1"/>
      <c r="Y148" s="1"/>
      <c r="Z148" s="1"/>
    </row>
    <row r="149" spans="1:26" s="149" customFormat="1" ht="13.15" customHeight="1" x14ac:dyDescent="0.2">
      <c r="A149" s="1"/>
      <c r="B149" s="1"/>
      <c r="C149" s="1"/>
      <c r="D149" s="1"/>
      <c r="E149" s="1"/>
      <c r="F149" s="1"/>
      <c r="G149" s="1"/>
      <c r="H149" s="1"/>
      <c r="P149" s="1"/>
      <c r="Q149" s="1"/>
      <c r="T149" s="150"/>
      <c r="U149" s="150"/>
      <c r="V149" s="1"/>
      <c r="W149" s="1"/>
      <c r="X149" s="1"/>
      <c r="Y149" s="1"/>
      <c r="Z149" s="1"/>
    </row>
    <row r="150" spans="1:26" s="149" customFormat="1" ht="12" customHeight="1" x14ac:dyDescent="0.2">
      <c r="A150" s="1"/>
      <c r="B150" s="1"/>
      <c r="C150" s="1"/>
      <c r="D150" s="1"/>
      <c r="E150" s="1"/>
      <c r="F150" s="1"/>
      <c r="G150" s="1"/>
      <c r="H150" s="1"/>
      <c r="P150" s="1"/>
      <c r="Q150" s="1"/>
      <c r="T150" s="150"/>
      <c r="U150" s="150"/>
      <c r="V150" s="1"/>
      <c r="W150" s="1"/>
      <c r="X150" s="1"/>
      <c r="Y150" s="1"/>
      <c r="Z150" s="1"/>
    </row>
    <row r="151" spans="1:26" s="149" customFormat="1" ht="12" customHeight="1" x14ac:dyDescent="0.2">
      <c r="A151" s="1"/>
      <c r="B151" s="1"/>
      <c r="C151" s="1"/>
      <c r="D151" s="1"/>
      <c r="E151" s="1"/>
      <c r="F151" s="1"/>
      <c r="G151" s="1"/>
      <c r="H151" s="1"/>
      <c r="P151" s="1"/>
      <c r="Q151" s="1"/>
      <c r="T151" s="150"/>
      <c r="U151" s="150"/>
      <c r="V151" s="1"/>
      <c r="W151" s="1"/>
      <c r="X151" s="1"/>
      <c r="Y151" s="1"/>
      <c r="Z151" s="1"/>
    </row>
    <row r="152" spans="1:26" s="149" customFormat="1" ht="15" customHeight="1" x14ac:dyDescent="0.2">
      <c r="A152" s="1"/>
      <c r="B152" s="1"/>
      <c r="C152" s="1"/>
      <c r="D152" s="1"/>
      <c r="E152" s="1"/>
      <c r="F152" s="1"/>
      <c r="G152" s="1"/>
      <c r="H152" s="1"/>
      <c r="P152" s="1"/>
      <c r="Q152" s="1"/>
      <c r="T152" s="150"/>
      <c r="U152" s="150"/>
      <c r="V152" s="1"/>
      <c r="W152" s="1"/>
      <c r="X152" s="1"/>
      <c r="Y152" s="1"/>
      <c r="Z152" s="1"/>
    </row>
    <row r="153" spans="1:26" s="149" customFormat="1" ht="15" customHeight="1" x14ac:dyDescent="0.2">
      <c r="A153" s="1"/>
      <c r="B153" s="1"/>
      <c r="C153" s="1"/>
      <c r="D153" s="1"/>
      <c r="E153" s="1"/>
      <c r="F153" s="1"/>
      <c r="G153" s="1"/>
      <c r="H153" s="1"/>
      <c r="P153" s="1"/>
      <c r="Q153" s="1"/>
      <c r="T153" s="150"/>
      <c r="U153" s="150"/>
      <c r="V153" s="1"/>
      <c r="W153" s="1"/>
      <c r="X153" s="1"/>
      <c r="Y153" s="1"/>
      <c r="Z153" s="1"/>
    </row>
  </sheetData>
  <sheetProtection sheet="1" formatCells="0" formatColumns="0" formatRows="0"/>
  <mergeCells count="1">
    <mergeCell ref="A101:N101"/>
  </mergeCells>
  <phoneticPr fontId="4"/>
  <pageMargins left="0.7" right="0.7" top="0.75" bottom="0.75" header="0.3" footer="0.3"/>
  <pageSetup paperSize="9" orientation="portrait"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E4133-76F3-48E2-BB85-78FD400268F1}">
  <dimension ref="A1:Z137"/>
  <sheetViews>
    <sheetView zoomScale="160" zoomScaleNormal="160" workbookViewId="0">
      <selection activeCell="P22" sqref="P22 L22:M22"/>
    </sheetView>
  </sheetViews>
  <sheetFormatPr defaultColWidth="9.33203125" defaultRowHeight="12.75" x14ac:dyDescent="0.2"/>
  <cols>
    <col min="1" max="2" width="9.33203125" style="1"/>
    <col min="3" max="7" width="10.1640625" style="1" customWidth="1"/>
    <col min="8" max="8" width="9.33203125" style="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1250</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1251</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26" customFormat="1" x14ac:dyDescent="0.2">
      <c r="A6" s="226" t="s">
        <v>1252</v>
      </c>
    </row>
    <row r="7" spans="1:25" s="226" customFormat="1" x14ac:dyDescent="0.2">
      <c r="A7" s="226" t="s">
        <v>1253</v>
      </c>
    </row>
    <row r="8" spans="1:25" s="226" customFormat="1" x14ac:dyDescent="0.2"/>
    <row r="9" spans="1:25" s="226" customFormat="1" x14ac:dyDescent="0.2">
      <c r="A9" s="226" t="s">
        <v>1254</v>
      </c>
    </row>
    <row r="10" spans="1:25" s="226" customFormat="1" x14ac:dyDescent="0.2">
      <c r="A10" s="226" t="s">
        <v>1255</v>
      </c>
    </row>
    <row r="11" spans="1:25" x14ac:dyDescent="0.2">
      <c r="A11" s="97"/>
      <c r="B11" s="97"/>
      <c r="C11" s="97"/>
      <c r="D11" s="97"/>
      <c r="E11" s="97"/>
      <c r="F11" s="97"/>
      <c r="G11" s="97"/>
      <c r="H11" s="97"/>
      <c r="I11" s="113"/>
      <c r="J11" s="113"/>
      <c r="K11" s="113"/>
      <c r="L11" s="113"/>
      <c r="M11" s="113"/>
      <c r="N11" s="113"/>
      <c r="O11" s="113"/>
      <c r="R11" s="113"/>
      <c r="S11" s="113"/>
      <c r="T11" s="146"/>
      <c r="U11" s="146"/>
    </row>
    <row r="12" spans="1:25" x14ac:dyDescent="0.2">
      <c r="A12" s="97"/>
      <c r="B12" s="97"/>
      <c r="C12" s="97"/>
      <c r="D12" s="97"/>
      <c r="E12" s="97"/>
      <c r="F12" s="97"/>
      <c r="G12" s="97"/>
      <c r="H12" s="97"/>
      <c r="I12" s="113"/>
      <c r="J12" s="113"/>
      <c r="K12" s="113"/>
      <c r="L12" s="113"/>
      <c r="M12" s="113"/>
      <c r="N12" s="113"/>
      <c r="O12" s="113"/>
      <c r="R12" s="113"/>
      <c r="S12" s="113"/>
      <c r="T12" s="146"/>
      <c r="U12" s="146"/>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
        <v>1256</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1057</v>
      </c>
      <c r="N16" s="104" t="s">
        <v>1058</v>
      </c>
      <c r="O16" s="104" t="s">
        <v>100</v>
      </c>
      <c r="P16" s="6" t="s">
        <v>105</v>
      </c>
      <c r="Q16" s="6" t="s">
        <v>106</v>
      </c>
      <c r="R16" s="104" t="s">
        <v>1051</v>
      </c>
      <c r="S16" s="104" t="s">
        <v>1052</v>
      </c>
      <c r="T16" s="147" t="s">
        <v>1053</v>
      </c>
      <c r="U16" s="147" t="s">
        <v>1054</v>
      </c>
      <c r="V16" s="5" t="s">
        <v>101</v>
      </c>
      <c r="W16" s="5" t="s">
        <v>102</v>
      </c>
      <c r="X16" s="112" t="s">
        <v>1055</v>
      </c>
      <c r="Y16" s="112" t="s">
        <v>1056</v>
      </c>
    </row>
    <row r="17" spans="1:26" x14ac:dyDescent="0.2">
      <c r="A17" s="213" t="str">
        <f t="shared" ref="A17:A24" si="0">A29</f>
        <v>INMETRO</v>
      </c>
      <c r="B17" s="213">
        <f>C29</f>
        <v>1154270</v>
      </c>
      <c r="C17" s="215">
        <f>D29</f>
        <v>10.68</v>
      </c>
      <c r="D17" s="215"/>
      <c r="E17" s="215">
        <f>E29</f>
        <v>11.02</v>
      </c>
      <c r="F17" s="215">
        <f t="shared" ref="F17:H17" si="1">F29</f>
        <v>0.37</v>
      </c>
      <c r="G17" s="215">
        <f t="shared" si="1"/>
        <v>0.34</v>
      </c>
      <c r="H17" s="215">
        <f t="shared" si="1"/>
        <v>0.76</v>
      </c>
      <c r="I17" s="155">
        <f t="shared" ref="I17:I24" si="2">IF(ABS(G17)&gt;ABS(H17), 1, 0)</f>
        <v>0</v>
      </c>
      <c r="J17" s="155">
        <f t="shared" ref="J17:J24" si="3">I17*ABS(C17-E17)</f>
        <v>0</v>
      </c>
      <c r="K17" s="155">
        <f t="shared" ref="K17:K24" si="4">SQRT(SUMSQ(F17,J17))*2</f>
        <v>0.74</v>
      </c>
      <c r="L17" s="155">
        <f t="shared" ref="L17:L24" si="5">IF(C17&lt;$K$2, C17, $K$1)</f>
        <v>10</v>
      </c>
      <c r="M17" s="156">
        <f t="shared" ref="M17:M24" si="6">IF(AND(C17&lt;$K$1,C17&gt; $K$2), K17/L17*100, K17/C17*100)</f>
        <v>6.9288389513108619</v>
      </c>
      <c r="N17" s="157">
        <f t="shared" ref="N17:N24" si="7">M17*L17/100</f>
        <v>0.69288389513108628</v>
      </c>
      <c r="O17" s="155">
        <f t="shared" ref="O17:O24" si="8">N17/(M17*L17/100)*100</f>
        <v>100</v>
      </c>
      <c r="P17" s="250">
        <v>1</v>
      </c>
      <c r="Q17" s="250">
        <v>1000</v>
      </c>
      <c r="R17" s="148">
        <f>IF( IF(P17&lt;L17, M17*L17/P17, M17)&gt;100, "ERROR",  IF(P17&lt;L17, M17*L17/P17, M17))</f>
        <v>69.288389513108626</v>
      </c>
      <c r="S17" s="148">
        <f>IF(IF(Q17&lt;L17, M17*L17/Q17, M17)&gt;100, "ERROR", IF(Q17&lt;L17, M17*L17/Q17, M17))</f>
        <v>6.9288389513108619</v>
      </c>
      <c r="T17" s="148">
        <f>R17*P17*0.01</f>
        <v>0.69288389513108628</v>
      </c>
      <c r="U17" s="148">
        <f>S17*Q17*0.01</f>
        <v>69.288389513108626</v>
      </c>
      <c r="V17" s="7">
        <f>P17*1000</f>
        <v>1000</v>
      </c>
      <c r="W17" s="7">
        <f>Q17*1000</f>
        <v>1000000</v>
      </c>
      <c r="X17" s="1345">
        <f>T17*1000</f>
        <v>692.88389513108632</v>
      </c>
      <c r="Y17" s="1345">
        <f>U17*1000</f>
        <v>69288.389513108632</v>
      </c>
    </row>
    <row r="18" spans="1:26" x14ac:dyDescent="0.2">
      <c r="A18" s="213" t="str">
        <f t="shared" si="0"/>
        <v>VSL</v>
      </c>
      <c r="B18" s="213">
        <f t="shared" ref="B18:C18" si="9">C30</f>
        <v>1154280</v>
      </c>
      <c r="C18" s="215">
        <f t="shared" si="9"/>
        <v>9.85</v>
      </c>
      <c r="D18" s="215"/>
      <c r="E18" s="215">
        <f t="shared" ref="E18:H18" si="10">E30</f>
        <v>9.74</v>
      </c>
      <c r="F18" s="215">
        <f t="shared" si="10"/>
        <v>0.1</v>
      </c>
      <c r="G18" s="215">
        <f t="shared" si="10"/>
        <v>-0.11</v>
      </c>
      <c r="H18" s="215">
        <f t="shared" si="10"/>
        <v>0.28000000000000003</v>
      </c>
      <c r="I18" s="155">
        <f t="shared" si="2"/>
        <v>0</v>
      </c>
      <c r="J18" s="155">
        <f t="shared" si="3"/>
        <v>0</v>
      </c>
      <c r="K18" s="155">
        <f t="shared" si="4"/>
        <v>0.2</v>
      </c>
      <c r="L18" s="155">
        <f t="shared" si="5"/>
        <v>10</v>
      </c>
      <c r="M18" s="156">
        <f t="shared" si="6"/>
        <v>2</v>
      </c>
      <c r="N18" s="157">
        <f t="shared" si="7"/>
        <v>0.2</v>
      </c>
      <c r="O18" s="155">
        <f t="shared" si="8"/>
        <v>100</v>
      </c>
      <c r="P18" s="250">
        <v>1</v>
      </c>
      <c r="Q18" s="250">
        <v>1000</v>
      </c>
      <c r="R18" s="148">
        <f t="shared" ref="R18:R24" si="11">IF( IF(P18&lt;L18, M18*L18/P18, M18)&gt;100, "ERROR",  IF(P18&lt;L18, M18*L18/P18, M18))</f>
        <v>20</v>
      </c>
      <c r="S18" s="148">
        <f t="shared" ref="S18:S24" si="12">IF(IF(Q18&lt;L18, M18*L18/Q18, M18)&gt;100, "ERROR", IF(Q18&lt;L18, M18*L18/Q18, M18))</f>
        <v>2</v>
      </c>
      <c r="T18" s="148">
        <f t="shared" ref="T18:U24" si="13">R18*P18*0.01</f>
        <v>0.2</v>
      </c>
      <c r="U18" s="148">
        <f t="shared" si="13"/>
        <v>20</v>
      </c>
      <c r="V18" s="7">
        <f t="shared" ref="V18:W24" si="14">P18*1000</f>
        <v>1000</v>
      </c>
      <c r="W18" s="7">
        <f t="shared" si="14"/>
        <v>1000000</v>
      </c>
      <c r="X18" s="1345">
        <f t="shared" ref="X18:Y24" si="15">T18*1000</f>
        <v>200</v>
      </c>
      <c r="Y18" s="1345">
        <f t="shared" si="15"/>
        <v>20000</v>
      </c>
    </row>
    <row r="19" spans="1:26" x14ac:dyDescent="0.2">
      <c r="A19" s="213" t="str">
        <f t="shared" si="0"/>
        <v>VNIIM</v>
      </c>
      <c r="B19" s="213">
        <f t="shared" ref="B19:C19" si="16">C31</f>
        <v>1126470</v>
      </c>
      <c r="C19" s="215">
        <f t="shared" si="16"/>
        <v>10.29</v>
      </c>
      <c r="D19" s="215"/>
      <c r="E19" s="215">
        <f t="shared" ref="E19:H19" si="17">E31</f>
        <v>10.54</v>
      </c>
      <c r="F19" s="215">
        <f t="shared" si="17"/>
        <v>0.19</v>
      </c>
      <c r="G19" s="215">
        <f t="shared" si="17"/>
        <v>0.25</v>
      </c>
      <c r="H19" s="215">
        <f t="shared" si="17"/>
        <v>0.41</v>
      </c>
      <c r="I19" s="155">
        <f t="shared" si="2"/>
        <v>0</v>
      </c>
      <c r="J19" s="155">
        <f t="shared" si="3"/>
        <v>0</v>
      </c>
      <c r="K19" s="155">
        <f t="shared" si="4"/>
        <v>0.38</v>
      </c>
      <c r="L19" s="155">
        <f t="shared" si="5"/>
        <v>10</v>
      </c>
      <c r="M19" s="156">
        <f t="shared" si="6"/>
        <v>3.6929057337220605</v>
      </c>
      <c r="N19" s="157">
        <f t="shared" si="7"/>
        <v>0.36929057337220605</v>
      </c>
      <c r="O19" s="155">
        <f t="shared" si="8"/>
        <v>100</v>
      </c>
      <c r="P19" s="250">
        <v>1</v>
      </c>
      <c r="Q19" s="250">
        <v>1000</v>
      </c>
      <c r="R19" s="148">
        <f t="shared" si="11"/>
        <v>36.929057337220605</v>
      </c>
      <c r="S19" s="148">
        <f t="shared" si="12"/>
        <v>3.6929057337220605</v>
      </c>
      <c r="T19" s="148">
        <f t="shared" si="13"/>
        <v>0.36929057337220605</v>
      </c>
      <c r="U19" s="148">
        <f t="shared" si="13"/>
        <v>36.929057337220605</v>
      </c>
      <c r="V19" s="7">
        <f t="shared" si="14"/>
        <v>1000</v>
      </c>
      <c r="W19" s="7">
        <f t="shared" si="14"/>
        <v>1000000</v>
      </c>
      <c r="X19" s="1345">
        <f t="shared" si="15"/>
        <v>369.29057337220604</v>
      </c>
      <c r="Y19" s="1345">
        <f t="shared" si="15"/>
        <v>36929.057337220605</v>
      </c>
    </row>
    <row r="20" spans="1:26" x14ac:dyDescent="0.2">
      <c r="A20" s="213" t="str">
        <f t="shared" si="0"/>
        <v>NMIJ</v>
      </c>
      <c r="B20" s="213">
        <f t="shared" ref="B20:C20" si="18">C32</f>
        <v>1126478</v>
      </c>
      <c r="C20" s="215">
        <f t="shared" si="18"/>
        <v>10.33</v>
      </c>
      <c r="D20" s="215"/>
      <c r="E20" s="215">
        <f t="shared" ref="E20:H20" si="19">E32</f>
        <v>10.43</v>
      </c>
      <c r="F20" s="215">
        <f t="shared" si="19"/>
        <v>0.15</v>
      </c>
      <c r="G20" s="215">
        <f t="shared" si="19"/>
        <v>0.1</v>
      </c>
      <c r="H20" s="215">
        <f t="shared" si="19"/>
        <v>0.36</v>
      </c>
      <c r="I20" s="155">
        <f t="shared" si="2"/>
        <v>0</v>
      </c>
      <c r="J20" s="155">
        <f t="shared" si="3"/>
        <v>0</v>
      </c>
      <c r="K20" s="155">
        <f t="shared" si="4"/>
        <v>0.3</v>
      </c>
      <c r="L20" s="155">
        <f t="shared" si="5"/>
        <v>10</v>
      </c>
      <c r="M20" s="156">
        <f t="shared" si="6"/>
        <v>2.9041626331074539</v>
      </c>
      <c r="N20" s="157">
        <f t="shared" si="7"/>
        <v>0.29041626331074538</v>
      </c>
      <c r="O20" s="155">
        <f t="shared" si="8"/>
        <v>100</v>
      </c>
      <c r="P20" s="250">
        <v>1</v>
      </c>
      <c r="Q20" s="250">
        <v>1000</v>
      </c>
      <c r="R20" s="148">
        <f t="shared" si="11"/>
        <v>29.041626331074539</v>
      </c>
      <c r="S20" s="148">
        <f t="shared" si="12"/>
        <v>2.9041626331074539</v>
      </c>
      <c r="T20" s="148">
        <f t="shared" si="13"/>
        <v>0.29041626331074538</v>
      </c>
      <c r="U20" s="148">
        <f t="shared" si="13"/>
        <v>29.041626331074539</v>
      </c>
      <c r="V20" s="7">
        <f t="shared" si="14"/>
        <v>1000</v>
      </c>
      <c r="W20" s="7">
        <f t="shared" si="14"/>
        <v>1000000</v>
      </c>
      <c r="X20" s="1345">
        <f t="shared" si="15"/>
        <v>290.41626331074536</v>
      </c>
      <c r="Y20" s="1345">
        <f t="shared" si="15"/>
        <v>29041.626331074538</v>
      </c>
    </row>
    <row r="21" spans="1:26" x14ac:dyDescent="0.2">
      <c r="A21" s="213" t="str">
        <f t="shared" si="0"/>
        <v>METAS</v>
      </c>
      <c r="B21" s="213">
        <f t="shared" ref="B21:C21" si="20">C33</f>
        <v>1154291</v>
      </c>
      <c r="C21" s="215">
        <f t="shared" si="20"/>
        <v>10.84</v>
      </c>
      <c r="D21" s="215"/>
      <c r="E21" s="215">
        <f t="shared" ref="E21:H21" si="21">E33</f>
        <v>10.59</v>
      </c>
      <c r="F21" s="215">
        <f t="shared" si="21"/>
        <v>0.11</v>
      </c>
      <c r="G21" s="215">
        <f t="shared" si="21"/>
        <v>-0.25</v>
      </c>
      <c r="H21" s="215">
        <f t="shared" si="21"/>
        <v>0.28999999999999998</v>
      </c>
      <c r="I21" s="155">
        <f t="shared" si="2"/>
        <v>0</v>
      </c>
      <c r="J21" s="155">
        <f t="shared" si="3"/>
        <v>0</v>
      </c>
      <c r="K21" s="155">
        <f t="shared" si="4"/>
        <v>0.22</v>
      </c>
      <c r="L21" s="155">
        <f t="shared" si="5"/>
        <v>10</v>
      </c>
      <c r="M21" s="156">
        <f t="shared" si="6"/>
        <v>2.0295202952029521</v>
      </c>
      <c r="N21" s="157">
        <f t="shared" si="7"/>
        <v>0.2029520295202952</v>
      </c>
      <c r="O21" s="155">
        <f t="shared" si="8"/>
        <v>100</v>
      </c>
      <c r="P21" s="250">
        <v>1</v>
      </c>
      <c r="Q21" s="250">
        <v>1000</v>
      </c>
      <c r="R21" s="148">
        <f t="shared" si="11"/>
        <v>20.29520295202952</v>
      </c>
      <c r="S21" s="148">
        <f t="shared" si="12"/>
        <v>2.0295202952029521</v>
      </c>
      <c r="T21" s="148">
        <f t="shared" si="13"/>
        <v>0.2029520295202952</v>
      </c>
      <c r="U21" s="148">
        <f t="shared" si="13"/>
        <v>20.295202952029523</v>
      </c>
      <c r="V21" s="7">
        <f t="shared" si="14"/>
        <v>1000</v>
      </c>
      <c r="W21" s="7">
        <f t="shared" si="14"/>
        <v>1000000</v>
      </c>
      <c r="X21" s="1345">
        <f t="shared" si="15"/>
        <v>202.95202952029521</v>
      </c>
      <c r="Y21" s="1345">
        <f t="shared" si="15"/>
        <v>20295.202952029522</v>
      </c>
    </row>
    <row r="22" spans="1:26" x14ac:dyDescent="0.2">
      <c r="A22" s="213" t="str">
        <f t="shared" si="0"/>
        <v>KRISS</v>
      </c>
      <c r="B22" s="213">
        <f t="shared" ref="B22:C22" si="22">C34</f>
        <v>1126619</v>
      </c>
      <c r="C22" s="215">
        <f t="shared" si="22"/>
        <v>10.81</v>
      </c>
      <c r="D22" s="215"/>
      <c r="E22" s="215">
        <f t="shared" ref="E22:H22" si="23">E34</f>
        <v>10.75</v>
      </c>
      <c r="F22" s="215">
        <f t="shared" si="23"/>
        <v>7.0000000000000007E-2</v>
      </c>
      <c r="G22" s="215">
        <f t="shared" si="23"/>
        <v>-0.06</v>
      </c>
      <c r="H22" s="215">
        <f t="shared" si="23"/>
        <v>0.24</v>
      </c>
      <c r="I22" s="155">
        <f t="shared" si="2"/>
        <v>0</v>
      </c>
      <c r="J22" s="155">
        <f t="shared" si="3"/>
        <v>0</v>
      </c>
      <c r="K22" s="155">
        <f t="shared" si="4"/>
        <v>0.14000000000000001</v>
      </c>
      <c r="L22" s="155">
        <f t="shared" si="5"/>
        <v>10</v>
      </c>
      <c r="M22" s="156">
        <f t="shared" si="6"/>
        <v>1.2950971322849214</v>
      </c>
      <c r="N22" s="157">
        <f t="shared" si="7"/>
        <v>0.12950971322849214</v>
      </c>
      <c r="O22" s="155">
        <f t="shared" si="8"/>
        <v>100</v>
      </c>
      <c r="P22" s="250">
        <v>1</v>
      </c>
      <c r="Q22" s="250">
        <v>1000</v>
      </c>
      <c r="R22" s="148">
        <f t="shared" si="11"/>
        <v>12.950971322849213</v>
      </c>
      <c r="S22" s="148">
        <f t="shared" si="12"/>
        <v>1.2950971322849214</v>
      </c>
      <c r="T22" s="148">
        <f t="shared" si="13"/>
        <v>0.12950971322849214</v>
      </c>
      <c r="U22" s="148">
        <f t="shared" si="13"/>
        <v>12.950971322849213</v>
      </c>
      <c r="V22" s="7">
        <f t="shared" si="14"/>
        <v>1000</v>
      </c>
      <c r="W22" s="7">
        <f t="shared" si="14"/>
        <v>1000000</v>
      </c>
      <c r="X22" s="1345">
        <f t="shared" si="15"/>
        <v>129.50971322849213</v>
      </c>
      <c r="Y22" s="1345">
        <f t="shared" si="15"/>
        <v>12950.971322849213</v>
      </c>
    </row>
    <row r="23" spans="1:26" x14ac:dyDescent="0.2">
      <c r="A23" s="213" t="str">
        <f t="shared" si="0"/>
        <v>NIM</v>
      </c>
      <c r="B23" s="213">
        <f t="shared" ref="B23:C23" si="24">C35</f>
        <v>1154281</v>
      </c>
      <c r="C23" s="215">
        <f t="shared" si="24"/>
        <v>9.68</v>
      </c>
      <c r="D23" s="215"/>
      <c r="E23" s="215">
        <f t="shared" ref="E23:H23" si="25">E35</f>
        <v>10</v>
      </c>
      <c r="F23" s="215">
        <f t="shared" si="25"/>
        <v>0.15</v>
      </c>
      <c r="G23" s="215">
        <f t="shared" si="25"/>
        <v>0.32</v>
      </c>
      <c r="H23" s="215">
        <f t="shared" si="25"/>
        <v>0.36</v>
      </c>
      <c r="I23" s="155">
        <f t="shared" si="2"/>
        <v>0</v>
      </c>
      <c r="J23" s="155">
        <f t="shared" si="3"/>
        <v>0</v>
      </c>
      <c r="K23" s="155">
        <f t="shared" si="4"/>
        <v>0.3</v>
      </c>
      <c r="L23" s="155">
        <f t="shared" si="5"/>
        <v>10</v>
      </c>
      <c r="M23" s="156">
        <f t="shared" si="6"/>
        <v>3</v>
      </c>
      <c r="N23" s="157">
        <f t="shared" si="7"/>
        <v>0.3</v>
      </c>
      <c r="O23" s="155">
        <f t="shared" si="8"/>
        <v>100</v>
      </c>
      <c r="P23" s="250">
        <v>1</v>
      </c>
      <c r="Q23" s="250">
        <v>1000</v>
      </c>
      <c r="R23" s="148">
        <f t="shared" si="11"/>
        <v>30</v>
      </c>
      <c r="S23" s="148">
        <f t="shared" si="12"/>
        <v>3</v>
      </c>
      <c r="T23" s="148">
        <f t="shared" si="13"/>
        <v>0.3</v>
      </c>
      <c r="U23" s="148">
        <f t="shared" si="13"/>
        <v>30</v>
      </c>
      <c r="V23" s="7">
        <f t="shared" si="14"/>
        <v>1000</v>
      </c>
      <c r="W23" s="7">
        <f t="shared" si="14"/>
        <v>1000000</v>
      </c>
      <c r="X23" s="1345">
        <f t="shared" si="15"/>
        <v>300</v>
      </c>
      <c r="Y23" s="1345">
        <f t="shared" si="15"/>
        <v>30000</v>
      </c>
    </row>
    <row r="24" spans="1:26" x14ac:dyDescent="0.2">
      <c r="A24" s="213" t="str">
        <f t="shared" si="0"/>
        <v>NPL</v>
      </c>
      <c r="B24" s="213">
        <f t="shared" ref="B24:C24" si="26">C36</f>
        <v>1154294</v>
      </c>
      <c r="C24" s="215">
        <f t="shared" si="26"/>
        <v>10.19</v>
      </c>
      <c r="D24" s="215"/>
      <c r="E24" s="215">
        <f t="shared" ref="E24:H24" si="27">E36</f>
        <v>10.17</v>
      </c>
      <c r="F24" s="215">
        <f t="shared" si="27"/>
        <v>0.04</v>
      </c>
      <c r="G24" s="215">
        <f t="shared" si="27"/>
        <v>-0.02</v>
      </c>
      <c r="H24" s="215">
        <f t="shared" si="27"/>
        <v>0.2</v>
      </c>
      <c r="I24" s="155">
        <f t="shared" si="2"/>
        <v>0</v>
      </c>
      <c r="J24" s="155">
        <f t="shared" si="3"/>
        <v>0</v>
      </c>
      <c r="K24" s="155">
        <f t="shared" si="4"/>
        <v>0.08</v>
      </c>
      <c r="L24" s="155">
        <f t="shared" si="5"/>
        <v>10</v>
      </c>
      <c r="M24" s="156">
        <f t="shared" si="6"/>
        <v>0.78508341511285584</v>
      </c>
      <c r="N24" s="157">
        <f t="shared" si="7"/>
        <v>7.8508341511285579E-2</v>
      </c>
      <c r="O24" s="155">
        <f t="shared" si="8"/>
        <v>100</v>
      </c>
      <c r="P24" s="250">
        <v>1</v>
      </c>
      <c r="Q24" s="250">
        <v>1000</v>
      </c>
      <c r="R24" s="148">
        <f t="shared" si="11"/>
        <v>7.8508341511285584</v>
      </c>
      <c r="S24" s="148">
        <f t="shared" si="12"/>
        <v>0.78508341511285584</v>
      </c>
      <c r="T24" s="148">
        <f t="shared" si="13"/>
        <v>7.8508341511285593E-2</v>
      </c>
      <c r="U24" s="148">
        <f t="shared" si="13"/>
        <v>7.8508341511285584</v>
      </c>
      <c r="V24" s="7">
        <f t="shared" si="14"/>
        <v>1000</v>
      </c>
      <c r="W24" s="7">
        <f t="shared" si="14"/>
        <v>1000000</v>
      </c>
      <c r="X24" s="1345">
        <f t="shared" si="15"/>
        <v>78.508341511285593</v>
      </c>
      <c r="Y24" s="1345">
        <f t="shared" si="15"/>
        <v>7850.834151128558</v>
      </c>
    </row>
    <row r="25" spans="1:26" ht="14.25" x14ac:dyDescent="0.2">
      <c r="H25" s="9"/>
      <c r="U25" s="152"/>
      <c r="V25" s="21"/>
      <c r="W25" s="21"/>
      <c r="X25" s="21"/>
      <c r="Y25" s="21"/>
      <c r="Z25" s="21"/>
    </row>
    <row r="26" spans="1:26" ht="14.25" x14ac:dyDescent="0.2">
      <c r="H26" s="9"/>
      <c r="U26" s="152"/>
      <c r="V26" s="21"/>
      <c r="W26" s="21"/>
      <c r="X26" s="21"/>
      <c r="Y26" s="21"/>
      <c r="Z26" s="21"/>
    </row>
    <row r="27" spans="1:26" ht="14.25" x14ac:dyDescent="0.2">
      <c r="H27" s="9"/>
      <c r="V27" s="21"/>
      <c r="W27" s="21"/>
      <c r="X27" s="21"/>
      <c r="Y27" s="21"/>
      <c r="Z27" s="21"/>
    </row>
    <row r="28" spans="1:26" s="226" customFormat="1" x14ac:dyDescent="0.2">
      <c r="A28" s="1277" t="s">
        <v>1257</v>
      </c>
      <c r="B28" s="1277" t="s">
        <v>1258</v>
      </c>
      <c r="C28" s="1277" t="s">
        <v>1259</v>
      </c>
      <c r="D28" s="1277" t="s">
        <v>1260</v>
      </c>
      <c r="E28" s="1277" t="s">
        <v>1204</v>
      </c>
      <c r="F28" s="1277" t="s">
        <v>1261</v>
      </c>
      <c r="G28" s="1277" t="s">
        <v>1262</v>
      </c>
      <c r="H28" s="1277" t="s">
        <v>1263</v>
      </c>
    </row>
    <row r="29" spans="1:26" s="226" customFormat="1" x14ac:dyDescent="0.2">
      <c r="A29" s="1349" t="s">
        <v>473</v>
      </c>
      <c r="B29" s="1350" t="s">
        <v>69</v>
      </c>
      <c r="C29" s="1350">
        <v>1154270</v>
      </c>
      <c r="D29" s="1349">
        <v>10.68</v>
      </c>
      <c r="E29" s="1350">
        <v>11.02</v>
      </c>
      <c r="F29" s="1350">
        <v>0.37</v>
      </c>
      <c r="G29" s="1277">
        <v>0.34</v>
      </c>
      <c r="H29" s="1277">
        <v>0.76</v>
      </c>
    </row>
    <row r="30" spans="1:26" s="226" customFormat="1" x14ac:dyDescent="0.2">
      <c r="A30" s="1349" t="s">
        <v>21</v>
      </c>
      <c r="B30" s="1350" t="s">
        <v>1264</v>
      </c>
      <c r="C30" s="1350">
        <v>1154280</v>
      </c>
      <c r="D30" s="1350">
        <v>9.85</v>
      </c>
      <c r="E30" s="1350">
        <v>9.74</v>
      </c>
      <c r="F30" s="1350">
        <v>0.1</v>
      </c>
      <c r="G30" s="1277">
        <v>-0.11</v>
      </c>
      <c r="H30" s="1277">
        <v>0.28000000000000003</v>
      </c>
    </row>
    <row r="31" spans="1:26" s="226" customFormat="1" x14ac:dyDescent="0.2">
      <c r="A31" s="1349" t="s">
        <v>1265</v>
      </c>
      <c r="B31" s="1350" t="s">
        <v>1266</v>
      </c>
      <c r="C31" s="1350">
        <v>1126470</v>
      </c>
      <c r="D31" s="1350">
        <v>10.29</v>
      </c>
      <c r="E31" s="1350">
        <v>10.54</v>
      </c>
      <c r="F31" s="1351">
        <v>0.19</v>
      </c>
      <c r="G31" s="1277">
        <v>0.25</v>
      </c>
      <c r="H31" s="1277">
        <v>0.41</v>
      </c>
    </row>
    <row r="32" spans="1:26" s="226" customFormat="1" x14ac:dyDescent="0.2">
      <c r="A32" s="1349" t="s">
        <v>1267</v>
      </c>
      <c r="B32" s="1277" t="s">
        <v>1268</v>
      </c>
      <c r="C32" s="1350">
        <v>1126478</v>
      </c>
      <c r="D32" s="1350">
        <v>10.33</v>
      </c>
      <c r="E32" s="1350">
        <v>10.43</v>
      </c>
      <c r="F32" s="1351">
        <v>0.15</v>
      </c>
      <c r="G32" s="1277">
        <v>0.1</v>
      </c>
      <c r="H32" s="1277">
        <v>0.36</v>
      </c>
    </row>
    <row r="33" spans="1:26" s="226" customFormat="1" x14ac:dyDescent="0.2">
      <c r="A33" s="1349" t="s">
        <v>19</v>
      </c>
      <c r="B33" s="1349" t="s">
        <v>334</v>
      </c>
      <c r="C33" s="1350">
        <v>1154291</v>
      </c>
      <c r="D33" s="1350">
        <v>10.84</v>
      </c>
      <c r="E33" s="1350">
        <v>10.59</v>
      </c>
      <c r="F33" s="1350">
        <v>0.11</v>
      </c>
      <c r="G33" s="1277">
        <v>-0.25</v>
      </c>
      <c r="H33" s="1277">
        <v>0.28999999999999998</v>
      </c>
    </row>
    <row r="34" spans="1:26" s="226" customFormat="1" x14ac:dyDescent="0.2">
      <c r="A34" s="1349" t="s">
        <v>17</v>
      </c>
      <c r="B34" s="1349" t="s">
        <v>1269</v>
      </c>
      <c r="C34" s="1350">
        <v>1126619</v>
      </c>
      <c r="D34" s="1350">
        <v>10.81</v>
      </c>
      <c r="E34" s="1350">
        <v>10.75</v>
      </c>
      <c r="F34" s="1350">
        <v>7.0000000000000007E-2</v>
      </c>
      <c r="G34" s="1277">
        <v>-0.06</v>
      </c>
      <c r="H34" s="1277">
        <v>0.24</v>
      </c>
    </row>
    <row r="35" spans="1:26" s="226" customFormat="1" x14ac:dyDescent="0.2">
      <c r="A35" s="1349" t="s">
        <v>173</v>
      </c>
      <c r="B35" s="1350" t="s">
        <v>1270</v>
      </c>
      <c r="C35" s="1350">
        <v>1154281</v>
      </c>
      <c r="D35" s="1350">
        <v>9.68</v>
      </c>
      <c r="E35" s="1350">
        <v>10</v>
      </c>
      <c r="F35" s="1350">
        <v>0.15</v>
      </c>
      <c r="G35" s="1277">
        <v>0.32</v>
      </c>
      <c r="H35" s="1277">
        <v>0.36</v>
      </c>
    </row>
    <row r="36" spans="1:26" s="226" customFormat="1" x14ac:dyDescent="0.2">
      <c r="A36" s="1352" t="s">
        <v>16</v>
      </c>
      <c r="B36" s="1353" t="s">
        <v>1271</v>
      </c>
      <c r="C36" s="1352">
        <v>1154294</v>
      </c>
      <c r="D36" s="1353">
        <v>10.19</v>
      </c>
      <c r="E36" s="1353">
        <v>10.17</v>
      </c>
      <c r="F36" s="1353">
        <v>0.04</v>
      </c>
      <c r="G36" s="1277">
        <v>-0.02</v>
      </c>
      <c r="H36" s="1277">
        <v>0.2</v>
      </c>
    </row>
    <row r="37" spans="1:26" ht="14.25" x14ac:dyDescent="0.2">
      <c r="H37" s="9"/>
      <c r="U37" s="152"/>
      <c r="V37" s="21"/>
      <c r="W37" s="21"/>
      <c r="X37" s="21"/>
      <c r="Y37" s="21"/>
      <c r="Z37" s="21"/>
    </row>
    <row r="38" spans="1:26" ht="14.25" x14ac:dyDescent="0.2">
      <c r="H38" s="9"/>
      <c r="U38" s="152"/>
      <c r="V38" s="21"/>
      <c r="W38" s="21"/>
      <c r="X38" s="21"/>
      <c r="Y38" s="21"/>
      <c r="Z38" s="21"/>
    </row>
    <row r="39" spans="1:26" ht="14.25" x14ac:dyDescent="0.2">
      <c r="H39" s="9"/>
      <c r="X39" s="21"/>
      <c r="Y39" s="21"/>
      <c r="Z39" s="21"/>
    </row>
    <row r="40" spans="1:26" ht="14.25" x14ac:dyDescent="0.2">
      <c r="H40" s="9"/>
      <c r="X40" s="21"/>
      <c r="Y40" s="21"/>
      <c r="Z40" s="21"/>
    </row>
    <row r="41" spans="1:26" ht="14.25" x14ac:dyDescent="0.2">
      <c r="H41" s="9"/>
      <c r="X41" s="21"/>
      <c r="Y41" s="21"/>
      <c r="Z41" s="21"/>
    </row>
    <row r="42" spans="1:26" ht="14.25" x14ac:dyDescent="0.2">
      <c r="H42" s="9"/>
      <c r="X42" s="21"/>
      <c r="Y42" s="21"/>
      <c r="Z42" s="21"/>
    </row>
    <row r="43" spans="1:26" ht="14.25" x14ac:dyDescent="0.2">
      <c r="H43" s="9"/>
      <c r="X43" s="21"/>
      <c r="Y43" s="21"/>
      <c r="Z43" s="21"/>
    </row>
    <row r="44" spans="1:26" ht="14.25" x14ac:dyDescent="0.2">
      <c r="H44" s="9"/>
      <c r="X44" s="21"/>
      <c r="Y44" s="21"/>
      <c r="Z44" s="21"/>
    </row>
    <row r="45" spans="1:26" ht="14.25" x14ac:dyDescent="0.2">
      <c r="H45" s="9"/>
      <c r="X45" s="21"/>
      <c r="Y45" s="21"/>
      <c r="Z45" s="21"/>
    </row>
    <row r="46" spans="1:26" ht="14.25" x14ac:dyDescent="0.2">
      <c r="H46" s="9"/>
      <c r="X46" s="21"/>
      <c r="Y46" s="21"/>
      <c r="Z46" s="21"/>
    </row>
    <row r="47" spans="1:26" ht="14.25" x14ac:dyDescent="0.2">
      <c r="H47" s="9"/>
      <c r="X47" s="21"/>
      <c r="Y47" s="21"/>
      <c r="Z47" s="21"/>
    </row>
    <row r="48" spans="1:26" ht="14.25" x14ac:dyDescent="0.2">
      <c r="H48" s="9"/>
      <c r="X48" s="21"/>
      <c r="Y48" s="21"/>
      <c r="Z48" s="21"/>
    </row>
    <row r="49" spans="8:26" ht="14.25" x14ac:dyDescent="0.2">
      <c r="H49" s="9"/>
      <c r="X49" s="21"/>
      <c r="Y49" s="21"/>
      <c r="Z49" s="21"/>
    </row>
    <row r="50" spans="8:26" ht="14.25" x14ac:dyDescent="0.2">
      <c r="H50" s="9"/>
      <c r="X50" s="21"/>
      <c r="Y50" s="21"/>
      <c r="Z50" s="21"/>
    </row>
    <row r="51" spans="8:26" ht="14.25" x14ac:dyDescent="0.2">
      <c r="H51" s="9"/>
      <c r="X51" s="21"/>
      <c r="Y51" s="21"/>
      <c r="Z51" s="21"/>
    </row>
    <row r="52" spans="8:26" ht="14.25" x14ac:dyDescent="0.2">
      <c r="H52" s="9"/>
      <c r="X52" s="21"/>
      <c r="Y52" s="21"/>
      <c r="Z52" s="21"/>
    </row>
    <row r="53" spans="8:26" ht="14.25" x14ac:dyDescent="0.2">
      <c r="H53" s="9"/>
      <c r="X53" s="21"/>
      <c r="Y53" s="21"/>
      <c r="Z53" s="21"/>
    </row>
    <row r="54" spans="8:26" ht="14.25" x14ac:dyDescent="0.2">
      <c r="H54" s="9"/>
      <c r="U54" s="152"/>
      <c r="V54" s="21"/>
      <c r="W54" s="21"/>
      <c r="X54" s="21"/>
      <c r="Y54" s="21"/>
      <c r="Z54" s="21"/>
    </row>
    <row r="55" spans="8:26" ht="14.25" x14ac:dyDescent="0.2">
      <c r="H55" s="9"/>
      <c r="U55" s="152"/>
      <c r="V55" s="21"/>
      <c r="W55" s="21"/>
      <c r="X55" s="21"/>
      <c r="Y55" s="21"/>
      <c r="Z55" s="21"/>
    </row>
    <row r="56" spans="8:26" ht="14.25" x14ac:dyDescent="0.2">
      <c r="H56" s="9"/>
      <c r="U56" s="152"/>
      <c r="V56" s="21"/>
      <c r="W56" s="21"/>
      <c r="X56" s="21"/>
      <c r="Y56" s="21"/>
      <c r="Z56" s="21"/>
    </row>
    <row r="57" spans="8:26" ht="14.25" x14ac:dyDescent="0.2">
      <c r="H57" s="9"/>
      <c r="U57" s="152"/>
      <c r="V57" s="21"/>
      <c r="W57" s="21"/>
      <c r="X57" s="21"/>
      <c r="Y57" s="21"/>
      <c r="Z57" s="21"/>
    </row>
    <row r="58" spans="8:26" ht="14.25" x14ac:dyDescent="0.2">
      <c r="H58" s="9"/>
      <c r="U58" s="152"/>
      <c r="V58" s="21"/>
      <c r="W58" s="21"/>
      <c r="X58" s="21"/>
      <c r="Y58" s="21"/>
      <c r="Z58" s="21"/>
    </row>
    <row r="59" spans="8:26" ht="14.25" x14ac:dyDescent="0.2">
      <c r="H59" s="9"/>
      <c r="U59" s="152"/>
      <c r="V59" s="21"/>
      <c r="W59" s="21"/>
      <c r="X59" s="21"/>
      <c r="Y59" s="21"/>
      <c r="Z59" s="21"/>
    </row>
    <row r="60" spans="8:26" ht="14.25" x14ac:dyDescent="0.2">
      <c r="H60" s="9"/>
      <c r="U60" s="152"/>
      <c r="V60" s="21"/>
      <c r="W60" s="21"/>
      <c r="X60" s="21"/>
      <c r="Y60" s="21"/>
      <c r="Z60" s="21"/>
    </row>
    <row r="61" spans="8:26" ht="14.25" x14ac:dyDescent="0.2">
      <c r="H61" s="9"/>
      <c r="U61" s="152"/>
      <c r="V61" s="21"/>
      <c r="W61" s="21"/>
      <c r="X61" s="21"/>
      <c r="Y61" s="21"/>
      <c r="Z61" s="21"/>
    </row>
    <row r="62" spans="8:26" ht="14.25" x14ac:dyDescent="0.2">
      <c r="H62" s="9"/>
      <c r="U62" s="152"/>
      <c r="V62" s="21"/>
      <c r="W62" s="21"/>
      <c r="X62" s="21"/>
      <c r="Y62" s="21"/>
      <c r="Z62" s="21"/>
    </row>
    <row r="63" spans="8:26" ht="14.25" x14ac:dyDescent="0.2">
      <c r="H63" s="9"/>
      <c r="U63" s="152"/>
      <c r="V63" s="21"/>
      <c r="W63" s="21"/>
      <c r="X63" s="21"/>
      <c r="Y63" s="21"/>
      <c r="Z63" s="21"/>
    </row>
    <row r="64" spans="8:26" ht="14.25" x14ac:dyDescent="0.2">
      <c r="H64" s="9"/>
      <c r="U64" s="152"/>
      <c r="V64" s="21"/>
      <c r="W64" s="21"/>
      <c r="X64" s="21"/>
      <c r="Y64" s="21"/>
      <c r="Z64" s="21"/>
    </row>
    <row r="65" spans="8:26" ht="14.25" x14ac:dyDescent="0.2">
      <c r="H65" s="9"/>
      <c r="U65" s="152"/>
      <c r="V65" s="21"/>
      <c r="W65" s="21"/>
      <c r="X65" s="21"/>
      <c r="Y65" s="21"/>
      <c r="Z65" s="21"/>
    </row>
    <row r="66" spans="8:26" ht="14.25" x14ac:dyDescent="0.2">
      <c r="H66" s="9"/>
      <c r="U66" s="152"/>
      <c r="V66" s="21"/>
      <c r="W66" s="21"/>
      <c r="X66" s="21"/>
      <c r="Y66" s="21"/>
      <c r="Z66" s="21"/>
    </row>
    <row r="67" spans="8:26" ht="14.25" x14ac:dyDescent="0.2">
      <c r="H67" s="9"/>
      <c r="U67" s="152"/>
      <c r="V67" s="21"/>
      <c r="W67" s="21"/>
      <c r="X67" s="21"/>
      <c r="Y67" s="21"/>
      <c r="Z67" s="21"/>
    </row>
    <row r="68" spans="8:26" ht="14.25" x14ac:dyDescent="0.2">
      <c r="H68" s="9"/>
      <c r="U68" s="152"/>
      <c r="V68" s="21"/>
      <c r="W68" s="21"/>
      <c r="X68" s="21"/>
      <c r="Y68" s="21"/>
      <c r="Z68" s="21"/>
    </row>
    <row r="69" spans="8:26" ht="14.25" x14ac:dyDescent="0.2">
      <c r="H69" s="9"/>
      <c r="U69" s="152"/>
      <c r="V69" s="21"/>
      <c r="W69" s="21"/>
      <c r="X69" s="21"/>
      <c r="Y69" s="21"/>
      <c r="Z69" s="21"/>
    </row>
    <row r="70" spans="8:26" ht="14.25" x14ac:dyDescent="0.2">
      <c r="H70" s="9"/>
      <c r="U70" s="152"/>
      <c r="V70" s="21"/>
      <c r="W70" s="21"/>
      <c r="X70" s="21"/>
      <c r="Y70" s="21"/>
      <c r="Z70" s="21"/>
    </row>
    <row r="71" spans="8:26" ht="14.25" x14ac:dyDescent="0.2">
      <c r="H71" s="9"/>
      <c r="U71" s="152"/>
      <c r="V71" s="21"/>
      <c r="W71" s="21"/>
      <c r="X71" s="21"/>
      <c r="Y71" s="21"/>
      <c r="Z71" s="21"/>
    </row>
    <row r="72" spans="8:26" ht="14.25" x14ac:dyDescent="0.2">
      <c r="U72" s="152"/>
      <c r="V72" s="21"/>
      <c r="W72" s="21"/>
      <c r="X72" s="21"/>
      <c r="Y72" s="21"/>
      <c r="Z72" s="21"/>
    </row>
    <row r="73" spans="8:26" ht="14.25" x14ac:dyDescent="0.2">
      <c r="H73" s="9"/>
      <c r="U73" s="152"/>
      <c r="V73" s="21"/>
      <c r="W73" s="21"/>
      <c r="X73" s="21"/>
      <c r="Y73" s="21"/>
      <c r="Z73" s="21"/>
    </row>
    <row r="74" spans="8:26" ht="14.25" x14ac:dyDescent="0.2">
      <c r="H74" s="9"/>
      <c r="U74" s="152"/>
      <c r="V74" s="21"/>
      <c r="W74" s="21"/>
      <c r="X74" s="21"/>
      <c r="Y74" s="21"/>
      <c r="Z74" s="21"/>
    </row>
    <row r="75" spans="8:26" ht="14.25" x14ac:dyDescent="0.2">
      <c r="H75" s="9"/>
      <c r="U75" s="152"/>
      <c r="V75" s="21"/>
      <c r="W75" s="21"/>
      <c r="X75" s="21"/>
      <c r="Y75" s="21"/>
      <c r="Z75" s="21"/>
    </row>
    <row r="76" spans="8:26" ht="14.25" x14ac:dyDescent="0.2">
      <c r="H76" s="9"/>
      <c r="U76" s="152"/>
      <c r="V76" s="21"/>
      <c r="W76" s="21"/>
      <c r="X76" s="21"/>
      <c r="Y76" s="21"/>
      <c r="Z76" s="21"/>
    </row>
    <row r="77" spans="8:26" ht="14.25" x14ac:dyDescent="0.2">
      <c r="H77" s="9"/>
      <c r="U77" s="152"/>
      <c r="V77" s="21"/>
      <c r="W77" s="21"/>
      <c r="X77" s="21"/>
      <c r="Y77" s="21"/>
      <c r="Z77" s="21"/>
    </row>
    <row r="78" spans="8:26" ht="14.25" x14ac:dyDescent="0.2">
      <c r="H78" s="9"/>
      <c r="U78" s="152"/>
      <c r="V78" s="21"/>
      <c r="W78" s="21"/>
      <c r="X78" s="21"/>
      <c r="Y78" s="21"/>
      <c r="Z78" s="21"/>
    </row>
    <row r="79" spans="8:26" ht="14.25" x14ac:dyDescent="0.2">
      <c r="U79" s="152"/>
      <c r="V79" s="21"/>
      <c r="W79" s="21"/>
      <c r="X79" s="21"/>
      <c r="Y79" s="21"/>
      <c r="Z79" s="21"/>
    </row>
    <row r="80" spans="8:26" ht="14.25" x14ac:dyDescent="0.2">
      <c r="U80" s="152"/>
      <c r="V80" s="21"/>
      <c r="W80" s="21"/>
      <c r="X80" s="21"/>
      <c r="Y80" s="21"/>
      <c r="Z80" s="21"/>
    </row>
    <row r="81" spans="1:26" ht="14.25" x14ac:dyDescent="0.2">
      <c r="U81" s="152"/>
      <c r="V81" s="21"/>
      <c r="W81" s="21"/>
      <c r="X81" s="21"/>
      <c r="Y81" s="21"/>
      <c r="Z81" s="21"/>
    </row>
    <row r="82" spans="1:26" ht="14.25" x14ac:dyDescent="0.2">
      <c r="U82" s="152"/>
      <c r="V82" s="21"/>
      <c r="W82" s="21"/>
      <c r="X82" s="21"/>
      <c r="Y82" s="21"/>
      <c r="Z82" s="21"/>
    </row>
    <row r="83" spans="1:26" ht="14.25" x14ac:dyDescent="0.2">
      <c r="U83" s="152"/>
      <c r="V83" s="21"/>
      <c r="W83" s="21"/>
      <c r="X83" s="21"/>
      <c r="Y83" s="21"/>
      <c r="Z83" s="21"/>
    </row>
    <row r="84" spans="1:26" ht="14.25" x14ac:dyDescent="0.2">
      <c r="U84" s="152"/>
      <c r="V84" s="21"/>
      <c r="W84" s="21"/>
      <c r="X84" s="21"/>
      <c r="Y84" s="21"/>
      <c r="Z84" s="21"/>
    </row>
    <row r="85" spans="1:26" ht="14.25" x14ac:dyDescent="0.2">
      <c r="A85" s="23"/>
      <c r="B85" s="23"/>
      <c r="C85" s="23"/>
      <c r="D85" s="23"/>
      <c r="T85" s="151"/>
      <c r="U85" s="152"/>
      <c r="V85" s="21"/>
      <c r="W85" s="21"/>
      <c r="X85" s="21"/>
      <c r="Y85" s="21"/>
      <c r="Z85" s="21"/>
    </row>
    <row r="86" spans="1:26" ht="14.25" x14ac:dyDescent="0.2">
      <c r="T86" s="151"/>
      <c r="U86" s="152"/>
      <c r="V86" s="21"/>
      <c r="W86" s="21"/>
      <c r="X86" s="21"/>
      <c r="Y86" s="21"/>
      <c r="Z86" s="21"/>
    </row>
    <row r="87" spans="1:26" ht="14.25" x14ac:dyDescent="0.2">
      <c r="T87" s="151"/>
      <c r="U87" s="152"/>
      <c r="V87" s="21"/>
      <c r="W87" s="21"/>
      <c r="X87" s="21"/>
      <c r="Y87" s="21"/>
      <c r="Z87" s="21"/>
    </row>
    <row r="88" spans="1:26" ht="14.25" x14ac:dyDescent="0.2">
      <c r="T88" s="151"/>
      <c r="U88" s="152"/>
      <c r="V88" s="21"/>
      <c r="W88" s="21"/>
      <c r="X88" s="21"/>
      <c r="Y88" s="21"/>
      <c r="Z88" s="21"/>
    </row>
    <row r="89" spans="1:26" ht="14.25" x14ac:dyDescent="0.2">
      <c r="T89" s="151"/>
      <c r="U89" s="152"/>
      <c r="V89" s="21"/>
      <c r="W89" s="21"/>
      <c r="X89" s="21"/>
      <c r="Y89" s="21"/>
      <c r="Z89" s="21"/>
    </row>
    <row r="90" spans="1:26" ht="14.25" x14ac:dyDescent="0.2">
      <c r="T90" s="151"/>
      <c r="U90" s="152"/>
      <c r="V90" s="21"/>
      <c r="W90" s="21"/>
      <c r="X90" s="21"/>
      <c r="Y90" s="21"/>
      <c r="Z90" s="21"/>
    </row>
    <row r="91" spans="1:26" ht="14.25" x14ac:dyDescent="0.2">
      <c r="T91" s="151"/>
      <c r="U91" s="152"/>
      <c r="V91" s="21"/>
      <c r="W91" s="21"/>
      <c r="X91" s="21"/>
      <c r="Y91" s="21"/>
      <c r="Z91" s="21"/>
    </row>
    <row r="92" spans="1:26" ht="14.25" x14ac:dyDescent="0.2">
      <c r="T92" s="151"/>
      <c r="U92" s="152"/>
      <c r="V92" s="21"/>
      <c r="W92" s="21"/>
      <c r="X92" s="21"/>
      <c r="Y92" s="21"/>
      <c r="Z92" s="21"/>
    </row>
    <row r="93" spans="1:26" ht="14.25" x14ac:dyDescent="0.2">
      <c r="T93" s="151"/>
      <c r="U93" s="152"/>
      <c r="V93" s="21"/>
      <c r="W93" s="21"/>
      <c r="X93" s="21"/>
      <c r="Y93" s="21"/>
      <c r="Z93" s="21"/>
    </row>
    <row r="94" spans="1:26" ht="14.25" x14ac:dyDescent="0.2">
      <c r="T94" s="151"/>
      <c r="U94" s="152"/>
      <c r="V94" s="21"/>
      <c r="W94" s="21"/>
      <c r="X94" s="21"/>
      <c r="Y94" s="21"/>
      <c r="Z94" s="21"/>
    </row>
    <row r="95" spans="1:26" ht="14.25" x14ac:dyDescent="0.2">
      <c r="T95" s="151"/>
      <c r="U95" s="152"/>
      <c r="V95" s="21"/>
      <c r="W95" s="21"/>
      <c r="X95" s="21"/>
      <c r="Y95" s="21"/>
      <c r="Z95" s="21"/>
    </row>
    <row r="96" spans="1:26" ht="14.25" x14ac:dyDescent="0.2">
      <c r="T96" s="151"/>
      <c r="U96" s="152"/>
      <c r="V96" s="21"/>
      <c r="W96" s="21"/>
      <c r="X96" s="21"/>
      <c r="Y96" s="21"/>
      <c r="Z96" s="21"/>
    </row>
    <row r="97" spans="1:26" ht="14.25" x14ac:dyDescent="0.2">
      <c r="T97" s="151"/>
      <c r="U97" s="152"/>
      <c r="V97" s="21"/>
      <c r="W97" s="21"/>
      <c r="X97" s="21"/>
      <c r="Y97" s="21"/>
      <c r="Z97" s="21"/>
    </row>
    <row r="98" spans="1:26" ht="14.25" x14ac:dyDescent="0.2">
      <c r="A98" s="23"/>
      <c r="B98" s="23"/>
      <c r="C98" s="23"/>
      <c r="D98" s="23"/>
      <c r="T98" s="151"/>
      <c r="U98" s="152"/>
      <c r="V98" s="21"/>
      <c r="W98" s="21"/>
      <c r="X98" s="21"/>
      <c r="Y98" s="21"/>
      <c r="Z98" s="21"/>
    </row>
    <row r="99" spans="1:26" ht="14.25" x14ac:dyDescent="0.2">
      <c r="A99" s="23"/>
      <c r="B99" s="23"/>
      <c r="C99" s="23"/>
      <c r="D99" s="23"/>
      <c r="T99" s="151"/>
      <c r="U99" s="152"/>
      <c r="V99" s="21"/>
      <c r="W99" s="21"/>
      <c r="X99" s="21"/>
      <c r="Y99" s="21"/>
      <c r="Z99" s="21"/>
    </row>
    <row r="100" spans="1:26" ht="14.25" x14ac:dyDescent="0.2">
      <c r="A100" s="23"/>
      <c r="B100" s="23"/>
      <c r="C100" s="23"/>
      <c r="D100" s="23"/>
      <c r="T100" s="151"/>
      <c r="U100" s="152"/>
      <c r="V100" s="21"/>
      <c r="W100" s="21"/>
      <c r="X100" s="21"/>
      <c r="Y100" s="21"/>
      <c r="Z100" s="21"/>
    </row>
    <row r="101" spans="1:26" ht="14.25" x14ac:dyDescent="0.2">
      <c r="A101" s="23"/>
      <c r="B101" s="23"/>
      <c r="C101" s="23"/>
      <c r="D101" s="23"/>
      <c r="T101" s="151"/>
      <c r="U101" s="152"/>
      <c r="V101" s="21"/>
      <c r="W101" s="21"/>
      <c r="X101" s="21"/>
      <c r="Y101" s="21"/>
      <c r="Z101" s="21"/>
    </row>
    <row r="102" spans="1:26" ht="14.25" x14ac:dyDescent="0.2">
      <c r="A102" s="23"/>
      <c r="B102" s="23"/>
      <c r="C102" s="23"/>
      <c r="D102" s="23"/>
      <c r="T102" s="151"/>
      <c r="U102" s="152"/>
      <c r="V102" s="21"/>
      <c r="W102" s="21"/>
      <c r="X102" s="21"/>
      <c r="Y102" s="21"/>
      <c r="Z102" s="21"/>
    </row>
    <row r="103" spans="1:26" ht="14.25" x14ac:dyDescent="0.2">
      <c r="A103" s="23"/>
      <c r="B103" s="23"/>
      <c r="C103" s="23"/>
      <c r="D103" s="23"/>
      <c r="T103" s="151"/>
      <c r="U103" s="152"/>
      <c r="V103" s="21"/>
      <c r="W103" s="21"/>
      <c r="X103" s="21"/>
      <c r="Y103" s="21"/>
      <c r="Z103" s="21"/>
    </row>
    <row r="104" spans="1:26" ht="14.25" x14ac:dyDescent="0.2">
      <c r="A104" s="23"/>
      <c r="B104" s="23"/>
      <c r="C104" s="23"/>
      <c r="D104" s="23"/>
      <c r="T104" s="151"/>
      <c r="U104" s="152"/>
      <c r="V104" s="21"/>
      <c r="W104" s="21"/>
      <c r="X104" s="21"/>
      <c r="Y104" s="21"/>
      <c r="Z104" s="21"/>
    </row>
    <row r="105" spans="1:26" ht="14.25" x14ac:dyDescent="0.2">
      <c r="A105" s="23"/>
      <c r="B105" s="23"/>
      <c r="C105" s="23"/>
      <c r="D105" s="23"/>
      <c r="T105" s="151"/>
      <c r="U105" s="152"/>
      <c r="V105" s="21"/>
      <c r="W105" s="21"/>
      <c r="X105" s="21"/>
      <c r="Y105" s="21"/>
      <c r="Z105" s="21"/>
    </row>
    <row r="106" spans="1:26" ht="14.25" x14ac:dyDescent="0.2">
      <c r="A106" s="23"/>
      <c r="B106" s="23"/>
      <c r="C106" s="23"/>
      <c r="D106" s="23"/>
      <c r="T106" s="151"/>
      <c r="U106" s="152"/>
      <c r="V106" s="21"/>
      <c r="W106" s="21"/>
      <c r="X106" s="21"/>
      <c r="Y106" s="21"/>
      <c r="Z106" s="21"/>
    </row>
    <row r="107" spans="1:26" ht="14.25" x14ac:dyDescent="0.2">
      <c r="A107" s="23"/>
      <c r="B107" s="23"/>
      <c r="C107" s="23"/>
      <c r="D107" s="23"/>
      <c r="T107" s="151"/>
      <c r="U107" s="152"/>
      <c r="V107" s="21"/>
      <c r="W107" s="21"/>
      <c r="X107" s="21"/>
      <c r="Y107" s="21"/>
      <c r="Z107" s="21"/>
    </row>
    <row r="108" spans="1:26" ht="14.25" x14ac:dyDescent="0.2">
      <c r="A108" s="23"/>
      <c r="B108" s="23"/>
      <c r="C108" s="23"/>
      <c r="D108" s="23"/>
      <c r="T108" s="151"/>
      <c r="U108" s="152"/>
      <c r="V108" s="21"/>
      <c r="W108" s="21"/>
      <c r="X108" s="21"/>
      <c r="Y108" s="21"/>
      <c r="Z108" s="21"/>
    </row>
    <row r="109" spans="1:26" ht="14.25" x14ac:dyDescent="0.2">
      <c r="A109" s="23"/>
      <c r="B109" s="23"/>
      <c r="C109" s="23"/>
      <c r="D109" s="23"/>
      <c r="T109" s="151"/>
      <c r="U109" s="152"/>
      <c r="V109" s="21"/>
      <c r="W109" s="21"/>
      <c r="X109" s="21"/>
      <c r="Y109" s="21"/>
      <c r="Z109" s="21"/>
    </row>
    <row r="110" spans="1:26" ht="14.25" x14ac:dyDescent="0.2">
      <c r="A110" s="23"/>
      <c r="B110" s="23"/>
      <c r="C110" s="23"/>
      <c r="D110" s="23"/>
      <c r="T110" s="151"/>
      <c r="U110" s="152"/>
      <c r="V110" s="21"/>
      <c r="W110" s="21"/>
      <c r="X110" s="21"/>
      <c r="Y110" s="21"/>
      <c r="Z110" s="21"/>
    </row>
    <row r="111" spans="1:26" ht="14.25" x14ac:dyDescent="0.2">
      <c r="A111" s="23"/>
      <c r="B111" s="23"/>
      <c r="C111" s="23"/>
      <c r="D111" s="23"/>
      <c r="T111" s="151"/>
      <c r="U111" s="152"/>
      <c r="V111" s="21"/>
      <c r="W111" s="21"/>
      <c r="X111" s="21"/>
      <c r="Y111" s="21"/>
      <c r="Z111" s="21"/>
    </row>
    <row r="112" spans="1:26" ht="13.5" x14ac:dyDescent="0.2">
      <c r="A112" s="24"/>
      <c r="B112" s="24"/>
      <c r="T112" s="153"/>
      <c r="V112" s="21"/>
      <c r="W112" s="21"/>
      <c r="X112" s="21"/>
      <c r="Y112" s="21"/>
      <c r="Z112" s="21"/>
    </row>
    <row r="126" spans="1:1" ht="16.899999999999999" customHeight="1" x14ac:dyDescent="0.2">
      <c r="A126" s="25"/>
    </row>
    <row r="127" spans="1:1" ht="12" customHeight="1" x14ac:dyDescent="0.2">
      <c r="A127" s="4"/>
    </row>
    <row r="128" spans="1:1" ht="13.15" customHeight="1" x14ac:dyDescent="0.2"/>
    <row r="129" spans="1:26" ht="13.15" customHeight="1" x14ac:dyDescent="0.2"/>
    <row r="130" spans="1:26" ht="13.15" customHeight="1" x14ac:dyDescent="0.2"/>
    <row r="131" spans="1:26" s="149" customFormat="1" ht="13.15" customHeight="1" x14ac:dyDescent="0.2">
      <c r="A131" s="1"/>
      <c r="B131" s="1"/>
      <c r="C131" s="1"/>
      <c r="D131" s="1"/>
      <c r="E131" s="1"/>
      <c r="F131" s="1"/>
      <c r="G131" s="1"/>
      <c r="H131" s="1"/>
      <c r="P131" s="1"/>
      <c r="Q131" s="1"/>
      <c r="T131" s="150"/>
      <c r="U131" s="150"/>
      <c r="V131" s="1"/>
      <c r="W131" s="1"/>
      <c r="X131" s="1"/>
      <c r="Y131" s="1"/>
      <c r="Z131" s="1"/>
    </row>
    <row r="132" spans="1:26" s="149" customFormat="1" ht="13.15" customHeight="1" x14ac:dyDescent="0.2">
      <c r="A132" s="1"/>
      <c r="B132" s="1"/>
      <c r="C132" s="1"/>
      <c r="D132" s="1"/>
      <c r="E132" s="1"/>
      <c r="F132" s="1"/>
      <c r="G132" s="1"/>
      <c r="H132" s="1"/>
      <c r="P132" s="1"/>
      <c r="Q132" s="1"/>
      <c r="T132" s="150"/>
      <c r="U132" s="150"/>
      <c r="V132" s="1"/>
      <c r="W132" s="1"/>
      <c r="X132" s="1"/>
      <c r="Y132" s="1"/>
      <c r="Z132" s="1"/>
    </row>
    <row r="133" spans="1:26" s="149" customFormat="1" ht="13.15" customHeight="1" x14ac:dyDescent="0.2">
      <c r="A133" s="1"/>
      <c r="B133" s="1"/>
      <c r="C133" s="1"/>
      <c r="D133" s="1"/>
      <c r="E133" s="1"/>
      <c r="F133" s="1"/>
      <c r="G133" s="1"/>
      <c r="H133" s="1"/>
      <c r="P133" s="1"/>
      <c r="Q133" s="1"/>
      <c r="T133" s="150"/>
      <c r="U133" s="150"/>
      <c r="V133" s="1"/>
      <c r="W133" s="1"/>
      <c r="X133" s="1"/>
      <c r="Y133" s="1"/>
      <c r="Z133" s="1"/>
    </row>
    <row r="134" spans="1:26" s="149" customFormat="1" ht="12" customHeight="1" x14ac:dyDescent="0.2">
      <c r="A134" s="1"/>
      <c r="B134" s="1"/>
      <c r="C134" s="1"/>
      <c r="D134" s="1"/>
      <c r="E134" s="1"/>
      <c r="F134" s="1"/>
      <c r="G134" s="1"/>
      <c r="H134" s="1"/>
      <c r="P134" s="1"/>
      <c r="Q134" s="1"/>
      <c r="T134" s="150"/>
      <c r="U134" s="150"/>
      <c r="V134" s="1"/>
      <c r="W134" s="1"/>
      <c r="X134" s="1"/>
      <c r="Y134" s="1"/>
      <c r="Z134" s="1"/>
    </row>
    <row r="135" spans="1:26" s="149" customFormat="1" ht="12" customHeight="1" x14ac:dyDescent="0.2">
      <c r="A135" s="1"/>
      <c r="B135" s="1"/>
      <c r="C135" s="1"/>
      <c r="D135" s="1"/>
      <c r="E135" s="1"/>
      <c r="F135" s="1"/>
      <c r="G135" s="1"/>
      <c r="H135" s="1"/>
      <c r="P135" s="1"/>
      <c r="Q135" s="1"/>
      <c r="T135" s="150"/>
      <c r="U135" s="150"/>
      <c r="V135" s="1"/>
      <c r="W135" s="1"/>
      <c r="X135" s="1"/>
      <c r="Y135" s="1"/>
      <c r="Z135" s="1"/>
    </row>
    <row r="136" spans="1:26" s="149" customFormat="1" ht="15" customHeight="1" x14ac:dyDescent="0.2">
      <c r="A136" s="1"/>
      <c r="B136" s="1"/>
      <c r="C136" s="1"/>
      <c r="D136" s="1"/>
      <c r="E136" s="1"/>
      <c r="F136" s="1"/>
      <c r="G136" s="1"/>
      <c r="H136" s="1"/>
      <c r="P136" s="1"/>
      <c r="Q136" s="1"/>
      <c r="T136" s="150"/>
      <c r="U136" s="150"/>
      <c r="V136" s="1"/>
      <c r="W136" s="1"/>
      <c r="X136" s="1"/>
      <c r="Y136" s="1"/>
      <c r="Z136" s="1"/>
    </row>
    <row r="137" spans="1:26" s="149" customFormat="1" ht="15" customHeight="1" x14ac:dyDescent="0.2">
      <c r="A137" s="1"/>
      <c r="B137" s="1"/>
      <c r="C137" s="1"/>
      <c r="D137" s="1"/>
      <c r="E137" s="1"/>
      <c r="F137" s="1"/>
      <c r="G137" s="1"/>
      <c r="H137" s="1"/>
      <c r="P137" s="1"/>
      <c r="Q137" s="1"/>
      <c r="T137" s="150"/>
      <c r="U137" s="150"/>
      <c r="V137" s="1"/>
      <c r="W137" s="1"/>
      <c r="X137" s="1"/>
      <c r="Y137" s="1"/>
      <c r="Z137" s="1"/>
    </row>
  </sheetData>
  <sheetProtection sheet="1" formatCells="0" formatColumns="0" formatRows="0"/>
  <phoneticPr fontId="4"/>
  <pageMargins left="0.7" right="0.7" top="0.75" bottom="0.75" header="0.3" footer="0.3"/>
  <pageSetup paperSize="9"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DAFD6-17ED-444B-A34A-CD5737B97166}">
  <dimension ref="A1:Y120"/>
  <sheetViews>
    <sheetView zoomScale="130" zoomScaleNormal="130" workbookViewId="0">
      <selection activeCell="X52" sqref="X52:Y66"/>
    </sheetView>
  </sheetViews>
  <sheetFormatPr defaultColWidth="9.33203125" defaultRowHeight="12.75" x14ac:dyDescent="0.2"/>
  <cols>
    <col min="1" max="1" width="12.83203125" style="117" customWidth="1"/>
    <col min="2" max="2" width="9.33203125" style="117"/>
    <col min="3" max="8" width="11.5" style="117" customWidth="1"/>
    <col min="9" max="19" width="10.1640625" style="117" customWidth="1"/>
    <col min="20" max="20" width="10.1640625" style="117" bestFit="1" customWidth="1"/>
    <col min="21" max="21" width="10.6640625" style="117" bestFit="1" customWidth="1"/>
    <col min="22" max="16384" width="9.33203125" style="117"/>
  </cols>
  <sheetData>
    <row r="1" spans="1:25" s="1" customFormat="1" ht="20.25" x14ac:dyDescent="0.2">
      <c r="A1" s="96" t="s">
        <v>72</v>
      </c>
      <c r="B1" s="97"/>
      <c r="C1" s="97"/>
      <c r="D1" s="97"/>
      <c r="E1" s="97"/>
      <c r="F1" s="97"/>
      <c r="G1" s="97"/>
      <c r="H1" s="97"/>
      <c r="I1" s="113"/>
      <c r="J1" s="154" t="s">
        <v>130</v>
      </c>
      <c r="K1" s="210">
        <v>10</v>
      </c>
      <c r="L1" s="154" t="s">
        <v>129</v>
      </c>
      <c r="M1" s="113"/>
      <c r="N1" s="113" t="s">
        <v>1059</v>
      </c>
      <c r="O1" s="113"/>
      <c r="R1" s="113"/>
      <c r="S1" s="113"/>
      <c r="T1" s="146"/>
      <c r="U1" s="146"/>
    </row>
    <row r="2" spans="1:25" s="1" customFormat="1" x14ac:dyDescent="0.2">
      <c r="A2" s="99" t="s">
        <v>310</v>
      </c>
      <c r="B2" s="97"/>
      <c r="C2" s="97"/>
      <c r="D2" s="97"/>
      <c r="E2" s="97"/>
      <c r="F2" s="97"/>
      <c r="G2" s="97"/>
      <c r="H2" s="97"/>
      <c r="I2" s="113"/>
      <c r="J2" s="154" t="s">
        <v>4</v>
      </c>
      <c r="K2" s="210">
        <v>1</v>
      </c>
      <c r="L2" s="154" t="s">
        <v>129</v>
      </c>
      <c r="M2" s="113"/>
      <c r="N2" s="113" t="s">
        <v>79</v>
      </c>
      <c r="O2" s="113"/>
      <c r="R2" s="113"/>
      <c r="S2" s="113"/>
      <c r="T2" s="146"/>
      <c r="U2" s="146"/>
    </row>
    <row r="3" spans="1:25" s="1" customFormat="1" x14ac:dyDescent="0.2">
      <c r="A3" s="97"/>
      <c r="B3" s="97"/>
      <c r="C3" s="97"/>
      <c r="D3" s="97"/>
      <c r="E3" s="97"/>
      <c r="F3" s="97"/>
      <c r="G3" s="97"/>
      <c r="H3" s="97"/>
      <c r="I3" s="113"/>
      <c r="J3" s="113"/>
      <c r="K3" s="113"/>
      <c r="L3" s="113"/>
      <c r="M3" s="113"/>
      <c r="N3" s="113" t="s">
        <v>311</v>
      </c>
      <c r="O3" s="113"/>
      <c r="R3" s="113"/>
      <c r="S3" s="113"/>
      <c r="T3" s="146"/>
      <c r="U3" s="146"/>
    </row>
    <row r="4" spans="1:25" s="1" customFormat="1" x14ac:dyDescent="0.2">
      <c r="A4" s="100"/>
      <c r="B4" s="97"/>
      <c r="C4" s="97"/>
      <c r="D4" s="97"/>
      <c r="E4" s="97"/>
      <c r="F4" s="97"/>
      <c r="G4" s="97"/>
      <c r="H4" s="97"/>
      <c r="I4" s="113"/>
      <c r="J4" s="113"/>
      <c r="K4" s="113"/>
      <c r="L4" s="113"/>
      <c r="M4" s="113"/>
      <c r="N4" s="113"/>
      <c r="O4" s="113"/>
      <c r="R4" s="113"/>
      <c r="S4" s="113"/>
      <c r="T4" s="146"/>
      <c r="U4" s="146"/>
    </row>
    <row r="5" spans="1:25" s="1" customFormat="1" ht="20.25" x14ac:dyDescent="0.2">
      <c r="A5" s="101" t="s">
        <v>78</v>
      </c>
      <c r="B5" s="97"/>
      <c r="C5" s="97"/>
      <c r="D5" s="97"/>
      <c r="E5" s="97"/>
      <c r="F5" s="97"/>
      <c r="G5" s="97"/>
      <c r="H5" s="97"/>
      <c r="I5" s="113"/>
      <c r="J5" s="113"/>
      <c r="K5" s="113"/>
      <c r="L5" s="113"/>
      <c r="M5" s="113"/>
      <c r="N5" s="113"/>
      <c r="O5" s="113"/>
      <c r="R5" s="113"/>
      <c r="S5" s="113"/>
      <c r="T5" s="146"/>
      <c r="U5" s="146"/>
    </row>
    <row r="6" spans="1:25" s="2" customFormat="1" x14ac:dyDescent="0.2">
      <c r="A6" s="226" t="s">
        <v>220</v>
      </c>
      <c r="B6" s="99"/>
      <c r="C6" s="99"/>
      <c r="D6" s="99"/>
      <c r="E6" s="99"/>
      <c r="F6" s="99"/>
      <c r="G6" s="99"/>
      <c r="H6" s="99"/>
      <c r="I6" s="113"/>
      <c r="J6" s="113"/>
      <c r="K6" s="113"/>
      <c r="L6" s="113"/>
      <c r="M6" s="113"/>
      <c r="N6" s="113"/>
      <c r="O6" s="113"/>
      <c r="R6" s="113"/>
      <c r="S6" s="113"/>
      <c r="T6" s="146"/>
      <c r="U6" s="146"/>
    </row>
    <row r="7" spans="1:25" s="2" customFormat="1" x14ac:dyDescent="0.2">
      <c r="A7" s="226" t="s">
        <v>221</v>
      </c>
      <c r="B7" s="99"/>
      <c r="C7" s="99"/>
      <c r="D7" s="99"/>
      <c r="E7" s="99"/>
      <c r="F7" s="99"/>
      <c r="G7" s="99"/>
      <c r="H7" s="99"/>
      <c r="I7" s="113"/>
      <c r="J7" s="113"/>
      <c r="K7" s="113"/>
      <c r="L7" s="113"/>
      <c r="M7" s="113"/>
      <c r="N7" s="113"/>
      <c r="O7" s="113"/>
      <c r="R7" s="113"/>
      <c r="S7" s="113"/>
      <c r="T7" s="146"/>
      <c r="U7" s="146"/>
    </row>
    <row r="8" spans="1:25" s="2" customFormat="1" x14ac:dyDescent="0.2">
      <c r="A8" s="99"/>
      <c r="B8" s="99"/>
      <c r="C8" s="99"/>
      <c r="D8" s="99"/>
      <c r="E8" s="99"/>
      <c r="F8" s="99"/>
      <c r="G8" s="99"/>
      <c r="H8" s="99"/>
      <c r="I8" s="113"/>
      <c r="J8" s="113"/>
      <c r="K8" s="113"/>
      <c r="L8" s="113"/>
      <c r="M8" s="113"/>
      <c r="N8" s="113"/>
      <c r="O8" s="113"/>
      <c r="R8" s="113"/>
      <c r="S8" s="113"/>
      <c r="T8" s="146"/>
      <c r="U8" s="146"/>
    </row>
    <row r="9" spans="1:25" s="2" customFormat="1" x14ac:dyDescent="0.2">
      <c r="A9" s="113"/>
      <c r="B9" s="99"/>
      <c r="C9" s="99"/>
      <c r="D9" s="99"/>
      <c r="E9" s="99"/>
      <c r="F9" s="99"/>
      <c r="G9" s="99"/>
      <c r="H9" s="99"/>
      <c r="I9" s="113"/>
      <c r="J9" s="113"/>
      <c r="K9" s="113"/>
      <c r="L9" s="113"/>
      <c r="M9" s="113"/>
      <c r="N9" s="113"/>
      <c r="O9" s="113"/>
      <c r="R9" s="113"/>
      <c r="S9" s="113"/>
      <c r="T9" s="146"/>
      <c r="U9" s="146"/>
    </row>
    <row r="10" spans="1:25" x14ac:dyDescent="0.2">
      <c r="N10" s="113"/>
      <c r="O10" s="113"/>
      <c r="P10" s="1"/>
      <c r="Q10" s="1"/>
      <c r="R10" s="113"/>
      <c r="S10" s="113"/>
    </row>
    <row r="11" spans="1:25" x14ac:dyDescent="0.2">
      <c r="N11" s="113"/>
      <c r="O11" s="113"/>
      <c r="P11" s="1"/>
      <c r="Q11" s="1"/>
      <c r="R11" s="113"/>
      <c r="S11" s="113"/>
    </row>
    <row r="12" spans="1:25" x14ac:dyDescent="0.2">
      <c r="N12" s="113"/>
      <c r="O12" s="113"/>
      <c r="P12" s="1"/>
      <c r="Q12" s="1"/>
      <c r="R12" s="113"/>
      <c r="S12" s="113"/>
    </row>
    <row r="13" spans="1:25" x14ac:dyDescent="0.2">
      <c r="N13" s="113"/>
      <c r="O13" s="113"/>
      <c r="P13" s="1"/>
      <c r="Q13" s="1"/>
      <c r="R13" s="113"/>
      <c r="S13" s="113"/>
    </row>
    <row r="14" spans="1:25" x14ac:dyDescent="0.2">
      <c r="N14" s="113"/>
      <c r="O14" s="113"/>
      <c r="P14" s="1"/>
      <c r="Q14" s="1"/>
      <c r="R14" s="113"/>
      <c r="S14" s="113"/>
    </row>
    <row r="15" spans="1:25" x14ac:dyDescent="0.2">
      <c r="A15" s="117" t="s">
        <v>222</v>
      </c>
      <c r="N15" s="113"/>
      <c r="O15" s="113"/>
      <c r="P15" s="1"/>
      <c r="Q15" s="1"/>
      <c r="R15" s="113"/>
      <c r="S15" s="113"/>
    </row>
    <row r="16" spans="1:25" s="1" customFormat="1" ht="76.5" x14ac:dyDescent="0.2">
      <c r="A16" s="211" t="s">
        <v>0</v>
      </c>
      <c r="B16" s="212" t="s">
        <v>1</v>
      </c>
      <c r="C16" s="212" t="s">
        <v>133</v>
      </c>
      <c r="D16" s="212" t="s">
        <v>134</v>
      </c>
      <c r="E16" s="212" t="s">
        <v>135</v>
      </c>
      <c r="F16" s="212" t="s">
        <v>136</v>
      </c>
      <c r="G16" s="212" t="s">
        <v>137</v>
      </c>
      <c r="H16" s="212" t="s">
        <v>138</v>
      </c>
      <c r="I16" s="104" t="s">
        <v>8</v>
      </c>
      <c r="J16" s="104" t="s">
        <v>9</v>
      </c>
      <c r="K16" s="104" t="s">
        <v>107</v>
      </c>
      <c r="L16" s="104" t="s">
        <v>14</v>
      </c>
      <c r="M16" s="104" t="s">
        <v>12</v>
      </c>
      <c r="N16" s="104" t="s">
        <v>1058</v>
      </c>
      <c r="O16" s="104" t="s">
        <v>100</v>
      </c>
      <c r="P16" s="6" t="s">
        <v>105</v>
      </c>
      <c r="Q16" s="6" t="s">
        <v>106</v>
      </c>
      <c r="R16" s="104" t="s">
        <v>1051</v>
      </c>
      <c r="S16" s="104" t="s">
        <v>1052</v>
      </c>
      <c r="T16" s="147" t="s">
        <v>80</v>
      </c>
      <c r="U16" s="147" t="s">
        <v>81</v>
      </c>
      <c r="V16" s="5" t="s">
        <v>101</v>
      </c>
      <c r="W16" s="5" t="s">
        <v>102</v>
      </c>
      <c r="X16" s="112" t="s">
        <v>103</v>
      </c>
      <c r="Y16" s="112" t="s">
        <v>104</v>
      </c>
    </row>
    <row r="17" spans="1:25" s="1" customFormat="1" x14ac:dyDescent="0.2">
      <c r="A17" s="213" t="str">
        <f>A71</f>
        <v>GUM</v>
      </c>
      <c r="B17" s="213" t="str">
        <f>B71</f>
        <v>D298392</v>
      </c>
      <c r="C17" s="214">
        <f>C71</f>
        <v>379.66399999999999</v>
      </c>
      <c r="D17" s="214">
        <f t="shared" ref="D17:G17" si="0">D71</f>
        <v>4.3999999999999997E-2</v>
      </c>
      <c r="E17" s="214">
        <f t="shared" si="0"/>
        <v>380.1</v>
      </c>
      <c r="F17" s="214">
        <f t="shared" si="0"/>
        <v>2.2000000000000002</v>
      </c>
      <c r="G17" s="214">
        <f t="shared" si="0"/>
        <v>0.436</v>
      </c>
      <c r="H17" s="214">
        <f>I71</f>
        <v>4.4009999999999998</v>
      </c>
      <c r="I17" s="155">
        <f t="shared" ref="I17:I24" si="1">IF(ABS(G17)&gt;ABS(H17), 1, 0)</f>
        <v>0</v>
      </c>
      <c r="J17" s="155">
        <f t="shared" ref="J17:J24" si="2">I17*ABS(C17-E17)</f>
        <v>0</v>
      </c>
      <c r="K17" s="155">
        <f t="shared" ref="K17:K24" si="3">SQRT(SUMSQ(F17,J17))*2</f>
        <v>4.4000000000000004</v>
      </c>
      <c r="L17" s="155">
        <f t="shared" ref="L17:L24" si="4">IF(C17&lt;$K$2, C17, $K$1)</f>
        <v>10</v>
      </c>
      <c r="M17" s="156">
        <f t="shared" ref="M17:M24" si="5">IF(AND(C17&lt;$K$1,C17&gt; $K$2), K17/L17*100, K17/C17*100)</f>
        <v>1.1589194656327702</v>
      </c>
      <c r="N17" s="157">
        <f t="shared" ref="N17" si="6">M17*L17/100</f>
        <v>0.11589194656327702</v>
      </c>
      <c r="O17" s="155">
        <f t="shared" ref="O17" si="7">N17/(M17*L17/100)*100</f>
        <v>100</v>
      </c>
      <c r="P17" s="250">
        <v>1</v>
      </c>
      <c r="Q17" s="250">
        <v>1000</v>
      </c>
      <c r="R17" s="148">
        <f>IF( IF(P17&lt;L17, M17*L17/P17, M17)&gt;100, "ERROR",  IF(P17&lt;L17, M17*L17/P17, M17))</f>
        <v>11.589194656327702</v>
      </c>
      <c r="S17" s="148">
        <f>IF(IF(Q17&lt;L17, M17*L17/Q17, M17)&gt;100, "ERROR", IF(Q17&lt;L17, M17*L17/Q17, M17))</f>
        <v>1.1589194656327702</v>
      </c>
      <c r="T17" s="148">
        <f>R17*P17*0.01</f>
        <v>0.11589194656327703</v>
      </c>
      <c r="U17" s="148">
        <f>S17*Q17*0.01</f>
        <v>11.589194656327702</v>
      </c>
      <c r="V17" s="7">
        <f>P17*1000</f>
        <v>1000</v>
      </c>
      <c r="W17" s="7">
        <f>Q17*1000</f>
        <v>1000000</v>
      </c>
      <c r="X17" s="1345">
        <f>T17*1000</f>
        <v>115.89194656327703</v>
      </c>
      <c r="Y17" s="1345">
        <f>U17*1000</f>
        <v>11589.194656327702</v>
      </c>
    </row>
    <row r="18" spans="1:25" s="1" customFormat="1" x14ac:dyDescent="0.2">
      <c r="A18" s="213" t="str">
        <f t="shared" ref="A18:B30" si="8">A72</f>
        <v>KRISS</v>
      </c>
      <c r="B18" s="213" t="str">
        <f t="shared" si="8"/>
        <v>D500642</v>
      </c>
      <c r="C18" s="214">
        <f t="shared" ref="C18:G18" si="9">C72</f>
        <v>378.82799999999997</v>
      </c>
      <c r="D18" s="214">
        <f t="shared" si="9"/>
        <v>5.5E-2</v>
      </c>
      <c r="E18" s="214">
        <f t="shared" si="9"/>
        <v>378.9</v>
      </c>
      <c r="F18" s="214">
        <f t="shared" si="9"/>
        <v>0.1</v>
      </c>
      <c r="G18" s="214">
        <f t="shared" si="9"/>
        <v>7.1999999999999995E-2</v>
      </c>
      <c r="H18" s="214">
        <f t="shared" ref="H18:H30" si="10">I72</f>
        <v>0.22800000000000001</v>
      </c>
      <c r="I18" s="155">
        <f t="shared" si="1"/>
        <v>0</v>
      </c>
      <c r="J18" s="155">
        <f t="shared" si="2"/>
        <v>0</v>
      </c>
      <c r="K18" s="155">
        <f t="shared" si="3"/>
        <v>0.2</v>
      </c>
      <c r="L18" s="155">
        <f t="shared" si="4"/>
        <v>10</v>
      </c>
      <c r="M18" s="156">
        <f t="shared" si="5"/>
        <v>5.2794408016302925E-2</v>
      </c>
      <c r="N18" s="157">
        <f t="shared" ref="N18:N24" si="11">M18*L18/100</f>
        <v>5.2794408016302932E-3</v>
      </c>
      <c r="O18" s="155">
        <f t="shared" ref="O18:O24" si="12">N18/(M18*L18/100)*100</f>
        <v>100</v>
      </c>
      <c r="P18" s="250">
        <v>1</v>
      </c>
      <c r="Q18" s="250">
        <v>1000</v>
      </c>
      <c r="R18" s="148">
        <f t="shared" ref="R18:R30" si="13">IF( IF(P18&lt;L18, M18*L18/P18, M18)&gt;100, "ERROR",  IF(P18&lt;L18, M18*L18/P18, M18))</f>
        <v>0.52794408016302929</v>
      </c>
      <c r="S18" s="148">
        <f t="shared" ref="S18:S30" si="14">IF(IF(Q18&lt;L18, M18*L18/Q18, M18)&gt;100, "ERROR", IF(Q18&lt;L18, M18*L18/Q18, M18))</f>
        <v>5.2794408016302925E-2</v>
      </c>
      <c r="T18" s="148">
        <f t="shared" ref="T18:U24" si="15">R18*P18*0.01</f>
        <v>5.2794408016302932E-3</v>
      </c>
      <c r="U18" s="148">
        <f t="shared" si="15"/>
        <v>0.52794408016302929</v>
      </c>
      <c r="V18" s="7">
        <f t="shared" ref="V18:W24" si="16">P18*1000</f>
        <v>1000</v>
      </c>
      <c r="W18" s="7">
        <f t="shared" si="16"/>
        <v>1000000</v>
      </c>
      <c r="X18" s="1345">
        <f t="shared" ref="X18:Y24" si="17">T18*1000</f>
        <v>5.2794408016302929</v>
      </c>
      <c r="Y18" s="1345">
        <f t="shared" si="17"/>
        <v>527.9440801630293</v>
      </c>
    </row>
    <row r="19" spans="1:25" s="1" customFormat="1" x14ac:dyDescent="0.2">
      <c r="A19" s="213" t="str">
        <f t="shared" si="8"/>
        <v>LNE</v>
      </c>
      <c r="B19" s="213">
        <f t="shared" si="8"/>
        <v>1029045</v>
      </c>
      <c r="C19" s="214">
        <f t="shared" ref="C19:G19" si="18">C73</f>
        <v>379.25299999999999</v>
      </c>
      <c r="D19" s="214">
        <f t="shared" si="18"/>
        <v>5.0999999999999997E-2</v>
      </c>
      <c r="E19" s="214">
        <f t="shared" si="18"/>
        <v>379.48</v>
      </c>
      <c r="F19" s="214">
        <f t="shared" si="18"/>
        <v>0.39500000000000002</v>
      </c>
      <c r="G19" s="214">
        <f t="shared" si="18"/>
        <v>0.22700000000000001</v>
      </c>
      <c r="H19" s="214">
        <f t="shared" si="10"/>
        <v>0.79600000000000004</v>
      </c>
      <c r="I19" s="155">
        <f t="shared" si="1"/>
        <v>0</v>
      </c>
      <c r="J19" s="155">
        <f t="shared" si="2"/>
        <v>0</v>
      </c>
      <c r="K19" s="155">
        <f t="shared" si="3"/>
        <v>0.79</v>
      </c>
      <c r="L19" s="155">
        <f t="shared" si="4"/>
        <v>10</v>
      </c>
      <c r="M19" s="156">
        <f t="shared" si="5"/>
        <v>0.20830421908330324</v>
      </c>
      <c r="N19" s="157">
        <f t="shared" si="11"/>
        <v>2.0830421908330322E-2</v>
      </c>
      <c r="O19" s="155">
        <f t="shared" si="12"/>
        <v>100</v>
      </c>
      <c r="P19" s="250">
        <v>1</v>
      </c>
      <c r="Q19" s="250">
        <v>1000</v>
      </c>
      <c r="R19" s="148">
        <f t="shared" si="13"/>
        <v>2.0830421908330323</v>
      </c>
      <c r="S19" s="148">
        <f t="shared" si="14"/>
        <v>0.20830421908330324</v>
      </c>
      <c r="T19" s="148">
        <f t="shared" si="15"/>
        <v>2.0830421908330322E-2</v>
      </c>
      <c r="U19" s="148">
        <f t="shared" si="15"/>
        <v>2.0830421908330328</v>
      </c>
      <c r="V19" s="7">
        <f t="shared" si="16"/>
        <v>1000</v>
      </c>
      <c r="W19" s="7">
        <f t="shared" si="16"/>
        <v>1000000</v>
      </c>
      <c r="X19" s="1345">
        <f t="shared" si="17"/>
        <v>20.830421908330322</v>
      </c>
      <c r="Y19" s="1345">
        <f t="shared" si="17"/>
        <v>2083.0421908330327</v>
      </c>
    </row>
    <row r="20" spans="1:25" s="1" customFormat="1" x14ac:dyDescent="0.2">
      <c r="A20" s="213" t="str">
        <f t="shared" si="8"/>
        <v>NIM</v>
      </c>
      <c r="B20" s="213" t="str">
        <f t="shared" si="8"/>
        <v>FB03747</v>
      </c>
      <c r="C20" s="214">
        <f t="shared" ref="C20:G20" si="19">C74</f>
        <v>383.45299999999997</v>
      </c>
      <c r="D20" s="214">
        <f t="shared" si="19"/>
        <v>5.1999999999999998E-2</v>
      </c>
      <c r="E20" s="214">
        <f t="shared" si="19"/>
        <v>383.43</v>
      </c>
      <c r="F20" s="214">
        <f t="shared" si="19"/>
        <v>0.1</v>
      </c>
      <c r="G20" s="214">
        <f t="shared" si="19"/>
        <v>-2.3E-2</v>
      </c>
      <c r="H20" s="214">
        <f t="shared" si="10"/>
        <v>0.22600000000000001</v>
      </c>
      <c r="I20" s="155">
        <f t="shared" si="1"/>
        <v>0</v>
      </c>
      <c r="J20" s="155">
        <f t="shared" si="2"/>
        <v>0</v>
      </c>
      <c r="K20" s="155">
        <f t="shared" si="3"/>
        <v>0.2</v>
      </c>
      <c r="L20" s="155">
        <f t="shared" si="4"/>
        <v>10</v>
      </c>
      <c r="M20" s="156">
        <f t="shared" si="5"/>
        <v>5.2157630791778917E-2</v>
      </c>
      <c r="N20" s="157">
        <f t="shared" si="11"/>
        <v>5.2157630791778917E-3</v>
      </c>
      <c r="O20" s="155">
        <f t="shared" si="12"/>
        <v>100</v>
      </c>
      <c r="P20" s="250">
        <v>1</v>
      </c>
      <c r="Q20" s="250">
        <v>1000</v>
      </c>
      <c r="R20" s="148">
        <f t="shared" si="13"/>
        <v>0.52157630791778919</v>
      </c>
      <c r="S20" s="148">
        <f t="shared" si="14"/>
        <v>5.2157630791778917E-2</v>
      </c>
      <c r="T20" s="148">
        <f t="shared" si="15"/>
        <v>5.2157630791778917E-3</v>
      </c>
      <c r="U20" s="148">
        <f t="shared" si="15"/>
        <v>0.52157630791778919</v>
      </c>
      <c r="V20" s="7">
        <f t="shared" si="16"/>
        <v>1000</v>
      </c>
      <c r="W20" s="7">
        <f t="shared" si="16"/>
        <v>1000000</v>
      </c>
      <c r="X20" s="1345">
        <f t="shared" si="17"/>
        <v>5.2157630791778917</v>
      </c>
      <c r="Y20" s="1345">
        <f t="shared" si="17"/>
        <v>521.57630791778922</v>
      </c>
    </row>
    <row r="21" spans="1:25" s="1" customFormat="1" x14ac:dyDescent="0.2">
      <c r="A21" s="213" t="str">
        <f t="shared" si="8"/>
        <v>NMIJ</v>
      </c>
      <c r="B21" s="213" t="str">
        <f t="shared" si="8"/>
        <v>CPC00486</v>
      </c>
      <c r="C21" s="214">
        <f t="shared" ref="C21:G21" si="20">C75</f>
        <v>386.59699999999998</v>
      </c>
      <c r="D21" s="214">
        <f t="shared" si="20"/>
        <v>8.7999999999999995E-2</v>
      </c>
      <c r="E21" s="214">
        <f t="shared" si="20"/>
        <v>386.61700000000002</v>
      </c>
      <c r="F21" s="214">
        <f t="shared" si="20"/>
        <v>2.5000000000000001E-2</v>
      </c>
      <c r="G21" s="214">
        <f t="shared" si="20"/>
        <v>0.02</v>
      </c>
      <c r="H21" s="214">
        <f t="shared" si="10"/>
        <v>0.182</v>
      </c>
      <c r="I21" s="155">
        <f t="shared" si="1"/>
        <v>0</v>
      </c>
      <c r="J21" s="155">
        <f t="shared" si="2"/>
        <v>0</v>
      </c>
      <c r="K21" s="155">
        <f t="shared" si="3"/>
        <v>0.05</v>
      </c>
      <c r="L21" s="155">
        <f t="shared" si="4"/>
        <v>10</v>
      </c>
      <c r="M21" s="156">
        <f t="shared" si="5"/>
        <v>1.2933364718298385E-2</v>
      </c>
      <c r="N21" s="157">
        <f t="shared" si="11"/>
        <v>1.2933364718298384E-3</v>
      </c>
      <c r="O21" s="155">
        <f t="shared" si="12"/>
        <v>100</v>
      </c>
      <c r="P21" s="250">
        <v>1</v>
      </c>
      <c r="Q21" s="250">
        <v>1000</v>
      </c>
      <c r="R21" s="148">
        <f t="shared" si="13"/>
        <v>0.12933364718298385</v>
      </c>
      <c r="S21" s="148">
        <f t="shared" si="14"/>
        <v>1.2933364718298385E-2</v>
      </c>
      <c r="T21" s="148">
        <f t="shared" si="15"/>
        <v>1.2933364718298384E-3</v>
      </c>
      <c r="U21" s="148">
        <f t="shared" si="15"/>
        <v>0.12933364718298385</v>
      </c>
      <c r="V21" s="7">
        <f t="shared" si="16"/>
        <v>1000</v>
      </c>
      <c r="W21" s="7">
        <f t="shared" si="16"/>
        <v>1000000</v>
      </c>
      <c r="X21" s="1345">
        <f t="shared" si="17"/>
        <v>1.2933364718298384</v>
      </c>
      <c r="Y21" s="1345">
        <f t="shared" si="17"/>
        <v>129.33364718298384</v>
      </c>
    </row>
    <row r="22" spans="1:25" s="1" customFormat="1" x14ac:dyDescent="0.2">
      <c r="A22" s="213" t="str">
        <f t="shared" si="8"/>
        <v>NMISA</v>
      </c>
      <c r="B22" s="213" t="str">
        <f t="shared" si="8"/>
        <v>M51 8232</v>
      </c>
      <c r="C22" s="214">
        <f t="shared" ref="C22:G22" si="21">C76</f>
        <v>379.74299999999999</v>
      </c>
      <c r="D22" s="214">
        <f t="shared" si="21"/>
        <v>0.05</v>
      </c>
      <c r="E22" s="214">
        <f t="shared" si="21"/>
        <v>380.2</v>
      </c>
      <c r="F22" s="214">
        <f t="shared" si="21"/>
        <v>1</v>
      </c>
      <c r="G22" s="214">
        <f t="shared" si="21"/>
        <v>0.45700000000000002</v>
      </c>
      <c r="H22" s="214">
        <f t="shared" si="10"/>
        <v>2.0019999999999998</v>
      </c>
      <c r="I22" s="155">
        <f t="shared" si="1"/>
        <v>0</v>
      </c>
      <c r="J22" s="155">
        <f t="shared" si="2"/>
        <v>0</v>
      </c>
      <c r="K22" s="155">
        <f t="shared" si="3"/>
        <v>2</v>
      </c>
      <c r="L22" s="155">
        <f t="shared" si="4"/>
        <v>10</v>
      </c>
      <c r="M22" s="156">
        <f t="shared" si="5"/>
        <v>0.52667198605372578</v>
      </c>
      <c r="N22" s="157">
        <f t="shared" si="11"/>
        <v>5.2667198605372577E-2</v>
      </c>
      <c r="O22" s="155">
        <f t="shared" si="12"/>
        <v>100</v>
      </c>
      <c r="P22" s="250">
        <v>1</v>
      </c>
      <c r="Q22" s="250">
        <v>1000</v>
      </c>
      <c r="R22" s="148">
        <f t="shared" si="13"/>
        <v>5.2667198605372576</v>
      </c>
      <c r="S22" s="148">
        <f t="shared" si="14"/>
        <v>0.52667198605372578</v>
      </c>
      <c r="T22" s="148">
        <f t="shared" si="15"/>
        <v>5.2667198605372577E-2</v>
      </c>
      <c r="U22" s="148">
        <f t="shared" si="15"/>
        <v>5.2667198605372576</v>
      </c>
      <c r="V22" s="7">
        <f t="shared" si="16"/>
        <v>1000</v>
      </c>
      <c r="W22" s="7">
        <f t="shared" si="16"/>
        <v>1000000</v>
      </c>
      <c r="X22" s="1345">
        <f t="shared" si="17"/>
        <v>52.667198605372576</v>
      </c>
      <c r="Y22" s="1345">
        <f t="shared" si="17"/>
        <v>5266.7198605372578</v>
      </c>
    </row>
    <row r="23" spans="1:25" s="1" customFormat="1" x14ac:dyDescent="0.2">
      <c r="A23" s="213" t="str">
        <f t="shared" si="8"/>
        <v>NOAA</v>
      </c>
      <c r="B23" s="213" t="str">
        <f t="shared" si="8"/>
        <v>CC310084</v>
      </c>
      <c r="C23" s="214">
        <f t="shared" ref="C23:G23" si="22">C77</f>
        <v>379.51100000000002</v>
      </c>
      <c r="D23" s="214">
        <f t="shared" si="22"/>
        <v>4.5999999999999999E-2</v>
      </c>
      <c r="E23" s="214">
        <f t="shared" si="22"/>
        <v>379.5</v>
      </c>
      <c r="F23" s="214">
        <f t="shared" si="22"/>
        <v>0.105</v>
      </c>
      <c r="G23" s="214">
        <f t="shared" si="22"/>
        <v>-1.0999999999999999E-2</v>
      </c>
      <c r="H23" s="214">
        <f t="shared" si="10"/>
        <v>0.22900000000000001</v>
      </c>
      <c r="I23" s="155">
        <f t="shared" si="1"/>
        <v>0</v>
      </c>
      <c r="J23" s="155">
        <f t="shared" si="2"/>
        <v>0</v>
      </c>
      <c r="K23" s="155">
        <f t="shared" si="3"/>
        <v>0.21</v>
      </c>
      <c r="L23" s="155">
        <f t="shared" si="4"/>
        <v>10</v>
      </c>
      <c r="M23" s="156">
        <f t="shared" si="5"/>
        <v>5.5334364484823893E-2</v>
      </c>
      <c r="N23" s="157">
        <f t="shared" si="11"/>
        <v>5.5334364484823893E-3</v>
      </c>
      <c r="O23" s="155">
        <f t="shared" si="12"/>
        <v>100</v>
      </c>
      <c r="P23" s="250">
        <v>1</v>
      </c>
      <c r="Q23" s="250">
        <v>1000</v>
      </c>
      <c r="R23" s="148">
        <f t="shared" si="13"/>
        <v>0.55334364484823895</v>
      </c>
      <c r="S23" s="148">
        <f t="shared" si="14"/>
        <v>5.5334364484823893E-2</v>
      </c>
      <c r="T23" s="148">
        <f t="shared" si="15"/>
        <v>5.5334364484823893E-3</v>
      </c>
      <c r="U23" s="148">
        <f t="shared" si="15"/>
        <v>0.55334364484823895</v>
      </c>
      <c r="V23" s="7">
        <f t="shared" si="16"/>
        <v>1000</v>
      </c>
      <c r="W23" s="7">
        <f t="shared" si="16"/>
        <v>1000000</v>
      </c>
      <c r="X23" s="1345">
        <f t="shared" si="17"/>
        <v>5.533436448482389</v>
      </c>
      <c r="Y23" s="1345">
        <f t="shared" si="17"/>
        <v>553.34364484823891</v>
      </c>
    </row>
    <row r="24" spans="1:25" s="1" customFormat="1" x14ac:dyDescent="0.2">
      <c r="A24" s="213" t="str">
        <f t="shared" si="8"/>
        <v>NPL</v>
      </c>
      <c r="B24" s="213">
        <f t="shared" si="8"/>
        <v>2179</v>
      </c>
      <c r="C24" s="214">
        <f t="shared" ref="C24:G24" si="23">C78</f>
        <v>380.26900000000001</v>
      </c>
      <c r="D24" s="214">
        <f t="shared" si="23"/>
        <v>4.1000000000000002E-2</v>
      </c>
      <c r="E24" s="214">
        <f t="shared" si="23"/>
        <v>380.27</v>
      </c>
      <c r="F24" s="214">
        <f t="shared" si="23"/>
        <v>9.5000000000000001E-2</v>
      </c>
      <c r="G24" s="214">
        <f t="shared" si="23"/>
        <v>1E-3</v>
      </c>
      <c r="H24" s="214">
        <f t="shared" si="10"/>
        <v>0.20699999999999999</v>
      </c>
      <c r="I24" s="155">
        <f t="shared" si="1"/>
        <v>0</v>
      </c>
      <c r="J24" s="155">
        <f t="shared" si="2"/>
        <v>0</v>
      </c>
      <c r="K24" s="155">
        <f t="shared" si="3"/>
        <v>0.19</v>
      </c>
      <c r="L24" s="155">
        <f t="shared" si="4"/>
        <v>10</v>
      </c>
      <c r="M24" s="156">
        <f t="shared" si="5"/>
        <v>4.9964630301181534E-2</v>
      </c>
      <c r="N24" s="157">
        <f t="shared" si="11"/>
        <v>4.9964630301181532E-3</v>
      </c>
      <c r="O24" s="155">
        <f t="shared" si="12"/>
        <v>100</v>
      </c>
      <c r="P24" s="250">
        <v>1</v>
      </c>
      <c r="Q24" s="250">
        <v>1000</v>
      </c>
      <c r="R24" s="148">
        <f t="shared" si="13"/>
        <v>0.49964630301181534</v>
      </c>
      <c r="S24" s="148">
        <f t="shared" si="14"/>
        <v>4.9964630301181534E-2</v>
      </c>
      <c r="T24" s="148">
        <f t="shared" si="15"/>
        <v>4.9964630301181532E-3</v>
      </c>
      <c r="U24" s="148">
        <f t="shared" si="15"/>
        <v>0.4996463030118154</v>
      </c>
      <c r="V24" s="7">
        <f t="shared" si="16"/>
        <v>1000</v>
      </c>
      <c r="W24" s="7">
        <f t="shared" si="16"/>
        <v>1000000</v>
      </c>
      <c r="X24" s="1345">
        <f t="shared" si="17"/>
        <v>4.9964630301181536</v>
      </c>
      <c r="Y24" s="1345">
        <f t="shared" si="17"/>
        <v>499.64630301181541</v>
      </c>
    </row>
    <row r="25" spans="1:25" s="1" customFormat="1" x14ac:dyDescent="0.2">
      <c r="A25" s="213" t="str">
        <f t="shared" si="8"/>
        <v>VNIIM</v>
      </c>
      <c r="B25" s="213" t="str">
        <f t="shared" si="8"/>
        <v>M365601</v>
      </c>
      <c r="C25" s="214">
        <f t="shared" ref="C25:G25" si="24">C79</f>
        <v>380.18200000000002</v>
      </c>
      <c r="D25" s="214">
        <f t="shared" si="24"/>
        <v>4.2000000000000003E-2</v>
      </c>
      <c r="E25" s="214">
        <f t="shared" si="24"/>
        <v>380.2</v>
      </c>
      <c r="F25" s="214">
        <f t="shared" si="24"/>
        <v>5.5E-2</v>
      </c>
      <c r="G25" s="214">
        <f t="shared" si="24"/>
        <v>1.7999999999999999E-2</v>
      </c>
      <c r="H25" s="214">
        <f t="shared" si="10"/>
        <v>0.13800000000000001</v>
      </c>
      <c r="I25" s="155">
        <f t="shared" ref="I25:I30" si="25">IF(ABS(G25)&gt;ABS(H25), 1, 0)</f>
        <v>0</v>
      </c>
      <c r="J25" s="155">
        <f t="shared" ref="J25:J30" si="26">I25*ABS(C25-E25)</f>
        <v>0</v>
      </c>
      <c r="K25" s="155">
        <f t="shared" ref="K25:K30" si="27">SQRT(SUMSQ(F25,J25))*2</f>
        <v>0.11</v>
      </c>
      <c r="L25" s="155">
        <f t="shared" ref="L25:L30" si="28">IF(C25&lt;$K$2, C25, $K$1)</f>
        <v>10</v>
      </c>
      <c r="M25" s="156">
        <f t="shared" ref="M25:M30" si="29">IF(AND(C25&lt;$K$1,C25&gt; $K$2), K25/L25*100, K25/C25*100)</f>
        <v>2.8933510792199524E-2</v>
      </c>
      <c r="N25" s="157">
        <f t="shared" ref="N25:N30" si="30">M25*L25/100</f>
        <v>2.8933510792199524E-3</v>
      </c>
      <c r="O25" s="155">
        <f t="shared" ref="O25:O30" si="31">N25/(M25*L25/100)*100</f>
        <v>100</v>
      </c>
      <c r="P25" s="250">
        <v>1</v>
      </c>
      <c r="Q25" s="250">
        <v>1000</v>
      </c>
      <c r="R25" s="148">
        <f t="shared" si="13"/>
        <v>0.28933510792199524</v>
      </c>
      <c r="S25" s="148">
        <f t="shared" si="14"/>
        <v>2.8933510792199524E-2</v>
      </c>
      <c r="T25" s="148">
        <f t="shared" ref="T25:T30" si="32">R25*P25*0.01</f>
        <v>2.8933510792199524E-3</v>
      </c>
      <c r="U25" s="148">
        <f t="shared" ref="U25:U30" si="33">S25*Q25*0.01</f>
        <v>0.28933510792199524</v>
      </c>
      <c r="V25" s="7">
        <f t="shared" ref="V25:V30" si="34">P25*1000</f>
        <v>1000</v>
      </c>
      <c r="W25" s="7">
        <f t="shared" ref="W25:W30" si="35">Q25*1000</f>
        <v>1000000</v>
      </c>
      <c r="X25" s="1345">
        <f t="shared" ref="X25:X30" si="36">T25*1000</f>
        <v>2.8933510792199524</v>
      </c>
      <c r="Y25" s="1345">
        <f t="shared" ref="Y25:Y30" si="37">U25*1000</f>
        <v>289.33510792199525</v>
      </c>
    </row>
    <row r="26" spans="1:25" s="1" customFormat="1" x14ac:dyDescent="0.2">
      <c r="A26" s="213" t="str">
        <f t="shared" si="8"/>
        <v>VSL</v>
      </c>
      <c r="B26" s="213">
        <f t="shared" si="8"/>
        <v>5604614</v>
      </c>
      <c r="C26" s="214">
        <f t="shared" ref="C26:G26" si="38">C80</f>
        <v>378.93700000000001</v>
      </c>
      <c r="D26" s="214">
        <f t="shared" si="38"/>
        <v>5.0999999999999997E-2</v>
      </c>
      <c r="E26" s="214">
        <f t="shared" si="38"/>
        <v>378.9</v>
      </c>
      <c r="F26" s="214">
        <f t="shared" si="38"/>
        <v>0.14000000000000001</v>
      </c>
      <c r="G26" s="214">
        <f t="shared" si="38"/>
        <v>-3.6999999999999998E-2</v>
      </c>
      <c r="H26" s="214">
        <f t="shared" si="10"/>
        <v>0.29799999999999999</v>
      </c>
      <c r="I26" s="155">
        <f t="shared" si="25"/>
        <v>0</v>
      </c>
      <c r="J26" s="155">
        <f t="shared" si="26"/>
        <v>0</v>
      </c>
      <c r="K26" s="155">
        <f t="shared" si="27"/>
        <v>0.28000000000000003</v>
      </c>
      <c r="L26" s="155">
        <f t="shared" si="28"/>
        <v>10</v>
      </c>
      <c r="M26" s="156">
        <f t="shared" si="29"/>
        <v>7.3890910626304637E-2</v>
      </c>
      <c r="N26" s="157">
        <f t="shared" si="30"/>
        <v>7.3890910626304637E-3</v>
      </c>
      <c r="O26" s="155">
        <f t="shared" si="31"/>
        <v>100</v>
      </c>
      <c r="P26" s="250">
        <v>1</v>
      </c>
      <c r="Q26" s="250">
        <v>1000</v>
      </c>
      <c r="R26" s="148">
        <f t="shared" si="13"/>
        <v>0.7389091062630464</v>
      </c>
      <c r="S26" s="148">
        <f t="shared" si="14"/>
        <v>7.3890910626304637E-2</v>
      </c>
      <c r="T26" s="148">
        <f t="shared" si="32"/>
        <v>7.3890910626304637E-3</v>
      </c>
      <c r="U26" s="148">
        <f t="shared" si="33"/>
        <v>0.73890910626304629</v>
      </c>
      <c r="V26" s="7">
        <f t="shared" si="34"/>
        <v>1000</v>
      </c>
      <c r="W26" s="7">
        <f t="shared" si="35"/>
        <v>1000000</v>
      </c>
      <c r="X26" s="1345">
        <f t="shared" si="36"/>
        <v>7.389091062630464</v>
      </c>
      <c r="Y26" s="1345">
        <f t="shared" si="37"/>
        <v>738.90910626304628</v>
      </c>
    </row>
    <row r="27" spans="1:25" s="1" customFormat="1" x14ac:dyDescent="0.2">
      <c r="A27" s="213" t="str">
        <f t="shared" si="8"/>
        <v>UME</v>
      </c>
      <c r="B27" s="213" t="str">
        <f t="shared" si="8"/>
        <v>PSM298266</v>
      </c>
      <c r="C27" s="214">
        <f t="shared" ref="C27:G27" si="39">C81</f>
        <v>380.017</v>
      </c>
      <c r="D27" s="214">
        <f t="shared" si="39"/>
        <v>7.0999999999999994E-2</v>
      </c>
      <c r="E27" s="214">
        <f t="shared" si="39"/>
        <v>379.92</v>
      </c>
      <c r="F27" s="214">
        <f t="shared" si="39"/>
        <v>9.5000000000000001E-2</v>
      </c>
      <c r="G27" s="214">
        <f t="shared" si="39"/>
        <v>-9.7000000000000003E-2</v>
      </c>
      <c r="H27" s="214">
        <f t="shared" si="10"/>
        <v>0.23699999999999999</v>
      </c>
      <c r="I27" s="155">
        <f t="shared" si="25"/>
        <v>0</v>
      </c>
      <c r="J27" s="155">
        <f t="shared" si="26"/>
        <v>0</v>
      </c>
      <c r="K27" s="155">
        <f t="shared" si="27"/>
        <v>0.19</v>
      </c>
      <c r="L27" s="155">
        <f t="shared" si="28"/>
        <v>10</v>
      </c>
      <c r="M27" s="156">
        <f t="shared" si="29"/>
        <v>4.9997763257959515E-2</v>
      </c>
      <c r="N27" s="157">
        <f t="shared" si="30"/>
        <v>4.9997763257959519E-3</v>
      </c>
      <c r="O27" s="155">
        <f t="shared" si="31"/>
        <v>100</v>
      </c>
      <c r="P27" s="250">
        <v>1</v>
      </c>
      <c r="Q27" s="250">
        <v>1000</v>
      </c>
      <c r="R27" s="148">
        <f t="shared" si="13"/>
        <v>0.49997763257959515</v>
      </c>
      <c r="S27" s="148">
        <f t="shared" si="14"/>
        <v>4.9997763257959515E-2</v>
      </c>
      <c r="T27" s="148">
        <f t="shared" si="32"/>
        <v>4.9997763257959519E-3</v>
      </c>
      <c r="U27" s="148">
        <f t="shared" si="33"/>
        <v>0.49997763257959515</v>
      </c>
      <c r="V27" s="7">
        <f t="shared" si="34"/>
        <v>1000</v>
      </c>
      <c r="W27" s="7">
        <f t="shared" si="35"/>
        <v>1000000</v>
      </c>
      <c r="X27" s="1345">
        <f t="shared" si="36"/>
        <v>4.9997763257959518</v>
      </c>
      <c r="Y27" s="1345">
        <f t="shared" si="37"/>
        <v>499.97763257959514</v>
      </c>
    </row>
    <row r="28" spans="1:25" x14ac:dyDescent="0.2">
      <c r="A28" s="213" t="str">
        <f t="shared" si="8"/>
        <v>BFKH</v>
      </c>
      <c r="B28" s="213" t="str">
        <f t="shared" si="8"/>
        <v>OMH54</v>
      </c>
      <c r="C28" s="214">
        <f t="shared" ref="C28:G28" si="40">C82</f>
        <v>374.88400000000001</v>
      </c>
      <c r="D28" s="214">
        <f t="shared" si="40"/>
        <v>9.9000000000000005E-2</v>
      </c>
      <c r="E28" s="214">
        <f t="shared" si="40"/>
        <v>379.8</v>
      </c>
      <c r="F28" s="214">
        <f t="shared" si="40"/>
        <v>0.85</v>
      </c>
      <c r="G28" s="214">
        <f t="shared" si="40"/>
        <v>4.9160000000000004</v>
      </c>
      <c r="H28" s="214">
        <f t="shared" si="10"/>
        <v>1.7110000000000001</v>
      </c>
      <c r="I28" s="155">
        <f t="shared" si="25"/>
        <v>1</v>
      </c>
      <c r="J28" s="155">
        <f t="shared" si="26"/>
        <v>4.9159999999999968</v>
      </c>
      <c r="K28" s="155">
        <f t="shared" si="27"/>
        <v>9.9778867502091781</v>
      </c>
      <c r="L28" s="155">
        <f t="shared" si="28"/>
        <v>10</v>
      </c>
      <c r="M28" s="156">
        <f t="shared" si="29"/>
        <v>2.6615931195274212</v>
      </c>
      <c r="N28" s="157">
        <f t="shared" si="30"/>
        <v>0.26615931195274212</v>
      </c>
      <c r="O28" s="155">
        <f t="shared" si="31"/>
        <v>100</v>
      </c>
      <c r="P28" s="250">
        <v>1</v>
      </c>
      <c r="Q28" s="250">
        <v>1000</v>
      </c>
      <c r="R28" s="148">
        <f t="shared" si="13"/>
        <v>26.615931195274211</v>
      </c>
      <c r="S28" s="148">
        <f t="shared" si="14"/>
        <v>2.6615931195274212</v>
      </c>
      <c r="T28" s="148">
        <f t="shared" si="32"/>
        <v>0.26615931195274212</v>
      </c>
      <c r="U28" s="148">
        <f t="shared" si="33"/>
        <v>26.615931195274211</v>
      </c>
      <c r="V28" s="7">
        <f t="shared" si="34"/>
        <v>1000</v>
      </c>
      <c r="W28" s="7">
        <f t="shared" si="35"/>
        <v>1000000</v>
      </c>
      <c r="X28" s="1345">
        <f t="shared" si="36"/>
        <v>266.15931195274214</v>
      </c>
      <c r="Y28" s="1345">
        <f t="shared" si="37"/>
        <v>26615.93119527421</v>
      </c>
    </row>
    <row r="29" spans="1:25" x14ac:dyDescent="0.2">
      <c r="A29" s="213" t="str">
        <f t="shared" si="8"/>
        <v>NIST</v>
      </c>
      <c r="B29" s="213" t="str">
        <f t="shared" si="8"/>
        <v>FB04278</v>
      </c>
      <c r="C29" s="214">
        <f t="shared" ref="C29:G29" si="41">C83</f>
        <v>380.08800000000002</v>
      </c>
      <c r="D29" s="214">
        <f t="shared" si="41"/>
        <v>4.2000000000000003E-2</v>
      </c>
      <c r="E29" s="214">
        <f t="shared" si="41"/>
        <v>379.04500000000002</v>
      </c>
      <c r="F29" s="214">
        <f t="shared" si="41"/>
        <v>0.19500000000000001</v>
      </c>
      <c r="G29" s="214">
        <f t="shared" si="41"/>
        <v>-1.044</v>
      </c>
      <c r="H29" s="214">
        <f t="shared" si="10"/>
        <v>0.4</v>
      </c>
      <c r="I29" s="155">
        <f t="shared" si="25"/>
        <v>1</v>
      </c>
      <c r="J29" s="155">
        <f t="shared" si="26"/>
        <v>1.0430000000000064</v>
      </c>
      <c r="K29" s="155">
        <f t="shared" si="27"/>
        <v>2.1221441986820908</v>
      </c>
      <c r="L29" s="155">
        <f t="shared" si="28"/>
        <v>10</v>
      </c>
      <c r="M29" s="156">
        <f t="shared" si="29"/>
        <v>0.55832970224845058</v>
      </c>
      <c r="N29" s="157">
        <f t="shared" si="30"/>
        <v>5.5832970224845055E-2</v>
      </c>
      <c r="O29" s="155">
        <f t="shared" si="31"/>
        <v>100</v>
      </c>
      <c r="P29" s="250">
        <v>1</v>
      </c>
      <c r="Q29" s="250">
        <v>1000</v>
      </c>
      <c r="R29" s="148">
        <f t="shared" si="13"/>
        <v>5.5832970224845058</v>
      </c>
      <c r="S29" s="148">
        <f t="shared" si="14"/>
        <v>0.55832970224845058</v>
      </c>
      <c r="T29" s="148">
        <f t="shared" si="32"/>
        <v>5.5832970224845062E-2</v>
      </c>
      <c r="U29" s="148">
        <f t="shared" si="33"/>
        <v>5.5832970224845058</v>
      </c>
      <c r="V29" s="7">
        <f t="shared" si="34"/>
        <v>1000</v>
      </c>
      <c r="W29" s="7">
        <f t="shared" si="35"/>
        <v>1000000</v>
      </c>
      <c r="X29" s="1345">
        <f t="shared" si="36"/>
        <v>55.832970224845063</v>
      </c>
      <c r="Y29" s="1345">
        <f t="shared" si="37"/>
        <v>5583.2970224845058</v>
      </c>
    </row>
    <row r="30" spans="1:25" x14ac:dyDescent="0.2">
      <c r="A30" s="213" t="str">
        <f t="shared" si="8"/>
        <v>NPLI</v>
      </c>
      <c r="B30" s="213" t="str">
        <f t="shared" si="8"/>
        <v>JJ108891</v>
      </c>
      <c r="C30" s="214">
        <f t="shared" ref="C30:G30" si="42">C84</f>
        <v>374.57600000000002</v>
      </c>
      <c r="D30" s="214">
        <f t="shared" si="42"/>
        <v>0.108</v>
      </c>
      <c r="E30" s="214">
        <f t="shared" si="42"/>
        <v>375.72</v>
      </c>
      <c r="F30" s="214">
        <f t="shared" si="42"/>
        <v>1.61</v>
      </c>
      <c r="G30" s="214">
        <f t="shared" si="42"/>
        <v>1.1439999999999999</v>
      </c>
      <c r="H30" s="214">
        <f t="shared" si="10"/>
        <v>3.2269999999999999</v>
      </c>
      <c r="I30" s="155">
        <f t="shared" si="25"/>
        <v>0</v>
      </c>
      <c r="J30" s="155">
        <f t="shared" si="26"/>
        <v>0</v>
      </c>
      <c r="K30" s="155">
        <f t="shared" si="27"/>
        <v>3.22</v>
      </c>
      <c r="L30" s="155">
        <f t="shared" si="28"/>
        <v>10</v>
      </c>
      <c r="M30" s="156">
        <f t="shared" si="29"/>
        <v>0.85963863141258379</v>
      </c>
      <c r="N30" s="157">
        <f t="shared" si="30"/>
        <v>8.5963863141258368E-2</v>
      </c>
      <c r="O30" s="155">
        <f t="shared" si="31"/>
        <v>100</v>
      </c>
      <c r="P30" s="250">
        <v>1</v>
      </c>
      <c r="Q30" s="250">
        <v>1000</v>
      </c>
      <c r="R30" s="148">
        <f t="shared" si="13"/>
        <v>8.5963863141258372</v>
      </c>
      <c r="S30" s="148">
        <f t="shared" si="14"/>
        <v>0.85963863141258379</v>
      </c>
      <c r="T30" s="148">
        <f t="shared" si="32"/>
        <v>8.5963863141258368E-2</v>
      </c>
      <c r="U30" s="148">
        <f t="shared" si="33"/>
        <v>8.5963863141258372</v>
      </c>
      <c r="V30" s="7">
        <f t="shared" si="34"/>
        <v>1000</v>
      </c>
      <c r="W30" s="7">
        <f t="shared" si="35"/>
        <v>1000000</v>
      </c>
      <c r="X30" s="1345">
        <f t="shared" si="36"/>
        <v>85.963863141258372</v>
      </c>
      <c r="Y30" s="1345">
        <f t="shared" si="37"/>
        <v>8596.3863141258371</v>
      </c>
    </row>
    <row r="31" spans="1:25" x14ac:dyDescent="0.2">
      <c r="A31" s="311"/>
      <c r="B31" s="311"/>
      <c r="C31" s="312"/>
      <c r="D31" s="312"/>
      <c r="E31" s="312"/>
      <c r="F31" s="312"/>
      <c r="G31" s="312"/>
      <c r="H31" s="312"/>
      <c r="I31" s="311"/>
    </row>
    <row r="32" spans="1:25" x14ac:dyDescent="0.2">
      <c r="A32" s="117" t="s">
        <v>223</v>
      </c>
      <c r="B32" s="313"/>
      <c r="C32" s="314"/>
      <c r="D32" s="314"/>
      <c r="E32" s="314"/>
      <c r="F32" s="314"/>
      <c r="G32" s="314"/>
      <c r="H32" s="314"/>
    </row>
    <row r="33" spans="1:25" s="1" customFormat="1" ht="76.5" x14ac:dyDescent="0.2">
      <c r="A33" s="211" t="s">
        <v>0</v>
      </c>
      <c r="B33" s="212" t="s">
        <v>1</v>
      </c>
      <c r="C33" s="212" t="s">
        <v>133</v>
      </c>
      <c r="D33" s="212" t="s">
        <v>134</v>
      </c>
      <c r="E33" s="212" t="s">
        <v>135</v>
      </c>
      <c r="F33" s="212" t="s">
        <v>136</v>
      </c>
      <c r="G33" s="212" t="s">
        <v>137</v>
      </c>
      <c r="H33" s="212" t="s">
        <v>138</v>
      </c>
      <c r="I33" s="104" t="s">
        <v>8</v>
      </c>
      <c r="J33" s="104" t="s">
        <v>9</v>
      </c>
      <c r="K33" s="104" t="s">
        <v>107</v>
      </c>
      <c r="L33" s="104" t="s">
        <v>14</v>
      </c>
      <c r="M33" s="104" t="s">
        <v>12</v>
      </c>
      <c r="N33" s="104" t="s">
        <v>1058</v>
      </c>
      <c r="O33" s="104" t="s">
        <v>100</v>
      </c>
      <c r="P33" s="6" t="s">
        <v>105</v>
      </c>
      <c r="Q33" s="6" t="s">
        <v>106</v>
      </c>
      <c r="R33" s="104" t="s">
        <v>70</v>
      </c>
      <c r="S33" s="104" t="s">
        <v>71</v>
      </c>
      <c r="T33" s="147" t="s">
        <v>80</v>
      </c>
      <c r="U33" s="147" t="s">
        <v>81</v>
      </c>
      <c r="V33" s="5" t="s">
        <v>101</v>
      </c>
      <c r="W33" s="5" t="s">
        <v>102</v>
      </c>
      <c r="X33" s="112" t="s">
        <v>103</v>
      </c>
      <c r="Y33" s="112" t="s">
        <v>104</v>
      </c>
    </row>
    <row r="34" spans="1:25" s="1" customFormat="1" x14ac:dyDescent="0.2">
      <c r="A34" s="213" t="str">
        <f>A88</f>
        <v>GUM</v>
      </c>
      <c r="B34" s="213" t="str">
        <f>B88</f>
        <v>D298393</v>
      </c>
      <c r="C34" s="214">
        <f>C88</f>
        <v>477.70600000000002</v>
      </c>
      <c r="D34" s="214">
        <f t="shared" ref="D34:G34" si="43">D88</f>
        <v>5.0999999999999997E-2</v>
      </c>
      <c r="E34" s="214">
        <f t="shared" si="43"/>
        <v>478.1</v>
      </c>
      <c r="F34" s="214">
        <f t="shared" si="43"/>
        <v>2.6</v>
      </c>
      <c r="G34" s="214">
        <f t="shared" si="43"/>
        <v>0.39400000000000002</v>
      </c>
      <c r="H34" s="214">
        <f>I88</f>
        <v>5.2009999999999996</v>
      </c>
      <c r="I34" s="155">
        <f t="shared" ref="I34:I47" si="44">IF(ABS(G34)&gt;ABS(H34), 1, 0)</f>
        <v>0</v>
      </c>
      <c r="J34" s="155">
        <f t="shared" ref="J34:J47" si="45">I34*ABS(C34-E34)</f>
        <v>0</v>
      </c>
      <c r="K34" s="155">
        <f t="shared" ref="K34:K47" si="46">SQRT(SUMSQ(F34,J34))*2</f>
        <v>5.2</v>
      </c>
      <c r="L34" s="155">
        <f t="shared" ref="L34:L47" si="47">IF(C34&lt;$K$2, C34, $K$1)</f>
        <v>10</v>
      </c>
      <c r="M34" s="156">
        <f t="shared" ref="M34:M47" si="48">IF(AND(C34&lt;$K$1,C34&gt; $K$2), K34/L34*100, K34/C34*100)</f>
        <v>1.0885356265150532</v>
      </c>
      <c r="N34" s="157">
        <f t="shared" ref="N34:N47" si="49">M34*L34/100</f>
        <v>0.10885356265150532</v>
      </c>
      <c r="O34" s="155">
        <f t="shared" ref="O34:O47" si="50">N34/(M34*L34/100)*100</f>
        <v>100</v>
      </c>
      <c r="P34" s="250">
        <v>1</v>
      </c>
      <c r="Q34" s="250">
        <v>1000</v>
      </c>
      <c r="R34" s="148">
        <f>IF( IF(P34&lt;L34, M34*L34/P34, M34)&gt;100, "ERROR",  IF(P34&lt;L34, M34*L34/P34, M34))</f>
        <v>10.885356265150532</v>
      </c>
      <c r="S34" s="148">
        <f>IF(IF(Q34&lt;L34, M34*L34/Q34, M34)&gt;100, "ERROR", IF(Q34&lt;L34, M34*L34/Q34, M34))</f>
        <v>1.0885356265150532</v>
      </c>
      <c r="T34" s="148">
        <f>R34*P34*0.01</f>
        <v>0.10885356265150532</v>
      </c>
      <c r="U34" s="148">
        <f>S34*Q34*0.01</f>
        <v>10.885356265150532</v>
      </c>
      <c r="V34" s="7">
        <f>P34*1000</f>
        <v>1000</v>
      </c>
      <c r="W34" s="7">
        <f>Q34*1000</f>
        <v>1000000</v>
      </c>
      <c r="X34" s="1345">
        <f>T34*1000</f>
        <v>108.85356265150533</v>
      </c>
      <c r="Y34" s="1345">
        <f>U34*1000</f>
        <v>10885.356265150533</v>
      </c>
    </row>
    <row r="35" spans="1:25" s="1" customFormat="1" x14ac:dyDescent="0.2">
      <c r="A35" s="213" t="str">
        <f t="shared" ref="A35:G35" si="51">A89</f>
        <v>INRIM</v>
      </c>
      <c r="B35" s="213" t="str">
        <f t="shared" si="51"/>
        <v>D247440</v>
      </c>
      <c r="C35" s="214">
        <f t="shared" si="51"/>
        <v>479.00700000000001</v>
      </c>
      <c r="D35" s="214">
        <f t="shared" si="51"/>
        <v>0.17299999999999999</v>
      </c>
      <c r="E35" s="214">
        <f t="shared" si="51"/>
        <v>479.3</v>
      </c>
      <c r="F35" s="214">
        <f t="shared" si="51"/>
        <v>0.8</v>
      </c>
      <c r="G35" s="214">
        <f t="shared" si="51"/>
        <v>0.29299999999999998</v>
      </c>
      <c r="H35" s="214">
        <f t="shared" ref="H35:H48" si="52">I89</f>
        <v>1.637</v>
      </c>
      <c r="I35" s="155">
        <f t="shared" si="44"/>
        <v>0</v>
      </c>
      <c r="J35" s="155">
        <f t="shared" si="45"/>
        <v>0</v>
      </c>
      <c r="K35" s="155">
        <f t="shared" si="46"/>
        <v>1.6</v>
      </c>
      <c r="L35" s="155">
        <f t="shared" si="47"/>
        <v>10</v>
      </c>
      <c r="M35" s="156">
        <f t="shared" si="48"/>
        <v>0.33402434619953364</v>
      </c>
      <c r="N35" s="157">
        <f t="shared" si="49"/>
        <v>3.3402434619953361E-2</v>
      </c>
      <c r="O35" s="155">
        <f t="shared" si="50"/>
        <v>100</v>
      </c>
      <c r="P35" s="250">
        <v>1</v>
      </c>
      <c r="Q35" s="250">
        <v>1000</v>
      </c>
      <c r="R35" s="148">
        <f t="shared" ref="R35:R47" si="53">IF( IF(P35&lt;L35, M35*L35/P35, M35)&gt;100, "ERROR",  IF(P35&lt;L35, M35*L35/P35, M35))</f>
        <v>3.3402434619953363</v>
      </c>
      <c r="S35" s="148">
        <f t="shared" ref="S35:S47" si="54">IF(IF(Q35&lt;L35, M35*L35/Q35, M35)&gt;100, "ERROR", IF(Q35&lt;L35, M35*L35/Q35, M35))</f>
        <v>0.33402434619953364</v>
      </c>
      <c r="T35" s="148">
        <f t="shared" ref="T35:T47" si="55">R35*P35*0.01</f>
        <v>3.3402434619953361E-2</v>
      </c>
      <c r="U35" s="148">
        <f t="shared" ref="U35:U47" si="56">S35*Q35*0.01</f>
        <v>3.3402434619953363</v>
      </c>
      <c r="V35" s="7">
        <f t="shared" ref="V35:V47" si="57">P35*1000</f>
        <v>1000</v>
      </c>
      <c r="W35" s="7">
        <f t="shared" ref="W35:W47" si="58">Q35*1000</f>
        <v>1000000</v>
      </c>
      <c r="X35" s="1345">
        <f t="shared" ref="X35:X47" si="59">T35*1000</f>
        <v>33.402434619953361</v>
      </c>
      <c r="Y35" s="1345">
        <f t="shared" ref="Y35:Y47" si="60">U35*1000</f>
        <v>3340.2434619953365</v>
      </c>
    </row>
    <row r="36" spans="1:25" s="1" customFormat="1" x14ac:dyDescent="0.2">
      <c r="A36" s="213" t="str">
        <f t="shared" ref="A36:G36" si="61">A90</f>
        <v>KRISS</v>
      </c>
      <c r="B36" s="213" t="str">
        <f t="shared" si="61"/>
        <v>D500647</v>
      </c>
      <c r="C36" s="214">
        <f t="shared" si="61"/>
        <v>479.851</v>
      </c>
      <c r="D36" s="214">
        <f t="shared" si="61"/>
        <v>5.1999999999999998E-2</v>
      </c>
      <c r="E36" s="214">
        <f t="shared" si="61"/>
        <v>480</v>
      </c>
      <c r="F36" s="214">
        <f t="shared" si="61"/>
        <v>0.1</v>
      </c>
      <c r="G36" s="214">
        <f t="shared" si="61"/>
        <v>0.14899999999999999</v>
      </c>
      <c r="H36" s="214">
        <f t="shared" si="52"/>
        <v>0.22500000000000001</v>
      </c>
      <c r="I36" s="155">
        <f t="shared" si="44"/>
        <v>0</v>
      </c>
      <c r="J36" s="155">
        <f t="shared" si="45"/>
        <v>0</v>
      </c>
      <c r="K36" s="155">
        <f t="shared" si="46"/>
        <v>0.2</v>
      </c>
      <c r="L36" s="155">
        <f t="shared" si="47"/>
        <v>10</v>
      </c>
      <c r="M36" s="156">
        <f t="shared" si="48"/>
        <v>4.1679604710628926E-2</v>
      </c>
      <c r="N36" s="157">
        <f t="shared" si="49"/>
        <v>4.1679604710628928E-3</v>
      </c>
      <c r="O36" s="155">
        <f t="shared" si="50"/>
        <v>100</v>
      </c>
      <c r="P36" s="250">
        <v>1</v>
      </c>
      <c r="Q36" s="250">
        <v>1000</v>
      </c>
      <c r="R36" s="148">
        <f t="shared" si="53"/>
        <v>0.41679604710628926</v>
      </c>
      <c r="S36" s="148">
        <f t="shared" si="54"/>
        <v>4.1679604710628926E-2</v>
      </c>
      <c r="T36" s="148">
        <f t="shared" si="55"/>
        <v>4.1679604710628928E-3</v>
      </c>
      <c r="U36" s="148">
        <f t="shared" si="56"/>
        <v>0.41679604710628926</v>
      </c>
      <c r="V36" s="7">
        <f t="shared" si="57"/>
        <v>1000</v>
      </c>
      <c r="W36" s="7">
        <f t="shared" si="58"/>
        <v>1000000</v>
      </c>
      <c r="X36" s="1345">
        <f t="shared" si="59"/>
        <v>4.1679604710628926</v>
      </c>
      <c r="Y36" s="1345">
        <f t="shared" si="60"/>
        <v>416.79604710628928</v>
      </c>
    </row>
    <row r="37" spans="1:25" s="1" customFormat="1" x14ac:dyDescent="0.2">
      <c r="A37" s="213" t="str">
        <f t="shared" ref="A37:G37" si="62">A91</f>
        <v>LNE</v>
      </c>
      <c r="B37" s="213">
        <f t="shared" si="62"/>
        <v>1029047</v>
      </c>
      <c r="C37" s="214">
        <f t="shared" si="62"/>
        <v>477.39699999999999</v>
      </c>
      <c r="D37" s="214">
        <f t="shared" si="62"/>
        <v>6.0999999999999999E-2</v>
      </c>
      <c r="E37" s="214">
        <f t="shared" si="62"/>
        <v>477.6</v>
      </c>
      <c r="F37" s="214">
        <f t="shared" si="62"/>
        <v>0.5</v>
      </c>
      <c r="G37" s="214">
        <f t="shared" si="62"/>
        <v>0.20300000000000001</v>
      </c>
      <c r="H37" s="214">
        <f t="shared" si="52"/>
        <v>1.0069999999999999</v>
      </c>
      <c r="I37" s="155">
        <f t="shared" si="44"/>
        <v>0</v>
      </c>
      <c r="J37" s="155">
        <f t="shared" si="45"/>
        <v>0</v>
      </c>
      <c r="K37" s="155">
        <f t="shared" si="46"/>
        <v>1</v>
      </c>
      <c r="L37" s="155">
        <f t="shared" si="47"/>
        <v>10</v>
      </c>
      <c r="M37" s="156">
        <f t="shared" si="48"/>
        <v>0.20946926771638702</v>
      </c>
      <c r="N37" s="157">
        <f t="shared" si="49"/>
        <v>2.0946926771638702E-2</v>
      </c>
      <c r="O37" s="155">
        <f t="shared" si="50"/>
        <v>100</v>
      </c>
      <c r="P37" s="250">
        <v>1</v>
      </c>
      <c r="Q37" s="250">
        <v>1000</v>
      </c>
      <c r="R37" s="148">
        <f t="shared" si="53"/>
        <v>2.0946926771638701</v>
      </c>
      <c r="S37" s="148">
        <f t="shared" si="54"/>
        <v>0.20946926771638702</v>
      </c>
      <c r="T37" s="148">
        <f t="shared" si="55"/>
        <v>2.0946926771638702E-2</v>
      </c>
      <c r="U37" s="148">
        <f t="shared" si="56"/>
        <v>2.0946926771638701</v>
      </c>
      <c r="V37" s="7">
        <f t="shared" si="57"/>
        <v>1000</v>
      </c>
      <c r="W37" s="7">
        <f t="shared" si="58"/>
        <v>1000000</v>
      </c>
      <c r="X37" s="1345">
        <f t="shared" si="59"/>
        <v>20.946926771638701</v>
      </c>
      <c r="Y37" s="1345">
        <f t="shared" si="60"/>
        <v>2094.69267716387</v>
      </c>
    </row>
    <row r="38" spans="1:25" s="1" customFormat="1" x14ac:dyDescent="0.2">
      <c r="A38" s="213" t="str">
        <f t="shared" ref="A38:G38" si="63">A92</f>
        <v>NIM</v>
      </c>
      <c r="B38" s="213" t="str">
        <f t="shared" si="63"/>
        <v>FB03744</v>
      </c>
      <c r="C38" s="214">
        <f t="shared" si="63"/>
        <v>489.202</v>
      </c>
      <c r="D38" s="214">
        <f t="shared" si="63"/>
        <v>9.9000000000000005E-2</v>
      </c>
      <c r="E38" s="214">
        <f t="shared" si="63"/>
        <v>489.15</v>
      </c>
      <c r="F38" s="214">
        <f t="shared" si="63"/>
        <v>0.11</v>
      </c>
      <c r="G38" s="214">
        <f t="shared" si="63"/>
        <v>-5.1999999999999998E-2</v>
      </c>
      <c r="H38" s="214">
        <f t="shared" si="52"/>
        <v>0.29599999999999999</v>
      </c>
      <c r="I38" s="155">
        <f t="shared" si="44"/>
        <v>0</v>
      </c>
      <c r="J38" s="155">
        <f t="shared" si="45"/>
        <v>0</v>
      </c>
      <c r="K38" s="155">
        <f t="shared" si="46"/>
        <v>0.22</v>
      </c>
      <c r="L38" s="155">
        <f t="shared" si="47"/>
        <v>10</v>
      </c>
      <c r="M38" s="156">
        <f t="shared" si="48"/>
        <v>4.4971197991831593E-2</v>
      </c>
      <c r="N38" s="157">
        <f t="shared" si="49"/>
        <v>4.4971197991831588E-3</v>
      </c>
      <c r="O38" s="155">
        <f t="shared" si="50"/>
        <v>100</v>
      </c>
      <c r="P38" s="250">
        <v>1</v>
      </c>
      <c r="Q38" s="250">
        <v>1000</v>
      </c>
      <c r="R38" s="148">
        <f t="shared" si="53"/>
        <v>0.44971197991831591</v>
      </c>
      <c r="S38" s="148">
        <f t="shared" si="54"/>
        <v>4.4971197991831593E-2</v>
      </c>
      <c r="T38" s="148">
        <f t="shared" si="55"/>
        <v>4.4971197991831588E-3</v>
      </c>
      <c r="U38" s="148">
        <f t="shared" si="56"/>
        <v>0.44971197991831596</v>
      </c>
      <c r="V38" s="7">
        <f t="shared" si="57"/>
        <v>1000</v>
      </c>
      <c r="W38" s="7">
        <f t="shared" si="58"/>
        <v>1000000</v>
      </c>
      <c r="X38" s="1345">
        <f t="shared" si="59"/>
        <v>4.4971197991831584</v>
      </c>
      <c r="Y38" s="1345">
        <f t="shared" si="60"/>
        <v>449.71197991831599</v>
      </c>
    </row>
    <row r="39" spans="1:25" s="1" customFormat="1" x14ac:dyDescent="0.2">
      <c r="A39" s="213" t="str">
        <f t="shared" ref="A39:G39" si="64">A93</f>
        <v>NMIJ</v>
      </c>
      <c r="B39" s="213" t="str">
        <f t="shared" si="64"/>
        <v>CPC00494</v>
      </c>
      <c r="C39" s="214">
        <f t="shared" si="64"/>
        <v>471.351</v>
      </c>
      <c r="D39" s="214">
        <f t="shared" si="64"/>
        <v>9.4E-2</v>
      </c>
      <c r="E39" s="214">
        <f t="shared" si="64"/>
        <v>471.30099999999999</v>
      </c>
      <c r="F39" s="214">
        <f t="shared" si="64"/>
        <v>2.5999999999999999E-2</v>
      </c>
      <c r="G39" s="214">
        <f t="shared" si="64"/>
        <v>-0.05</v>
      </c>
      <c r="H39" s="214">
        <f t="shared" si="52"/>
        <v>0.19500000000000001</v>
      </c>
      <c r="I39" s="155">
        <f t="shared" si="44"/>
        <v>0</v>
      </c>
      <c r="J39" s="155">
        <f t="shared" si="45"/>
        <v>0</v>
      </c>
      <c r="K39" s="155">
        <f t="shared" si="46"/>
        <v>5.1999999999999998E-2</v>
      </c>
      <c r="L39" s="155">
        <f t="shared" si="47"/>
        <v>10</v>
      </c>
      <c r="M39" s="156">
        <f t="shared" si="48"/>
        <v>1.1032118315225808E-2</v>
      </c>
      <c r="N39" s="157">
        <f t="shared" si="49"/>
        <v>1.1032118315225808E-3</v>
      </c>
      <c r="O39" s="155">
        <f t="shared" si="50"/>
        <v>100</v>
      </c>
      <c r="P39" s="250">
        <v>1</v>
      </c>
      <c r="Q39" s="250">
        <v>1000</v>
      </c>
      <c r="R39" s="148">
        <f t="shared" si="53"/>
        <v>0.11032118315225808</v>
      </c>
      <c r="S39" s="148">
        <f t="shared" si="54"/>
        <v>1.1032118315225808E-2</v>
      </c>
      <c r="T39" s="148">
        <f t="shared" si="55"/>
        <v>1.1032118315225808E-3</v>
      </c>
      <c r="U39" s="148">
        <f t="shared" si="56"/>
        <v>0.11032118315225807</v>
      </c>
      <c r="V39" s="7">
        <f t="shared" si="57"/>
        <v>1000</v>
      </c>
      <c r="W39" s="7">
        <f t="shared" si="58"/>
        <v>1000000</v>
      </c>
      <c r="X39" s="1345">
        <f t="shared" si="59"/>
        <v>1.1032118315225807</v>
      </c>
      <c r="Y39" s="1345">
        <f t="shared" si="60"/>
        <v>110.32118315225807</v>
      </c>
    </row>
    <row r="40" spans="1:25" s="1" customFormat="1" x14ac:dyDescent="0.2">
      <c r="A40" s="213" t="str">
        <f t="shared" ref="A40:G40" si="65">A94</f>
        <v>NMISA</v>
      </c>
      <c r="B40" s="213" t="str">
        <f t="shared" si="65"/>
        <v>M51 8167</v>
      </c>
      <c r="C40" s="214">
        <f t="shared" si="65"/>
        <v>479.04199999999997</v>
      </c>
      <c r="D40" s="214">
        <f t="shared" si="65"/>
        <v>6.8000000000000005E-2</v>
      </c>
      <c r="E40" s="214">
        <f t="shared" si="65"/>
        <v>479.5</v>
      </c>
      <c r="F40" s="214">
        <f t="shared" si="65"/>
        <v>0.8</v>
      </c>
      <c r="G40" s="214">
        <f t="shared" si="65"/>
        <v>0.45800000000000002</v>
      </c>
      <c r="H40" s="214">
        <f t="shared" si="52"/>
        <v>1.6060000000000001</v>
      </c>
      <c r="I40" s="155">
        <f t="shared" si="44"/>
        <v>0</v>
      </c>
      <c r="J40" s="155">
        <f t="shared" si="45"/>
        <v>0</v>
      </c>
      <c r="K40" s="155">
        <f t="shared" si="46"/>
        <v>1.6</v>
      </c>
      <c r="L40" s="155">
        <f t="shared" si="47"/>
        <v>10</v>
      </c>
      <c r="M40" s="156">
        <f t="shared" si="48"/>
        <v>0.33399994155001028</v>
      </c>
      <c r="N40" s="157">
        <f t="shared" si="49"/>
        <v>3.3399994155001028E-2</v>
      </c>
      <c r="O40" s="155">
        <f t="shared" si="50"/>
        <v>100</v>
      </c>
      <c r="P40" s="250">
        <v>1</v>
      </c>
      <c r="Q40" s="250">
        <v>1000</v>
      </c>
      <c r="R40" s="148">
        <f t="shared" si="53"/>
        <v>3.3399994155001029</v>
      </c>
      <c r="S40" s="148">
        <f t="shared" si="54"/>
        <v>0.33399994155001028</v>
      </c>
      <c r="T40" s="148">
        <f t="shared" si="55"/>
        <v>3.3399994155001028E-2</v>
      </c>
      <c r="U40" s="148">
        <f t="shared" si="56"/>
        <v>3.3399994155001029</v>
      </c>
      <c r="V40" s="7">
        <f t="shared" si="57"/>
        <v>1000</v>
      </c>
      <c r="W40" s="7">
        <f t="shared" si="58"/>
        <v>1000000</v>
      </c>
      <c r="X40" s="1345">
        <f t="shared" si="59"/>
        <v>33.399994155001025</v>
      </c>
      <c r="Y40" s="1345">
        <f t="shared" si="60"/>
        <v>3339.9994155001027</v>
      </c>
    </row>
    <row r="41" spans="1:25" s="1" customFormat="1" x14ac:dyDescent="0.2">
      <c r="A41" s="213" t="str">
        <f t="shared" ref="A41:G41" si="66">A95</f>
        <v>NOAA</v>
      </c>
      <c r="B41" s="213" t="str">
        <f t="shared" si="66"/>
        <v>CC305198</v>
      </c>
      <c r="C41" s="214">
        <f t="shared" si="66"/>
        <v>479.363</v>
      </c>
      <c r="D41" s="214">
        <f t="shared" si="66"/>
        <v>5.8000000000000003E-2</v>
      </c>
      <c r="E41" s="214">
        <f t="shared" si="66"/>
        <v>479.26</v>
      </c>
      <c r="F41" s="214">
        <f t="shared" si="66"/>
        <v>0.13</v>
      </c>
      <c r="G41" s="214">
        <f t="shared" si="66"/>
        <v>-0.10299999999999999</v>
      </c>
      <c r="H41" s="214">
        <f t="shared" si="52"/>
        <v>0.28399999999999997</v>
      </c>
      <c r="I41" s="155">
        <f t="shared" si="44"/>
        <v>0</v>
      </c>
      <c r="J41" s="155">
        <f t="shared" si="45"/>
        <v>0</v>
      </c>
      <c r="K41" s="155">
        <f t="shared" si="46"/>
        <v>0.26</v>
      </c>
      <c r="L41" s="155">
        <f t="shared" si="47"/>
        <v>10</v>
      </c>
      <c r="M41" s="156">
        <f t="shared" si="48"/>
        <v>5.4238645869622806E-2</v>
      </c>
      <c r="N41" s="157">
        <f t="shared" si="49"/>
        <v>5.4238645869622805E-3</v>
      </c>
      <c r="O41" s="155">
        <f t="shared" si="50"/>
        <v>100</v>
      </c>
      <c r="P41" s="250">
        <v>1</v>
      </c>
      <c r="Q41" s="250">
        <v>1000</v>
      </c>
      <c r="R41" s="148">
        <f t="shared" si="53"/>
        <v>0.54238645869622804</v>
      </c>
      <c r="S41" s="148">
        <f t="shared" si="54"/>
        <v>5.4238645869622806E-2</v>
      </c>
      <c r="T41" s="148">
        <f t="shared" si="55"/>
        <v>5.4238645869622805E-3</v>
      </c>
      <c r="U41" s="148">
        <f t="shared" si="56"/>
        <v>0.54238645869622804</v>
      </c>
      <c r="V41" s="7">
        <f t="shared" si="57"/>
        <v>1000</v>
      </c>
      <c r="W41" s="7">
        <f t="shared" si="58"/>
        <v>1000000</v>
      </c>
      <c r="X41" s="1345">
        <f t="shared" si="59"/>
        <v>5.4238645869622806</v>
      </c>
      <c r="Y41" s="1345">
        <f t="shared" si="60"/>
        <v>542.38645869622803</v>
      </c>
    </row>
    <row r="42" spans="1:25" s="1" customFormat="1" x14ac:dyDescent="0.2">
      <c r="A42" s="213" t="str">
        <f t="shared" ref="A42:G42" si="67">A96</f>
        <v>NPL</v>
      </c>
      <c r="B42" s="213">
        <f t="shared" si="67"/>
        <v>2170</v>
      </c>
      <c r="C42" s="214">
        <f t="shared" si="67"/>
        <v>479.98500000000001</v>
      </c>
      <c r="D42" s="214">
        <f t="shared" si="67"/>
        <v>4.9000000000000002E-2</v>
      </c>
      <c r="E42" s="214">
        <f t="shared" si="67"/>
        <v>480.02</v>
      </c>
      <c r="F42" s="214">
        <f t="shared" si="67"/>
        <v>0.12</v>
      </c>
      <c r="G42" s="214">
        <f t="shared" si="67"/>
        <v>3.5000000000000003E-2</v>
      </c>
      <c r="H42" s="214">
        <f t="shared" si="52"/>
        <v>0.25900000000000001</v>
      </c>
      <c r="I42" s="155">
        <f t="shared" si="44"/>
        <v>0</v>
      </c>
      <c r="J42" s="155">
        <f t="shared" si="45"/>
        <v>0</v>
      </c>
      <c r="K42" s="155">
        <f t="shared" si="46"/>
        <v>0.24</v>
      </c>
      <c r="L42" s="155">
        <f t="shared" si="47"/>
        <v>10</v>
      </c>
      <c r="M42" s="156">
        <f t="shared" si="48"/>
        <v>5.0001562548829648E-2</v>
      </c>
      <c r="N42" s="157">
        <f t="shared" si="49"/>
        <v>5.000156254882965E-3</v>
      </c>
      <c r="O42" s="155">
        <f t="shared" si="50"/>
        <v>100</v>
      </c>
      <c r="P42" s="250">
        <v>1</v>
      </c>
      <c r="Q42" s="250">
        <v>1000</v>
      </c>
      <c r="R42" s="148">
        <f t="shared" si="53"/>
        <v>0.50001562548829648</v>
      </c>
      <c r="S42" s="148">
        <f t="shared" si="54"/>
        <v>5.0001562548829648E-2</v>
      </c>
      <c r="T42" s="148">
        <f t="shared" si="55"/>
        <v>5.000156254882965E-3</v>
      </c>
      <c r="U42" s="148">
        <f t="shared" si="56"/>
        <v>0.50001562548829648</v>
      </c>
      <c r="V42" s="7">
        <f t="shared" si="57"/>
        <v>1000</v>
      </c>
      <c r="W42" s="7">
        <f t="shared" si="58"/>
        <v>1000000</v>
      </c>
      <c r="X42" s="1345">
        <f t="shared" si="59"/>
        <v>5.000156254882965</v>
      </c>
      <c r="Y42" s="1345">
        <f t="shared" si="60"/>
        <v>500.01562548829645</v>
      </c>
    </row>
    <row r="43" spans="1:25" s="1" customFormat="1" x14ac:dyDescent="0.2">
      <c r="A43" s="213" t="str">
        <f t="shared" ref="A43:G43" si="68">A97</f>
        <v>VNIIM</v>
      </c>
      <c r="B43" s="213" t="str">
        <f t="shared" si="68"/>
        <v>M365664</v>
      </c>
      <c r="C43" s="214">
        <f t="shared" si="68"/>
        <v>480.14499999999998</v>
      </c>
      <c r="D43" s="214">
        <f t="shared" si="68"/>
        <v>5.8999999999999997E-2</v>
      </c>
      <c r="E43" s="214">
        <f t="shared" si="68"/>
        <v>480.18</v>
      </c>
      <c r="F43" s="214">
        <f t="shared" si="68"/>
        <v>6.5000000000000002E-2</v>
      </c>
      <c r="G43" s="214">
        <f t="shared" si="68"/>
        <v>3.5000000000000003E-2</v>
      </c>
      <c r="H43" s="214">
        <f t="shared" si="52"/>
        <v>0.17499999999999999</v>
      </c>
      <c r="I43" s="155">
        <f t="shared" si="44"/>
        <v>0</v>
      </c>
      <c r="J43" s="155">
        <f t="shared" si="45"/>
        <v>0</v>
      </c>
      <c r="K43" s="155">
        <f t="shared" si="46"/>
        <v>0.13</v>
      </c>
      <c r="L43" s="155">
        <f t="shared" si="47"/>
        <v>10</v>
      </c>
      <c r="M43" s="156">
        <f t="shared" si="48"/>
        <v>2.7075154380447573E-2</v>
      </c>
      <c r="N43" s="157">
        <f t="shared" si="49"/>
        <v>2.7075154380447573E-3</v>
      </c>
      <c r="O43" s="155">
        <f t="shared" si="50"/>
        <v>100</v>
      </c>
      <c r="P43" s="250">
        <v>1</v>
      </c>
      <c r="Q43" s="250">
        <v>1000</v>
      </c>
      <c r="R43" s="148">
        <f t="shared" si="53"/>
        <v>0.27075154380447575</v>
      </c>
      <c r="S43" s="148">
        <f t="shared" si="54"/>
        <v>2.7075154380447573E-2</v>
      </c>
      <c r="T43" s="148">
        <f t="shared" si="55"/>
        <v>2.7075154380447573E-3</v>
      </c>
      <c r="U43" s="148">
        <f t="shared" si="56"/>
        <v>0.27075154380447575</v>
      </c>
      <c r="V43" s="7">
        <f t="shared" si="57"/>
        <v>1000</v>
      </c>
      <c r="W43" s="7">
        <f t="shared" si="58"/>
        <v>1000000</v>
      </c>
      <c r="X43" s="1345">
        <f t="shared" si="59"/>
        <v>2.7075154380447572</v>
      </c>
      <c r="Y43" s="1345">
        <f t="shared" si="60"/>
        <v>270.75154380447577</v>
      </c>
    </row>
    <row r="44" spans="1:25" s="1" customFormat="1" x14ac:dyDescent="0.2">
      <c r="A44" s="213" t="str">
        <f t="shared" ref="A44:G44" si="69">A98</f>
        <v>VSL</v>
      </c>
      <c r="B44" s="213">
        <f t="shared" si="69"/>
        <v>5604880</v>
      </c>
      <c r="C44" s="214">
        <f t="shared" si="69"/>
        <v>480.52300000000002</v>
      </c>
      <c r="D44" s="214">
        <f t="shared" si="69"/>
        <v>4.4999999999999998E-2</v>
      </c>
      <c r="E44" s="214">
        <f t="shared" si="69"/>
        <v>480.48</v>
      </c>
      <c r="F44" s="214">
        <f t="shared" si="69"/>
        <v>0.18</v>
      </c>
      <c r="G44" s="214">
        <f t="shared" si="69"/>
        <v>-4.2999999999999997E-2</v>
      </c>
      <c r="H44" s="214">
        <f t="shared" si="52"/>
        <v>0.371</v>
      </c>
      <c r="I44" s="155">
        <f t="shared" si="44"/>
        <v>0</v>
      </c>
      <c r="J44" s="155">
        <f t="shared" si="45"/>
        <v>0</v>
      </c>
      <c r="K44" s="155">
        <f t="shared" si="46"/>
        <v>0.36</v>
      </c>
      <c r="L44" s="155">
        <f t="shared" si="47"/>
        <v>10</v>
      </c>
      <c r="M44" s="156">
        <f t="shared" si="48"/>
        <v>7.4918370192477768E-2</v>
      </c>
      <c r="N44" s="157">
        <f t="shared" si="49"/>
        <v>7.4918370192477764E-3</v>
      </c>
      <c r="O44" s="155">
        <f t="shared" si="50"/>
        <v>100</v>
      </c>
      <c r="P44" s="250">
        <v>1</v>
      </c>
      <c r="Q44" s="250">
        <v>1000</v>
      </c>
      <c r="R44" s="148">
        <f t="shared" si="53"/>
        <v>0.74918370192477768</v>
      </c>
      <c r="S44" s="148">
        <f t="shared" si="54"/>
        <v>7.4918370192477768E-2</v>
      </c>
      <c r="T44" s="148">
        <f t="shared" si="55"/>
        <v>7.4918370192477773E-3</v>
      </c>
      <c r="U44" s="148">
        <f t="shared" si="56"/>
        <v>0.74918370192477768</v>
      </c>
      <c r="V44" s="7">
        <f t="shared" si="57"/>
        <v>1000</v>
      </c>
      <c r="W44" s="7">
        <f t="shared" si="58"/>
        <v>1000000</v>
      </c>
      <c r="X44" s="1345">
        <f t="shared" si="59"/>
        <v>7.491837019247777</v>
      </c>
      <c r="Y44" s="1345">
        <f t="shared" si="60"/>
        <v>749.18370192477767</v>
      </c>
    </row>
    <row r="45" spans="1:25" x14ac:dyDescent="0.2">
      <c r="A45" s="213" t="str">
        <f t="shared" ref="A45:G45" si="70">A99</f>
        <v>UME</v>
      </c>
      <c r="B45" s="213" t="str">
        <f t="shared" si="70"/>
        <v>PSM266468</v>
      </c>
      <c r="C45" s="214">
        <f t="shared" si="70"/>
        <v>480.53699999999998</v>
      </c>
      <c r="D45" s="214">
        <f t="shared" si="70"/>
        <v>7.8E-2</v>
      </c>
      <c r="E45" s="214">
        <f t="shared" si="70"/>
        <v>480.42</v>
      </c>
      <c r="F45" s="214">
        <f t="shared" si="70"/>
        <v>0.125</v>
      </c>
      <c r="G45" s="214">
        <f t="shared" si="70"/>
        <v>-0.11700000000000001</v>
      </c>
      <c r="H45" s="214">
        <f t="shared" si="52"/>
        <v>0.29499999999999998</v>
      </c>
      <c r="I45" s="155">
        <f t="shared" si="44"/>
        <v>0</v>
      </c>
      <c r="J45" s="155">
        <f t="shared" si="45"/>
        <v>0</v>
      </c>
      <c r="K45" s="155">
        <f t="shared" si="46"/>
        <v>0.25</v>
      </c>
      <c r="L45" s="155">
        <f t="shared" si="47"/>
        <v>10</v>
      </c>
      <c r="M45" s="156">
        <f t="shared" si="48"/>
        <v>5.2025130218900942E-2</v>
      </c>
      <c r="N45" s="157">
        <f t="shared" si="49"/>
        <v>5.2025130218900937E-3</v>
      </c>
      <c r="O45" s="155">
        <f t="shared" si="50"/>
        <v>100</v>
      </c>
      <c r="P45" s="250">
        <v>1</v>
      </c>
      <c r="Q45" s="250">
        <v>1000</v>
      </c>
      <c r="R45" s="148">
        <f t="shared" si="53"/>
        <v>0.52025130218900939</v>
      </c>
      <c r="S45" s="148">
        <f t="shared" si="54"/>
        <v>5.2025130218900942E-2</v>
      </c>
      <c r="T45" s="148">
        <f t="shared" si="55"/>
        <v>5.2025130218900937E-3</v>
      </c>
      <c r="U45" s="148">
        <f t="shared" si="56"/>
        <v>0.52025130218900939</v>
      </c>
      <c r="V45" s="7">
        <f t="shared" si="57"/>
        <v>1000</v>
      </c>
      <c r="W45" s="7">
        <f t="shared" si="58"/>
        <v>1000000</v>
      </c>
      <c r="X45" s="1345">
        <f t="shared" si="59"/>
        <v>5.2025130218900939</v>
      </c>
      <c r="Y45" s="1345">
        <f t="shared" si="60"/>
        <v>520.25130218900938</v>
      </c>
    </row>
    <row r="46" spans="1:25" x14ac:dyDescent="0.2">
      <c r="A46" s="213" t="str">
        <f t="shared" ref="A46:G46" si="71">A100</f>
        <v>BFKH</v>
      </c>
      <c r="B46" s="213" t="str">
        <f t="shared" si="71"/>
        <v>OMH44</v>
      </c>
      <c r="C46" s="214">
        <f t="shared" si="71"/>
        <v>464.911</v>
      </c>
      <c r="D46" s="214">
        <f t="shared" si="71"/>
        <v>0.13800000000000001</v>
      </c>
      <c r="E46" s="214">
        <f t="shared" si="71"/>
        <v>479.9</v>
      </c>
      <c r="F46" s="214">
        <f t="shared" si="71"/>
        <v>1.05</v>
      </c>
      <c r="G46" s="214">
        <f t="shared" si="71"/>
        <v>14.989000000000001</v>
      </c>
      <c r="H46" s="214">
        <f t="shared" si="52"/>
        <v>2.1179999999999999</v>
      </c>
      <c r="I46" s="155">
        <f t="shared" si="44"/>
        <v>1</v>
      </c>
      <c r="J46" s="155">
        <f t="shared" si="45"/>
        <v>14.988999999999976</v>
      </c>
      <c r="K46" s="155">
        <f t="shared" si="46"/>
        <v>30.051463924408026</v>
      </c>
      <c r="L46" s="155">
        <f t="shared" si="47"/>
        <v>10</v>
      </c>
      <c r="M46" s="156">
        <f t="shared" si="48"/>
        <v>6.4639175937777393</v>
      </c>
      <c r="N46" s="157">
        <f t="shared" si="49"/>
        <v>0.64639175937777393</v>
      </c>
      <c r="O46" s="155">
        <f t="shared" si="50"/>
        <v>100</v>
      </c>
      <c r="P46" s="250">
        <v>1</v>
      </c>
      <c r="Q46" s="250">
        <v>1000</v>
      </c>
      <c r="R46" s="148">
        <f t="shared" si="53"/>
        <v>64.639175937777395</v>
      </c>
      <c r="S46" s="148">
        <f t="shared" si="54"/>
        <v>6.4639175937777393</v>
      </c>
      <c r="T46" s="148">
        <f t="shared" si="55"/>
        <v>0.64639175937777393</v>
      </c>
      <c r="U46" s="148">
        <f t="shared" si="56"/>
        <v>64.639175937777395</v>
      </c>
      <c r="V46" s="7">
        <f t="shared" si="57"/>
        <v>1000</v>
      </c>
      <c r="W46" s="7">
        <f t="shared" si="58"/>
        <v>1000000</v>
      </c>
      <c r="X46" s="1345">
        <f t="shared" si="59"/>
        <v>646.39175937777395</v>
      </c>
      <c r="Y46" s="1345">
        <f t="shared" si="60"/>
        <v>64639.175937777392</v>
      </c>
    </row>
    <row r="47" spans="1:25" x14ac:dyDescent="0.2">
      <c r="A47" s="213" t="str">
        <f t="shared" ref="A47:G48" si="72">A101</f>
        <v>NIST</v>
      </c>
      <c r="B47" s="213" t="str">
        <f t="shared" si="72"/>
        <v>FB04300</v>
      </c>
      <c r="C47" s="214">
        <f t="shared" si="72"/>
        <v>473.529</v>
      </c>
      <c r="D47" s="214">
        <f t="shared" si="72"/>
        <v>7.0999999999999994E-2</v>
      </c>
      <c r="E47" s="214">
        <f t="shared" si="72"/>
        <v>472.66199999999998</v>
      </c>
      <c r="F47" s="214">
        <f t="shared" si="72"/>
        <v>0.214</v>
      </c>
      <c r="G47" s="214">
        <f t="shared" si="72"/>
        <v>-0.86699999999999999</v>
      </c>
      <c r="H47" s="214">
        <f t="shared" si="52"/>
        <v>0.45100000000000001</v>
      </c>
      <c r="I47" s="155">
        <f t="shared" si="44"/>
        <v>1</v>
      </c>
      <c r="J47" s="155">
        <f t="shared" si="45"/>
        <v>0.86700000000001864</v>
      </c>
      <c r="K47" s="155">
        <f t="shared" si="46"/>
        <v>1.7860403130949003</v>
      </c>
      <c r="L47" s="155">
        <f t="shared" si="47"/>
        <v>10</v>
      </c>
      <c r="M47" s="156">
        <f t="shared" si="48"/>
        <v>0.37717654316734567</v>
      </c>
      <c r="N47" s="157">
        <f t="shared" si="49"/>
        <v>3.7717654316734565E-2</v>
      </c>
      <c r="O47" s="155">
        <f t="shared" si="50"/>
        <v>100</v>
      </c>
      <c r="P47" s="250">
        <v>1</v>
      </c>
      <c r="Q47" s="250">
        <v>1000</v>
      </c>
      <c r="R47" s="148">
        <f t="shared" si="53"/>
        <v>3.7717654316734568</v>
      </c>
      <c r="S47" s="148">
        <f t="shared" si="54"/>
        <v>0.37717654316734567</v>
      </c>
      <c r="T47" s="148">
        <f t="shared" si="55"/>
        <v>3.7717654316734565E-2</v>
      </c>
      <c r="U47" s="148">
        <f t="shared" si="56"/>
        <v>3.7717654316734563</v>
      </c>
      <c r="V47" s="7">
        <f t="shared" si="57"/>
        <v>1000</v>
      </c>
      <c r="W47" s="7">
        <f t="shared" si="58"/>
        <v>1000000</v>
      </c>
      <c r="X47" s="1345">
        <f t="shared" si="59"/>
        <v>37.717654316734567</v>
      </c>
      <c r="Y47" s="1345">
        <f t="shared" si="60"/>
        <v>3771.7654316734565</v>
      </c>
    </row>
    <row r="48" spans="1:25" x14ac:dyDescent="0.2">
      <c r="A48" s="213" t="str">
        <f t="shared" si="72"/>
        <v>NPLI</v>
      </c>
      <c r="B48" s="213" t="str">
        <f t="shared" si="72"/>
        <v>JJ108862</v>
      </c>
      <c r="C48" s="214">
        <f t="shared" si="72"/>
        <v>480.863</v>
      </c>
      <c r="D48" s="214">
        <f t="shared" si="72"/>
        <v>7.9000000000000001E-2</v>
      </c>
      <c r="E48" s="214">
        <f t="shared" si="72"/>
        <v>480.52</v>
      </c>
      <c r="F48" s="214">
        <f t="shared" si="72"/>
        <v>1.52</v>
      </c>
      <c r="G48" s="214">
        <f t="shared" si="72"/>
        <v>-0.34300000000000003</v>
      </c>
      <c r="H48" s="214">
        <f t="shared" si="52"/>
        <v>3.044</v>
      </c>
      <c r="I48" s="155">
        <f t="shared" ref="I48" si="73">IF(ABS(G48)&gt;ABS(H48), 1, 0)</f>
        <v>0</v>
      </c>
      <c r="J48" s="155">
        <f t="shared" ref="J48" si="74">I48*ABS(C48-E48)</f>
        <v>0</v>
      </c>
      <c r="K48" s="155">
        <f t="shared" ref="K48" si="75">SQRT(SUMSQ(F48,J48))*2</f>
        <v>3.04</v>
      </c>
      <c r="L48" s="155">
        <f t="shared" ref="L48" si="76">IF(C48&lt;$K$2, C48, $K$1)</f>
        <v>10</v>
      </c>
      <c r="M48" s="156">
        <f t="shared" ref="M48" si="77">IF(AND(C48&lt;$K$1,C48&gt; $K$2), K48/L48*100, K48/C48*100)</f>
        <v>0.63219669635634268</v>
      </c>
      <c r="N48" s="157">
        <f t="shared" ref="N48" si="78">M48*L48/100</f>
        <v>6.3219669635634274E-2</v>
      </c>
      <c r="O48" s="155">
        <f t="shared" ref="O48" si="79">N48/(M48*L48/100)*100</f>
        <v>100</v>
      </c>
      <c r="P48" s="250">
        <v>1</v>
      </c>
      <c r="Q48" s="250">
        <v>1000</v>
      </c>
      <c r="R48" s="148">
        <f t="shared" ref="R48" si="80">IF( IF(P48&lt;L48, M48*L48/P48, M48)&gt;100, "ERROR",  IF(P48&lt;L48, M48*L48/P48, M48))</f>
        <v>6.321966963563427</v>
      </c>
      <c r="S48" s="148">
        <f t="shared" ref="S48" si="81">IF(IF(Q48&lt;L48, M48*L48/Q48, M48)&gt;100, "ERROR", IF(Q48&lt;L48, M48*L48/Q48, M48))</f>
        <v>0.63219669635634268</v>
      </c>
      <c r="T48" s="148">
        <f t="shared" ref="T48" si="82">R48*P48*0.01</f>
        <v>6.3219669635634274E-2</v>
      </c>
      <c r="U48" s="148">
        <f t="shared" ref="U48" si="83">S48*Q48*0.01</f>
        <v>6.321966963563427</v>
      </c>
      <c r="V48" s="7">
        <f t="shared" ref="V48" si="84">P48*1000</f>
        <v>1000</v>
      </c>
      <c r="W48" s="7">
        <f t="shared" ref="W48" si="85">Q48*1000</f>
        <v>1000000</v>
      </c>
      <c r="X48" s="1345">
        <f t="shared" ref="X48" si="86">T48*1000</f>
        <v>63.219669635634276</v>
      </c>
      <c r="Y48" s="1345">
        <f t="shared" ref="Y48" si="87">U48*1000</f>
        <v>6321.9669635634273</v>
      </c>
    </row>
    <row r="49" spans="1:25" x14ac:dyDescent="0.2">
      <c r="A49" s="311"/>
      <c r="B49" s="311"/>
      <c r="C49" s="312"/>
      <c r="D49" s="312"/>
      <c r="E49" s="312"/>
      <c r="F49" s="312"/>
      <c r="G49" s="312"/>
      <c r="H49" s="312"/>
    </row>
    <row r="50" spans="1:25" x14ac:dyDescent="0.2">
      <c r="A50" s="117" t="s">
        <v>224</v>
      </c>
      <c r="B50" s="313"/>
      <c r="C50" s="314"/>
      <c r="D50" s="314"/>
      <c r="E50" s="314"/>
      <c r="F50" s="314"/>
      <c r="G50" s="314"/>
      <c r="H50" s="314"/>
    </row>
    <row r="51" spans="1:25" s="1" customFormat="1" ht="76.5" x14ac:dyDescent="0.2">
      <c r="A51" s="211" t="s">
        <v>0</v>
      </c>
      <c r="B51" s="212" t="s">
        <v>1</v>
      </c>
      <c r="C51" s="212" t="s">
        <v>133</v>
      </c>
      <c r="D51" s="212" t="s">
        <v>134</v>
      </c>
      <c r="E51" s="212" t="s">
        <v>135</v>
      </c>
      <c r="F51" s="212" t="s">
        <v>136</v>
      </c>
      <c r="G51" s="212" t="s">
        <v>137</v>
      </c>
      <c r="H51" s="212" t="s">
        <v>138</v>
      </c>
      <c r="I51" s="104" t="s">
        <v>8</v>
      </c>
      <c r="J51" s="104" t="s">
        <v>9</v>
      </c>
      <c r="K51" s="104" t="s">
        <v>107</v>
      </c>
      <c r="L51" s="104" t="s">
        <v>14</v>
      </c>
      <c r="M51" s="104" t="s">
        <v>12</v>
      </c>
      <c r="N51" s="104" t="s">
        <v>1058</v>
      </c>
      <c r="O51" s="104" t="s">
        <v>100</v>
      </c>
      <c r="P51" s="6" t="s">
        <v>105</v>
      </c>
      <c r="Q51" s="6" t="s">
        <v>106</v>
      </c>
      <c r="R51" s="104" t="s">
        <v>70</v>
      </c>
      <c r="S51" s="104" t="s">
        <v>71</v>
      </c>
      <c r="T51" s="147" t="s">
        <v>80</v>
      </c>
      <c r="U51" s="147" t="s">
        <v>81</v>
      </c>
      <c r="V51" s="5" t="s">
        <v>101</v>
      </c>
      <c r="W51" s="5" t="s">
        <v>102</v>
      </c>
      <c r="X51" s="112" t="s">
        <v>103</v>
      </c>
      <c r="Y51" s="112" t="s">
        <v>104</v>
      </c>
    </row>
    <row r="52" spans="1:25" s="1" customFormat="1" x14ac:dyDescent="0.2">
      <c r="A52" s="213" t="str">
        <f>A106</f>
        <v>GUM</v>
      </c>
      <c r="B52" s="213" t="str">
        <f>B106</f>
        <v>D298402</v>
      </c>
      <c r="C52" s="214">
        <f>C106</f>
        <v>800.10500000000002</v>
      </c>
      <c r="D52" s="214">
        <f t="shared" ref="D52:G52" si="88">D106</f>
        <v>0.106</v>
      </c>
      <c r="E52" s="214">
        <f t="shared" si="88"/>
        <v>800.5</v>
      </c>
      <c r="F52" s="214">
        <f t="shared" si="88"/>
        <v>4.3</v>
      </c>
      <c r="G52" s="214">
        <f t="shared" si="88"/>
        <v>0.39500000000000002</v>
      </c>
      <c r="H52" s="214">
        <f>I106</f>
        <v>8.6029999999999998</v>
      </c>
      <c r="I52" s="155">
        <f t="shared" ref="I52:I66" si="89">IF(ABS(G52)&gt;ABS(H52), 1, 0)</f>
        <v>0</v>
      </c>
      <c r="J52" s="155">
        <f t="shared" ref="J52:J66" si="90">I52*ABS(C52-E52)</f>
        <v>0</v>
      </c>
      <c r="K52" s="155">
        <f t="shared" ref="K52:K66" si="91">SQRT(SUMSQ(F52,J52))*2</f>
        <v>8.6</v>
      </c>
      <c r="L52" s="155">
        <f t="shared" ref="L52:L66" si="92">IF(C52&lt;$K$2, C52, $K$1)</f>
        <v>10</v>
      </c>
      <c r="M52" s="156">
        <f t="shared" ref="M52:M66" si="93">IF(AND(C52&lt;$K$1,C52&gt; $K$2), K52/L52*100, K52/C52*100)</f>
        <v>1.0748589247661244</v>
      </c>
      <c r="N52" s="157">
        <f t="shared" ref="N52:N66" si="94">M52*L52/100</f>
        <v>0.10748589247661243</v>
      </c>
      <c r="O52" s="155">
        <f t="shared" ref="O52:O66" si="95">N52/(M52*L52/100)*100</f>
        <v>100</v>
      </c>
      <c r="P52" s="250">
        <v>1</v>
      </c>
      <c r="Q52" s="250">
        <v>1000</v>
      </c>
      <c r="R52" s="148">
        <f t="shared" ref="R52:R66" si="96">IF( IF(P52&lt;L52, M52*L52/P52, M52)&gt;100, "ERROR",  IF(P52&lt;L52, M52*L52/P52, M52))</f>
        <v>10.748589247661243</v>
      </c>
      <c r="S52" s="148">
        <f t="shared" ref="S52:S66" si="97">IF(IF(Q52&lt;L52, M52*L52/Q52, M52)&gt;100, "ERROR", IF(Q52&lt;L52, M52*L52/Q52, M52))</f>
        <v>1.0748589247661244</v>
      </c>
      <c r="T52" s="148">
        <f>R52*P52*0.01</f>
        <v>0.10748589247661244</v>
      </c>
      <c r="U52" s="148">
        <f>S52*Q52*0.01</f>
        <v>10.748589247661243</v>
      </c>
      <c r="V52" s="7">
        <f>P52*1000</f>
        <v>1000</v>
      </c>
      <c r="W52" s="7">
        <f>Q52*1000</f>
        <v>1000000</v>
      </c>
      <c r="X52" s="1345">
        <f>T52*1000</f>
        <v>107.48589247661245</v>
      </c>
      <c r="Y52" s="1345">
        <f>U52*1000</f>
        <v>10748.589247661243</v>
      </c>
    </row>
    <row r="53" spans="1:25" s="1" customFormat="1" x14ac:dyDescent="0.2">
      <c r="A53" s="213" t="str">
        <f t="shared" ref="A53:G53" si="98">A107</f>
        <v>INRIM</v>
      </c>
      <c r="B53" s="213" t="str">
        <f t="shared" si="98"/>
        <v>D247445</v>
      </c>
      <c r="C53" s="214">
        <f t="shared" si="98"/>
        <v>798.38900000000001</v>
      </c>
      <c r="D53" s="214">
        <f t="shared" si="98"/>
        <v>0.128</v>
      </c>
      <c r="E53" s="214">
        <f t="shared" si="98"/>
        <v>798.9</v>
      </c>
      <c r="F53" s="214">
        <f t="shared" si="98"/>
        <v>1.3</v>
      </c>
      <c r="G53" s="214">
        <f t="shared" si="98"/>
        <v>0.51100000000000001</v>
      </c>
      <c r="H53" s="214">
        <f t="shared" ref="H53:H66" si="99">I107</f>
        <v>2.613</v>
      </c>
      <c r="I53" s="155">
        <f t="shared" si="89"/>
        <v>0</v>
      </c>
      <c r="J53" s="155">
        <f t="shared" si="90"/>
        <v>0</v>
      </c>
      <c r="K53" s="155">
        <f t="shared" si="91"/>
        <v>2.6</v>
      </c>
      <c r="L53" s="155">
        <f t="shared" si="92"/>
        <v>10</v>
      </c>
      <c r="M53" s="156">
        <f t="shared" si="93"/>
        <v>0.32565578934579509</v>
      </c>
      <c r="N53" s="157">
        <f t="shared" si="94"/>
        <v>3.2565578934579509E-2</v>
      </c>
      <c r="O53" s="155">
        <f t="shared" si="95"/>
        <v>100</v>
      </c>
      <c r="P53" s="250">
        <v>1</v>
      </c>
      <c r="Q53" s="250">
        <v>1000</v>
      </c>
      <c r="R53" s="148">
        <f t="shared" si="96"/>
        <v>3.2565578934579511</v>
      </c>
      <c r="S53" s="148">
        <f t="shared" si="97"/>
        <v>0.32565578934579509</v>
      </c>
      <c r="T53" s="148">
        <f t="shared" ref="T53:T66" si="100">R53*P53*0.01</f>
        <v>3.2565578934579509E-2</v>
      </c>
      <c r="U53" s="148">
        <f t="shared" ref="U53:U66" si="101">S53*Q53*0.01</f>
        <v>3.2565578934579511</v>
      </c>
      <c r="V53" s="7">
        <f t="shared" ref="V53:V66" si="102">P53*1000</f>
        <v>1000</v>
      </c>
      <c r="W53" s="7">
        <f t="shared" ref="W53:W66" si="103">Q53*1000</f>
        <v>1000000</v>
      </c>
      <c r="X53" s="1345">
        <f t="shared" ref="X53:X66" si="104">T53*1000</f>
        <v>32.565578934579506</v>
      </c>
      <c r="Y53" s="1345">
        <f t="shared" ref="Y53:Y66" si="105">U53*1000</f>
        <v>3256.5578934579512</v>
      </c>
    </row>
    <row r="54" spans="1:25" s="1" customFormat="1" x14ac:dyDescent="0.2">
      <c r="A54" s="213" t="str">
        <f t="shared" ref="A54:G54" si="106">A108</f>
        <v>KRISS</v>
      </c>
      <c r="B54" s="213" t="str">
        <f t="shared" si="106"/>
        <v>D500672</v>
      </c>
      <c r="C54" s="214">
        <f t="shared" si="106"/>
        <v>800.51900000000001</v>
      </c>
      <c r="D54" s="214">
        <f t="shared" si="106"/>
        <v>0.11799999999999999</v>
      </c>
      <c r="E54" s="214">
        <f t="shared" si="106"/>
        <v>800.8</v>
      </c>
      <c r="F54" s="214">
        <f t="shared" si="106"/>
        <v>0.2</v>
      </c>
      <c r="G54" s="214">
        <f t="shared" si="106"/>
        <v>0.28100000000000003</v>
      </c>
      <c r="H54" s="214">
        <f t="shared" si="99"/>
        <v>0.46400000000000002</v>
      </c>
      <c r="I54" s="155">
        <f t="shared" si="89"/>
        <v>0</v>
      </c>
      <c r="J54" s="155">
        <f t="shared" si="90"/>
        <v>0</v>
      </c>
      <c r="K54" s="155">
        <f t="shared" si="91"/>
        <v>0.4</v>
      </c>
      <c r="L54" s="155">
        <f t="shared" si="92"/>
        <v>10</v>
      </c>
      <c r="M54" s="156">
        <f t="shared" si="93"/>
        <v>4.9967583530184795E-2</v>
      </c>
      <c r="N54" s="157">
        <f t="shared" si="94"/>
        <v>4.9967583530184795E-3</v>
      </c>
      <c r="O54" s="155">
        <f t="shared" si="95"/>
        <v>100</v>
      </c>
      <c r="P54" s="250">
        <v>1</v>
      </c>
      <c r="Q54" s="250">
        <v>1000</v>
      </c>
      <c r="R54" s="148">
        <f t="shared" si="96"/>
        <v>0.49967583530184795</v>
      </c>
      <c r="S54" s="148">
        <f t="shared" si="97"/>
        <v>4.9967583530184795E-2</v>
      </c>
      <c r="T54" s="148">
        <f t="shared" si="100"/>
        <v>4.9967583530184795E-3</v>
      </c>
      <c r="U54" s="148">
        <f t="shared" si="101"/>
        <v>0.499675835301848</v>
      </c>
      <c r="V54" s="7">
        <f t="shared" si="102"/>
        <v>1000</v>
      </c>
      <c r="W54" s="7">
        <f t="shared" si="103"/>
        <v>1000000</v>
      </c>
      <c r="X54" s="1345">
        <f t="shared" si="104"/>
        <v>4.9967583530184791</v>
      </c>
      <c r="Y54" s="1345">
        <f t="shared" si="105"/>
        <v>499.675835301848</v>
      </c>
    </row>
    <row r="55" spans="1:25" s="1" customFormat="1" x14ac:dyDescent="0.2">
      <c r="A55" s="213" t="str">
        <f t="shared" ref="A55:G55" si="107">A109</f>
        <v>LNE</v>
      </c>
      <c r="B55" s="213">
        <f t="shared" si="107"/>
        <v>1029048</v>
      </c>
      <c r="C55" s="214">
        <f t="shared" si="107"/>
        <v>802.09900000000005</v>
      </c>
      <c r="D55" s="214">
        <f t="shared" si="107"/>
        <v>7.8E-2</v>
      </c>
      <c r="E55" s="214">
        <f t="shared" si="107"/>
        <v>802.2</v>
      </c>
      <c r="F55" s="214">
        <f t="shared" si="107"/>
        <v>0.85</v>
      </c>
      <c r="G55" s="214">
        <f t="shared" si="107"/>
        <v>0.10100000000000001</v>
      </c>
      <c r="H55" s="214">
        <f t="shared" si="99"/>
        <v>1.7070000000000001</v>
      </c>
      <c r="I55" s="155">
        <f t="shared" si="89"/>
        <v>0</v>
      </c>
      <c r="J55" s="155">
        <f t="shared" si="90"/>
        <v>0</v>
      </c>
      <c r="K55" s="155">
        <f t="shared" si="91"/>
        <v>1.7</v>
      </c>
      <c r="L55" s="155">
        <f t="shared" si="92"/>
        <v>10</v>
      </c>
      <c r="M55" s="156">
        <f t="shared" si="93"/>
        <v>0.21194391216046898</v>
      </c>
      <c r="N55" s="157">
        <f t="shared" si="94"/>
        <v>2.1194391216046896E-2</v>
      </c>
      <c r="O55" s="155">
        <f t="shared" si="95"/>
        <v>100</v>
      </c>
      <c r="P55" s="250">
        <v>1</v>
      </c>
      <c r="Q55" s="250">
        <v>1000</v>
      </c>
      <c r="R55" s="148">
        <f t="shared" si="96"/>
        <v>2.1194391216046897</v>
      </c>
      <c r="S55" s="148">
        <f t="shared" si="97"/>
        <v>0.21194391216046898</v>
      </c>
      <c r="T55" s="148">
        <f t="shared" si="100"/>
        <v>2.1194391216046899E-2</v>
      </c>
      <c r="U55" s="148">
        <f t="shared" si="101"/>
        <v>2.1194391216046897</v>
      </c>
      <c r="V55" s="7">
        <f t="shared" si="102"/>
        <v>1000</v>
      </c>
      <c r="W55" s="7">
        <f t="shared" si="103"/>
        <v>1000000</v>
      </c>
      <c r="X55" s="1345">
        <f t="shared" si="104"/>
        <v>21.194391216046899</v>
      </c>
      <c r="Y55" s="1345">
        <f t="shared" si="105"/>
        <v>2119.4391216046897</v>
      </c>
    </row>
    <row r="56" spans="1:25" s="1" customFormat="1" x14ac:dyDescent="0.2">
      <c r="A56" s="213" t="str">
        <f t="shared" ref="A56:G56" si="108">A110</f>
        <v>NMIJ</v>
      </c>
      <c r="B56" s="213" t="str">
        <f t="shared" si="108"/>
        <v>CPC00558</v>
      </c>
      <c r="C56" s="214">
        <f t="shared" si="108"/>
        <v>803.69399999999996</v>
      </c>
      <c r="D56" s="214">
        <f t="shared" si="108"/>
        <v>0.114</v>
      </c>
      <c r="E56" s="214">
        <f t="shared" si="108"/>
        <v>803.65800000000002</v>
      </c>
      <c r="F56" s="214">
        <f t="shared" si="108"/>
        <v>3.9E-2</v>
      </c>
      <c r="G56" s="214">
        <f t="shared" si="108"/>
        <v>-3.5999999999999997E-2</v>
      </c>
      <c r="H56" s="214">
        <f t="shared" si="99"/>
        <v>0.24</v>
      </c>
      <c r="I56" s="155">
        <f t="shared" si="89"/>
        <v>0</v>
      </c>
      <c r="J56" s="155">
        <f t="shared" si="90"/>
        <v>0</v>
      </c>
      <c r="K56" s="155">
        <f t="shared" si="91"/>
        <v>7.8E-2</v>
      </c>
      <c r="L56" s="155">
        <f t="shared" si="92"/>
        <v>10</v>
      </c>
      <c r="M56" s="156">
        <f t="shared" si="93"/>
        <v>9.7051863022493638E-3</v>
      </c>
      <c r="N56" s="157">
        <f t="shared" si="94"/>
        <v>9.7051863022493633E-4</v>
      </c>
      <c r="O56" s="155">
        <f t="shared" si="95"/>
        <v>100</v>
      </c>
      <c r="P56" s="250">
        <v>1</v>
      </c>
      <c r="Q56" s="250">
        <v>1000</v>
      </c>
      <c r="R56" s="148">
        <f t="shared" si="96"/>
        <v>9.7051863022493634E-2</v>
      </c>
      <c r="S56" s="148">
        <f t="shared" si="97"/>
        <v>9.7051863022493638E-3</v>
      </c>
      <c r="T56" s="148">
        <f t="shared" si="100"/>
        <v>9.7051863022493633E-4</v>
      </c>
      <c r="U56" s="148">
        <f t="shared" si="101"/>
        <v>9.7051863022493648E-2</v>
      </c>
      <c r="V56" s="7">
        <f t="shared" si="102"/>
        <v>1000</v>
      </c>
      <c r="W56" s="7">
        <f t="shared" si="103"/>
        <v>1000000</v>
      </c>
      <c r="X56" s="1345">
        <f t="shared" si="104"/>
        <v>0.97051863022493634</v>
      </c>
      <c r="Y56" s="1345">
        <f t="shared" si="105"/>
        <v>97.051863022493649</v>
      </c>
    </row>
    <row r="57" spans="1:25" s="1" customFormat="1" x14ac:dyDescent="0.2">
      <c r="A57" s="213" t="str">
        <f t="shared" ref="A57:G57" si="109">A111</f>
        <v>NPL</v>
      </c>
      <c r="B57" s="213">
        <f t="shared" si="109"/>
        <v>2181</v>
      </c>
      <c r="C57" s="214">
        <f t="shared" si="109"/>
        <v>799.74400000000003</v>
      </c>
      <c r="D57" s="214">
        <f t="shared" si="109"/>
        <v>0.10100000000000001</v>
      </c>
      <c r="E57" s="214">
        <f t="shared" si="109"/>
        <v>799.7</v>
      </c>
      <c r="F57" s="214">
        <f t="shared" si="109"/>
        <v>0.2</v>
      </c>
      <c r="G57" s="214">
        <f t="shared" si="109"/>
        <v>-4.3999999999999997E-2</v>
      </c>
      <c r="H57" s="214">
        <f t="shared" si="99"/>
        <v>0.44800000000000001</v>
      </c>
      <c r="I57" s="155">
        <f t="shared" si="89"/>
        <v>0</v>
      </c>
      <c r="J57" s="155">
        <f t="shared" si="90"/>
        <v>0</v>
      </c>
      <c r="K57" s="155">
        <f t="shared" si="91"/>
        <v>0.4</v>
      </c>
      <c r="L57" s="155">
        <f t="shared" si="92"/>
        <v>10</v>
      </c>
      <c r="M57" s="156">
        <f t="shared" si="93"/>
        <v>5.0016005121638923E-2</v>
      </c>
      <c r="N57" s="157">
        <f t="shared" si="94"/>
        <v>5.001600512163893E-3</v>
      </c>
      <c r="O57" s="155">
        <f t="shared" si="95"/>
        <v>100</v>
      </c>
      <c r="P57" s="250">
        <v>1</v>
      </c>
      <c r="Q57" s="250">
        <v>1000</v>
      </c>
      <c r="R57" s="148">
        <f t="shared" si="96"/>
        <v>0.50016005121638929</v>
      </c>
      <c r="S57" s="148">
        <f t="shared" si="97"/>
        <v>5.0016005121638923E-2</v>
      </c>
      <c r="T57" s="148">
        <f t="shared" si="100"/>
        <v>5.001600512163893E-3</v>
      </c>
      <c r="U57" s="148">
        <f t="shared" si="101"/>
        <v>0.50016005121638929</v>
      </c>
      <c r="V57" s="7">
        <f t="shared" si="102"/>
        <v>1000</v>
      </c>
      <c r="W57" s="7">
        <f t="shared" si="103"/>
        <v>1000000</v>
      </c>
      <c r="X57" s="1345">
        <f t="shared" si="104"/>
        <v>5.0016005121638933</v>
      </c>
      <c r="Y57" s="1345">
        <f t="shared" si="105"/>
        <v>500.16005121638926</v>
      </c>
    </row>
    <row r="58" spans="1:25" s="1" customFormat="1" x14ac:dyDescent="0.2">
      <c r="A58" s="213" t="str">
        <f t="shared" ref="A58:G58" si="110">A112</f>
        <v>NMISA</v>
      </c>
      <c r="B58" s="213" t="str">
        <f t="shared" si="110"/>
        <v>M518244</v>
      </c>
      <c r="C58" s="214">
        <f t="shared" si="110"/>
        <v>798.18700000000001</v>
      </c>
      <c r="D58" s="214">
        <f t="shared" si="110"/>
        <v>0.13200000000000001</v>
      </c>
      <c r="E58" s="214">
        <f t="shared" si="110"/>
        <v>799.1</v>
      </c>
      <c r="F58" s="214">
        <f t="shared" si="110"/>
        <v>0.5</v>
      </c>
      <c r="G58" s="214">
        <f t="shared" si="110"/>
        <v>0.91300000000000003</v>
      </c>
      <c r="H58" s="214">
        <f t="shared" si="99"/>
        <v>1.034</v>
      </c>
      <c r="I58" s="155">
        <f t="shared" si="89"/>
        <v>0</v>
      </c>
      <c r="J58" s="155">
        <f t="shared" si="90"/>
        <v>0</v>
      </c>
      <c r="K58" s="155">
        <f t="shared" si="91"/>
        <v>1</v>
      </c>
      <c r="L58" s="155">
        <f t="shared" si="92"/>
        <v>10</v>
      </c>
      <c r="M58" s="156">
        <f t="shared" si="93"/>
        <v>0.12528392469433855</v>
      </c>
      <c r="N58" s="157">
        <f t="shared" si="94"/>
        <v>1.2528392469433856E-2</v>
      </c>
      <c r="O58" s="155">
        <f t="shared" si="95"/>
        <v>100</v>
      </c>
      <c r="P58" s="250">
        <v>1</v>
      </c>
      <c r="Q58" s="250">
        <v>1000</v>
      </c>
      <c r="R58" s="148">
        <f t="shared" si="96"/>
        <v>1.2528392469433856</v>
      </c>
      <c r="S58" s="148">
        <f t="shared" si="97"/>
        <v>0.12528392469433855</v>
      </c>
      <c r="T58" s="148">
        <f t="shared" si="100"/>
        <v>1.2528392469433856E-2</v>
      </c>
      <c r="U58" s="148">
        <f t="shared" si="101"/>
        <v>1.2528392469433856</v>
      </c>
      <c r="V58" s="7">
        <f t="shared" si="102"/>
        <v>1000</v>
      </c>
      <c r="W58" s="7">
        <f t="shared" si="103"/>
        <v>1000000</v>
      </c>
      <c r="X58" s="1345">
        <f t="shared" si="104"/>
        <v>12.528392469433856</v>
      </c>
      <c r="Y58" s="1345">
        <f t="shared" si="105"/>
        <v>1252.8392469433857</v>
      </c>
    </row>
    <row r="59" spans="1:25" s="1" customFormat="1" x14ac:dyDescent="0.2">
      <c r="A59" s="213" t="str">
        <f t="shared" ref="A59:G59" si="111">A113</f>
        <v>VNIIM</v>
      </c>
      <c r="B59" s="213" t="str">
        <f t="shared" si="111"/>
        <v>M365707</v>
      </c>
      <c r="C59" s="214">
        <f t="shared" si="111"/>
        <v>800.697</v>
      </c>
      <c r="D59" s="214">
        <f t="shared" si="111"/>
        <v>8.4000000000000005E-2</v>
      </c>
      <c r="E59" s="214">
        <f t="shared" si="111"/>
        <v>800.73</v>
      </c>
      <c r="F59" s="214">
        <f t="shared" si="111"/>
        <v>9.5000000000000001E-2</v>
      </c>
      <c r="G59" s="214">
        <f t="shared" si="111"/>
        <v>3.3000000000000002E-2</v>
      </c>
      <c r="H59" s="214">
        <f t="shared" si="99"/>
        <v>0.253</v>
      </c>
      <c r="I59" s="155">
        <f t="shared" si="89"/>
        <v>0</v>
      </c>
      <c r="J59" s="155">
        <f t="shared" si="90"/>
        <v>0</v>
      </c>
      <c r="K59" s="155">
        <f t="shared" si="91"/>
        <v>0.19</v>
      </c>
      <c r="L59" s="155">
        <f t="shared" si="92"/>
        <v>10</v>
      </c>
      <c r="M59" s="156">
        <f t="shared" si="93"/>
        <v>2.3729325824875077E-2</v>
      </c>
      <c r="N59" s="157">
        <f t="shared" si="94"/>
        <v>2.3729325824875078E-3</v>
      </c>
      <c r="O59" s="155">
        <f t="shared" si="95"/>
        <v>100</v>
      </c>
      <c r="P59" s="250">
        <v>1</v>
      </c>
      <c r="Q59" s="250">
        <v>1000</v>
      </c>
      <c r="R59" s="148">
        <f t="shared" si="96"/>
        <v>0.23729325824875078</v>
      </c>
      <c r="S59" s="148">
        <f t="shared" si="97"/>
        <v>2.3729325824875077E-2</v>
      </c>
      <c r="T59" s="148">
        <f t="shared" si="100"/>
        <v>2.3729325824875078E-3</v>
      </c>
      <c r="U59" s="148">
        <f t="shared" si="101"/>
        <v>0.23729325824875078</v>
      </c>
      <c r="V59" s="7">
        <f t="shared" si="102"/>
        <v>1000</v>
      </c>
      <c r="W59" s="7">
        <f t="shared" si="103"/>
        <v>1000000</v>
      </c>
      <c r="X59" s="1345">
        <f t="shared" si="104"/>
        <v>2.3729325824875076</v>
      </c>
      <c r="Y59" s="1345">
        <f t="shared" si="105"/>
        <v>237.29325824875079</v>
      </c>
    </row>
    <row r="60" spans="1:25" s="1" customFormat="1" x14ac:dyDescent="0.2">
      <c r="A60" s="213" t="str">
        <f t="shared" ref="A60:G60" si="112">A114</f>
        <v>VSL</v>
      </c>
      <c r="B60" s="213">
        <f t="shared" si="112"/>
        <v>5604705</v>
      </c>
      <c r="C60" s="214">
        <f t="shared" si="112"/>
        <v>796.08</v>
      </c>
      <c r="D60" s="214">
        <f t="shared" si="112"/>
        <v>0.191</v>
      </c>
      <c r="E60" s="214">
        <f t="shared" si="112"/>
        <v>795.7</v>
      </c>
      <c r="F60" s="214">
        <f t="shared" si="112"/>
        <v>0.3</v>
      </c>
      <c r="G60" s="214">
        <f t="shared" si="112"/>
        <v>-0.38</v>
      </c>
      <c r="H60" s="214">
        <f t="shared" si="99"/>
        <v>0.71199999999999997</v>
      </c>
      <c r="I60" s="155">
        <f t="shared" si="89"/>
        <v>0</v>
      </c>
      <c r="J60" s="155">
        <f t="shared" si="90"/>
        <v>0</v>
      </c>
      <c r="K60" s="155">
        <f t="shared" si="91"/>
        <v>0.6</v>
      </c>
      <c r="L60" s="155">
        <f t="shared" si="92"/>
        <v>10</v>
      </c>
      <c r="M60" s="156">
        <f t="shared" si="93"/>
        <v>7.5369309617123903E-2</v>
      </c>
      <c r="N60" s="157">
        <f t="shared" si="94"/>
        <v>7.5369309617123901E-3</v>
      </c>
      <c r="O60" s="155">
        <f t="shared" si="95"/>
        <v>100</v>
      </c>
      <c r="P60" s="250">
        <v>1</v>
      </c>
      <c r="Q60" s="250">
        <v>1000</v>
      </c>
      <c r="R60" s="148">
        <f t="shared" si="96"/>
        <v>0.75369309617123903</v>
      </c>
      <c r="S60" s="148">
        <f t="shared" si="97"/>
        <v>7.5369309617123903E-2</v>
      </c>
      <c r="T60" s="148">
        <f t="shared" si="100"/>
        <v>7.5369309617123901E-3</v>
      </c>
      <c r="U60" s="148">
        <f t="shared" si="101"/>
        <v>0.75369309617123903</v>
      </c>
      <c r="V60" s="7">
        <f t="shared" si="102"/>
        <v>1000</v>
      </c>
      <c r="W60" s="7">
        <f t="shared" si="103"/>
        <v>1000000</v>
      </c>
      <c r="X60" s="1345">
        <f t="shared" si="104"/>
        <v>7.5369309617123905</v>
      </c>
      <c r="Y60" s="1345">
        <f t="shared" si="105"/>
        <v>753.69309617123906</v>
      </c>
    </row>
    <row r="61" spans="1:25" s="1" customFormat="1" x14ac:dyDescent="0.2">
      <c r="A61" s="213" t="str">
        <f t="shared" ref="A61:G61" si="113">A115</f>
        <v>UME</v>
      </c>
      <c r="B61" s="213" t="str">
        <f t="shared" si="113"/>
        <v>PSM298347</v>
      </c>
      <c r="C61" s="214">
        <f t="shared" si="113"/>
        <v>800.91700000000003</v>
      </c>
      <c r="D61" s="214">
        <f t="shared" si="113"/>
        <v>8.3000000000000004E-2</v>
      </c>
      <c r="E61" s="214">
        <f t="shared" si="113"/>
        <v>800.76</v>
      </c>
      <c r="F61" s="214">
        <f t="shared" si="113"/>
        <v>0.18</v>
      </c>
      <c r="G61" s="214">
        <f t="shared" si="113"/>
        <v>-0.157</v>
      </c>
      <c r="H61" s="214">
        <f t="shared" si="99"/>
        <v>0.39600000000000002</v>
      </c>
      <c r="I61" s="155">
        <f t="shared" si="89"/>
        <v>0</v>
      </c>
      <c r="J61" s="155">
        <f t="shared" si="90"/>
        <v>0</v>
      </c>
      <c r="K61" s="155">
        <f t="shared" si="91"/>
        <v>0.36</v>
      </c>
      <c r="L61" s="155">
        <f t="shared" si="92"/>
        <v>10</v>
      </c>
      <c r="M61" s="156">
        <f t="shared" si="93"/>
        <v>4.4948477807313363E-2</v>
      </c>
      <c r="N61" s="157">
        <f t="shared" si="94"/>
        <v>4.4948477807313361E-3</v>
      </c>
      <c r="O61" s="155">
        <f t="shared" si="95"/>
        <v>100</v>
      </c>
      <c r="P61" s="250">
        <v>1</v>
      </c>
      <c r="Q61" s="250">
        <v>1000</v>
      </c>
      <c r="R61" s="148">
        <f t="shared" si="96"/>
        <v>0.44948477807313364</v>
      </c>
      <c r="S61" s="148">
        <f t="shared" si="97"/>
        <v>4.4948477807313363E-2</v>
      </c>
      <c r="T61" s="148">
        <f t="shared" si="100"/>
        <v>4.4948477807313361E-3</v>
      </c>
      <c r="U61" s="148">
        <f t="shared" si="101"/>
        <v>0.44948477807313358</v>
      </c>
      <c r="V61" s="7">
        <f t="shared" si="102"/>
        <v>1000</v>
      </c>
      <c r="W61" s="7">
        <f t="shared" si="103"/>
        <v>1000000</v>
      </c>
      <c r="X61" s="1345">
        <f t="shared" si="104"/>
        <v>4.4948477807313365</v>
      </c>
      <c r="Y61" s="1345">
        <f t="shared" si="105"/>
        <v>449.48477807313361</v>
      </c>
    </row>
    <row r="62" spans="1:25" s="1" customFormat="1" x14ac:dyDescent="0.2">
      <c r="A62" s="213" t="str">
        <f t="shared" ref="A62:G62" si="114">A116</f>
        <v>NIM</v>
      </c>
      <c r="B62" s="213" t="str">
        <f t="shared" si="114"/>
        <v>FB03748</v>
      </c>
      <c r="C62" s="214">
        <f t="shared" si="114"/>
        <v>810.42399999999998</v>
      </c>
      <c r="D62" s="214">
        <f t="shared" si="114"/>
        <v>0.32700000000000001</v>
      </c>
      <c r="E62" s="214">
        <f t="shared" si="114"/>
        <v>809.82</v>
      </c>
      <c r="F62" s="214">
        <f t="shared" si="114"/>
        <v>0.13</v>
      </c>
      <c r="G62" s="214">
        <f t="shared" si="114"/>
        <v>-0.60399999999999998</v>
      </c>
      <c r="H62" s="214">
        <f t="shared" si="99"/>
        <v>0.70299999999999996</v>
      </c>
      <c r="I62" s="155">
        <f t="shared" si="89"/>
        <v>0</v>
      </c>
      <c r="J62" s="155">
        <f t="shared" si="90"/>
        <v>0</v>
      </c>
      <c r="K62" s="155">
        <f t="shared" si="91"/>
        <v>0.26</v>
      </c>
      <c r="L62" s="155">
        <f t="shared" si="92"/>
        <v>10</v>
      </c>
      <c r="M62" s="156">
        <f t="shared" si="93"/>
        <v>3.2081971906063989E-2</v>
      </c>
      <c r="N62" s="157">
        <f t="shared" si="94"/>
        <v>3.208197190606399E-3</v>
      </c>
      <c r="O62" s="155">
        <f t="shared" si="95"/>
        <v>100</v>
      </c>
      <c r="P62" s="250">
        <v>1</v>
      </c>
      <c r="Q62" s="250">
        <v>1000</v>
      </c>
      <c r="R62" s="148">
        <f t="shared" si="96"/>
        <v>0.32081971906063989</v>
      </c>
      <c r="S62" s="148">
        <f t="shared" si="97"/>
        <v>3.2081971906063989E-2</v>
      </c>
      <c r="T62" s="148">
        <f t="shared" si="100"/>
        <v>3.208197190606399E-3</v>
      </c>
      <c r="U62" s="148">
        <f t="shared" si="101"/>
        <v>0.32081971906063994</v>
      </c>
      <c r="V62" s="7">
        <f t="shared" si="102"/>
        <v>1000</v>
      </c>
      <c r="W62" s="7">
        <f t="shared" si="103"/>
        <v>1000000</v>
      </c>
      <c r="X62" s="1345">
        <f t="shared" si="104"/>
        <v>3.2081971906063989</v>
      </c>
      <c r="Y62" s="1345">
        <f t="shared" si="105"/>
        <v>320.81971906063995</v>
      </c>
    </row>
    <row r="63" spans="1:25" x14ac:dyDescent="0.2">
      <c r="A63" s="213" t="str">
        <f t="shared" ref="A63:G63" si="115">A117</f>
        <v>NOAA</v>
      </c>
      <c r="B63" s="213" t="str">
        <f t="shared" si="115"/>
        <v>CB11668</v>
      </c>
      <c r="C63" s="214">
        <f t="shared" si="115"/>
        <v>794.60799999999995</v>
      </c>
      <c r="D63" s="214">
        <f t="shared" si="115"/>
        <v>0.23699999999999999</v>
      </c>
      <c r="E63" s="214">
        <f t="shared" si="115"/>
        <v>794.08</v>
      </c>
      <c r="F63" s="214">
        <f t="shared" si="115"/>
        <v>0.24</v>
      </c>
      <c r="G63" s="214">
        <f t="shared" si="115"/>
        <v>-0.52800000000000002</v>
      </c>
      <c r="H63" s="214">
        <f t="shared" si="99"/>
        <v>0.67400000000000004</v>
      </c>
      <c r="I63" s="155">
        <f t="shared" si="89"/>
        <v>0</v>
      </c>
      <c r="J63" s="155">
        <f t="shared" si="90"/>
        <v>0</v>
      </c>
      <c r="K63" s="155">
        <f t="shared" si="91"/>
        <v>0.48</v>
      </c>
      <c r="L63" s="155">
        <f t="shared" si="92"/>
        <v>10</v>
      </c>
      <c r="M63" s="156">
        <f t="shared" si="93"/>
        <v>6.040714415158166E-2</v>
      </c>
      <c r="N63" s="157">
        <f t="shared" si="94"/>
        <v>6.0407144151581656E-3</v>
      </c>
      <c r="O63" s="155">
        <f t="shared" si="95"/>
        <v>100</v>
      </c>
      <c r="P63" s="250">
        <v>1</v>
      </c>
      <c r="Q63" s="250">
        <v>1000</v>
      </c>
      <c r="R63" s="148">
        <f t="shared" si="96"/>
        <v>0.6040714415158166</v>
      </c>
      <c r="S63" s="148">
        <f t="shared" si="97"/>
        <v>6.040714415158166E-2</v>
      </c>
      <c r="T63" s="148">
        <f t="shared" si="100"/>
        <v>6.0407144151581665E-3</v>
      </c>
      <c r="U63" s="148">
        <f t="shared" si="101"/>
        <v>0.6040714415158166</v>
      </c>
      <c r="V63" s="7">
        <f t="shared" si="102"/>
        <v>1000</v>
      </c>
      <c r="W63" s="7">
        <f t="shared" si="103"/>
        <v>1000000</v>
      </c>
      <c r="X63" s="1345">
        <f t="shared" si="104"/>
        <v>6.0407144151581669</v>
      </c>
      <c r="Y63" s="1345">
        <f t="shared" si="105"/>
        <v>604.07144151581656</v>
      </c>
    </row>
    <row r="64" spans="1:25" x14ac:dyDescent="0.2">
      <c r="A64" s="213" t="str">
        <f t="shared" ref="A64:G64" si="116">A118</f>
        <v>BFKH</v>
      </c>
      <c r="B64" s="213" t="str">
        <f t="shared" si="116"/>
        <v>OMH69</v>
      </c>
      <c r="C64" s="214">
        <f t="shared" si="116"/>
        <v>800.28200000000004</v>
      </c>
      <c r="D64" s="214">
        <f t="shared" si="116"/>
        <v>0.1</v>
      </c>
      <c r="E64" s="214">
        <f t="shared" si="116"/>
        <v>800.3</v>
      </c>
      <c r="F64" s="214">
        <f t="shared" si="116"/>
        <v>1.45</v>
      </c>
      <c r="G64" s="214">
        <f t="shared" si="116"/>
        <v>1.7999999999999999E-2</v>
      </c>
      <c r="H64" s="214">
        <f t="shared" si="99"/>
        <v>2.907</v>
      </c>
      <c r="I64" s="155">
        <f t="shared" si="89"/>
        <v>0</v>
      </c>
      <c r="J64" s="155">
        <f t="shared" si="90"/>
        <v>0</v>
      </c>
      <c r="K64" s="155">
        <f t="shared" si="91"/>
        <v>2.9</v>
      </c>
      <c r="L64" s="155">
        <f t="shared" si="92"/>
        <v>10</v>
      </c>
      <c r="M64" s="156">
        <f t="shared" si="93"/>
        <v>0.36237226377701859</v>
      </c>
      <c r="N64" s="157">
        <f t="shared" si="94"/>
        <v>3.623722637770186E-2</v>
      </c>
      <c r="O64" s="155">
        <f t="shared" si="95"/>
        <v>100</v>
      </c>
      <c r="P64" s="250">
        <v>1</v>
      </c>
      <c r="Q64" s="250">
        <v>1000</v>
      </c>
      <c r="R64" s="148">
        <f t="shared" si="96"/>
        <v>3.6237226377701859</v>
      </c>
      <c r="S64" s="148">
        <f t="shared" si="97"/>
        <v>0.36237226377701859</v>
      </c>
      <c r="T64" s="148">
        <f t="shared" si="100"/>
        <v>3.623722637770186E-2</v>
      </c>
      <c r="U64" s="148">
        <f t="shared" si="101"/>
        <v>3.6237226377701859</v>
      </c>
      <c r="V64" s="7">
        <f t="shared" si="102"/>
        <v>1000</v>
      </c>
      <c r="W64" s="7">
        <f t="shared" si="103"/>
        <v>1000000</v>
      </c>
      <c r="X64" s="1345">
        <f t="shared" si="104"/>
        <v>36.237226377701859</v>
      </c>
      <c r="Y64" s="1345">
        <f t="shared" si="105"/>
        <v>3623.7226377701859</v>
      </c>
    </row>
    <row r="65" spans="1:25" x14ac:dyDescent="0.2">
      <c r="A65" s="213" t="str">
        <f t="shared" ref="A65:G65" si="117">A119</f>
        <v>NIST</v>
      </c>
      <c r="B65" s="213" t="str">
        <f t="shared" si="117"/>
        <v>FB04287</v>
      </c>
      <c r="C65" s="214">
        <f t="shared" si="117"/>
        <v>795.51099999999997</v>
      </c>
      <c r="D65" s="214">
        <f t="shared" si="117"/>
        <v>0.20799999999999999</v>
      </c>
      <c r="E65" s="214">
        <f t="shared" si="117"/>
        <v>794.53</v>
      </c>
      <c r="F65" s="214">
        <f t="shared" si="117"/>
        <v>0.51400000000000001</v>
      </c>
      <c r="G65" s="214">
        <f t="shared" si="117"/>
        <v>-0.98099999999999998</v>
      </c>
      <c r="H65" s="214">
        <f t="shared" si="99"/>
        <v>1.109</v>
      </c>
      <c r="I65" s="155">
        <f t="shared" si="89"/>
        <v>0</v>
      </c>
      <c r="J65" s="155">
        <f t="shared" si="90"/>
        <v>0</v>
      </c>
      <c r="K65" s="155">
        <f t="shared" si="91"/>
        <v>1.028</v>
      </c>
      <c r="L65" s="155">
        <f t="shared" si="92"/>
        <v>10</v>
      </c>
      <c r="M65" s="156">
        <f t="shared" si="93"/>
        <v>0.12922511442330778</v>
      </c>
      <c r="N65" s="157">
        <f t="shared" si="94"/>
        <v>1.2922511442330777E-2</v>
      </c>
      <c r="O65" s="155">
        <f t="shared" si="95"/>
        <v>100</v>
      </c>
      <c r="P65" s="250">
        <v>1</v>
      </c>
      <c r="Q65" s="250">
        <v>1000</v>
      </c>
      <c r="R65" s="148">
        <f t="shared" si="96"/>
        <v>1.2922511442330777</v>
      </c>
      <c r="S65" s="148">
        <f t="shared" si="97"/>
        <v>0.12922511442330778</v>
      </c>
      <c r="T65" s="148">
        <f t="shared" si="100"/>
        <v>1.2922511442330777E-2</v>
      </c>
      <c r="U65" s="148">
        <f t="shared" si="101"/>
        <v>1.292251144233078</v>
      </c>
      <c r="V65" s="7">
        <f t="shared" si="102"/>
        <v>1000</v>
      </c>
      <c r="W65" s="7">
        <f t="shared" si="103"/>
        <v>1000000</v>
      </c>
      <c r="X65" s="1345">
        <f t="shared" si="104"/>
        <v>12.922511442330777</v>
      </c>
      <c r="Y65" s="1345">
        <f t="shared" si="105"/>
        <v>1292.2511442330779</v>
      </c>
    </row>
    <row r="66" spans="1:25" x14ac:dyDescent="0.2">
      <c r="A66" s="213" t="str">
        <f t="shared" ref="A66:G66" si="118">A120</f>
        <v>NPLI</v>
      </c>
      <c r="B66" s="213" t="str">
        <f t="shared" si="118"/>
        <v>JJ108854</v>
      </c>
      <c r="C66" s="214">
        <f t="shared" si="118"/>
        <v>794.50099999999998</v>
      </c>
      <c r="D66" s="214">
        <f t="shared" si="118"/>
        <v>0.23899999999999999</v>
      </c>
      <c r="E66" s="214">
        <f t="shared" si="118"/>
        <v>796.38</v>
      </c>
      <c r="F66" s="214">
        <f t="shared" si="118"/>
        <v>2.5150000000000001</v>
      </c>
      <c r="G66" s="214">
        <f t="shared" si="118"/>
        <v>1.879</v>
      </c>
      <c r="H66" s="214">
        <f t="shared" si="99"/>
        <v>5.0529999999999999</v>
      </c>
      <c r="I66" s="155">
        <f t="shared" si="89"/>
        <v>0</v>
      </c>
      <c r="J66" s="155">
        <f t="shared" si="90"/>
        <v>0</v>
      </c>
      <c r="K66" s="155">
        <f t="shared" si="91"/>
        <v>5.03</v>
      </c>
      <c r="L66" s="155">
        <f t="shared" si="92"/>
        <v>10</v>
      </c>
      <c r="M66" s="156">
        <f t="shared" si="93"/>
        <v>0.63310178338353262</v>
      </c>
      <c r="N66" s="157">
        <f t="shared" si="94"/>
        <v>6.3310178338353257E-2</v>
      </c>
      <c r="O66" s="155">
        <f t="shared" si="95"/>
        <v>100</v>
      </c>
      <c r="P66" s="250">
        <v>1</v>
      </c>
      <c r="Q66" s="250">
        <v>1000</v>
      </c>
      <c r="R66" s="148">
        <f t="shared" si="96"/>
        <v>6.3310178338353262</v>
      </c>
      <c r="S66" s="148">
        <f t="shared" si="97"/>
        <v>0.63310178338353262</v>
      </c>
      <c r="T66" s="148">
        <f t="shared" si="100"/>
        <v>6.3310178338353257E-2</v>
      </c>
      <c r="U66" s="148">
        <f t="shared" si="101"/>
        <v>6.3310178338353262</v>
      </c>
      <c r="V66" s="7">
        <f t="shared" si="102"/>
        <v>1000</v>
      </c>
      <c r="W66" s="7">
        <f t="shared" si="103"/>
        <v>1000000</v>
      </c>
      <c r="X66" s="1345">
        <f t="shared" si="104"/>
        <v>63.310178338353253</v>
      </c>
      <c r="Y66" s="1345">
        <f t="shared" si="105"/>
        <v>6331.0178338353262</v>
      </c>
    </row>
    <row r="69" spans="1:25" ht="17.100000000000001" customHeight="1" x14ac:dyDescent="0.2">
      <c r="A69" s="315" t="s">
        <v>225</v>
      </c>
    </row>
    <row r="70" spans="1:25" ht="72" customHeight="1" x14ac:dyDescent="0.2">
      <c r="A70" s="316" t="s">
        <v>226</v>
      </c>
      <c r="B70" s="317" t="s">
        <v>227</v>
      </c>
      <c r="C70" s="318" t="s">
        <v>228</v>
      </c>
      <c r="D70" s="318" t="s">
        <v>229</v>
      </c>
      <c r="E70" s="319" t="s">
        <v>230</v>
      </c>
      <c r="F70" s="320" t="s">
        <v>231</v>
      </c>
      <c r="G70" s="319" t="s">
        <v>232</v>
      </c>
      <c r="H70" s="318" t="s">
        <v>233</v>
      </c>
      <c r="I70" s="320" t="s">
        <v>234</v>
      </c>
      <c r="O70" s="318"/>
    </row>
    <row r="71" spans="1:25" ht="18" customHeight="1" x14ac:dyDescent="0.2">
      <c r="A71" s="321" t="s">
        <v>235</v>
      </c>
      <c r="B71" s="321" t="s">
        <v>236</v>
      </c>
      <c r="C71" s="322">
        <v>379.66399999999999</v>
      </c>
      <c r="D71" s="322">
        <v>4.3999999999999997E-2</v>
      </c>
      <c r="E71" s="323">
        <v>380.1</v>
      </c>
      <c r="F71" s="324">
        <v>2.2000000000000002</v>
      </c>
      <c r="G71" s="323">
        <v>0.436</v>
      </c>
      <c r="H71" s="325">
        <v>2.2000000000000002</v>
      </c>
      <c r="I71" s="324">
        <v>4.4009999999999998</v>
      </c>
      <c r="N71" s="322"/>
      <c r="O71" s="322"/>
    </row>
    <row r="72" spans="1:25" ht="15" customHeight="1" x14ac:dyDescent="0.2">
      <c r="A72" s="326" t="s">
        <v>237</v>
      </c>
      <c r="B72" s="326" t="s">
        <v>238</v>
      </c>
      <c r="C72" s="327">
        <v>378.82799999999997</v>
      </c>
      <c r="D72" s="327">
        <v>5.5E-2</v>
      </c>
      <c r="E72" s="328">
        <v>378.9</v>
      </c>
      <c r="F72" s="329">
        <v>0.1</v>
      </c>
      <c r="G72" s="328">
        <v>7.1999999999999995E-2</v>
      </c>
      <c r="H72" s="330">
        <v>0.114</v>
      </c>
      <c r="I72" s="329">
        <v>0.22800000000000001</v>
      </c>
      <c r="N72" s="327"/>
      <c r="O72" s="327"/>
    </row>
    <row r="73" spans="1:25" ht="15" customHeight="1" x14ac:dyDescent="0.2">
      <c r="A73" s="326" t="s">
        <v>239</v>
      </c>
      <c r="B73" s="331">
        <v>1029045</v>
      </c>
      <c r="C73" s="327">
        <v>379.25299999999999</v>
      </c>
      <c r="D73" s="327">
        <v>5.0999999999999997E-2</v>
      </c>
      <c r="E73" s="328">
        <v>379.48</v>
      </c>
      <c r="F73" s="329">
        <v>0.39500000000000002</v>
      </c>
      <c r="G73" s="328">
        <v>0.22700000000000001</v>
      </c>
      <c r="H73" s="330">
        <v>0.39800000000000002</v>
      </c>
      <c r="I73" s="329">
        <v>0.79600000000000004</v>
      </c>
      <c r="N73" s="327"/>
      <c r="O73" s="327"/>
    </row>
    <row r="74" spans="1:25" ht="15" customHeight="1" x14ac:dyDescent="0.2">
      <c r="A74" s="326" t="s">
        <v>240</v>
      </c>
      <c r="B74" s="326" t="s">
        <v>241</v>
      </c>
      <c r="C74" s="327">
        <v>383.45299999999997</v>
      </c>
      <c r="D74" s="327">
        <v>5.1999999999999998E-2</v>
      </c>
      <c r="E74" s="328">
        <v>383.43</v>
      </c>
      <c r="F74" s="329">
        <v>0.1</v>
      </c>
      <c r="G74" s="332">
        <v>-2.3E-2</v>
      </c>
      <c r="H74" s="330">
        <v>0.113</v>
      </c>
      <c r="I74" s="329">
        <v>0.22600000000000001</v>
      </c>
      <c r="N74" s="327"/>
      <c r="O74" s="327"/>
    </row>
    <row r="75" spans="1:25" ht="15" customHeight="1" x14ac:dyDescent="0.2">
      <c r="A75" s="326" t="s">
        <v>242</v>
      </c>
      <c r="B75" s="326" t="s">
        <v>243</v>
      </c>
      <c r="C75" s="327">
        <v>386.59699999999998</v>
      </c>
      <c r="D75" s="327">
        <v>8.7999999999999995E-2</v>
      </c>
      <c r="E75" s="328">
        <v>386.61700000000002</v>
      </c>
      <c r="F75" s="333">
        <v>2.5000000000000001E-2</v>
      </c>
      <c r="G75" s="328">
        <v>0.02</v>
      </c>
      <c r="H75" s="330">
        <v>9.0999999999999998E-2</v>
      </c>
      <c r="I75" s="329">
        <v>0.182</v>
      </c>
      <c r="N75" s="327"/>
      <c r="O75" s="327"/>
    </row>
    <row r="76" spans="1:25" ht="15" customHeight="1" x14ac:dyDescent="0.2">
      <c r="A76" s="326" t="s">
        <v>244</v>
      </c>
      <c r="B76" s="326" t="s">
        <v>245</v>
      </c>
      <c r="C76" s="327">
        <v>379.74299999999999</v>
      </c>
      <c r="D76" s="327">
        <v>0.05</v>
      </c>
      <c r="E76" s="328">
        <v>380.2</v>
      </c>
      <c r="F76" s="329">
        <v>1</v>
      </c>
      <c r="G76" s="328">
        <v>0.45700000000000002</v>
      </c>
      <c r="H76" s="330">
        <v>1.0009999999999999</v>
      </c>
      <c r="I76" s="329">
        <v>2.0019999999999998</v>
      </c>
      <c r="N76" s="327"/>
      <c r="O76" s="327"/>
    </row>
    <row r="77" spans="1:25" ht="15" customHeight="1" x14ac:dyDescent="0.2">
      <c r="A77" s="326" t="s">
        <v>246</v>
      </c>
      <c r="B77" s="326" t="s">
        <v>247</v>
      </c>
      <c r="C77" s="327">
        <v>379.51100000000002</v>
      </c>
      <c r="D77" s="327">
        <v>4.5999999999999999E-2</v>
      </c>
      <c r="E77" s="328">
        <v>379.5</v>
      </c>
      <c r="F77" s="329">
        <v>0.105</v>
      </c>
      <c r="G77" s="332">
        <v>-1.0999999999999999E-2</v>
      </c>
      <c r="H77" s="330">
        <v>0.115</v>
      </c>
      <c r="I77" s="329">
        <v>0.22900000000000001</v>
      </c>
      <c r="N77" s="327"/>
      <c r="O77" s="327"/>
    </row>
    <row r="78" spans="1:25" ht="15" customHeight="1" x14ac:dyDescent="0.2">
      <c r="A78" s="326" t="s">
        <v>248</v>
      </c>
      <c r="B78" s="331">
        <v>2179</v>
      </c>
      <c r="C78" s="327">
        <v>380.26900000000001</v>
      </c>
      <c r="D78" s="327">
        <v>4.1000000000000002E-2</v>
      </c>
      <c r="E78" s="328">
        <v>380.27</v>
      </c>
      <c r="F78" s="329">
        <v>9.5000000000000001E-2</v>
      </c>
      <c r="G78" s="328">
        <v>1E-3</v>
      </c>
      <c r="H78" s="330">
        <v>0.10299999999999999</v>
      </c>
      <c r="I78" s="329">
        <v>0.20699999999999999</v>
      </c>
      <c r="N78" s="327"/>
      <c r="O78" s="327"/>
    </row>
    <row r="79" spans="1:25" ht="15" customHeight="1" x14ac:dyDescent="0.2">
      <c r="A79" s="326" t="s">
        <v>249</v>
      </c>
      <c r="B79" s="326" t="s">
        <v>250</v>
      </c>
      <c r="C79" s="327">
        <v>380.18200000000002</v>
      </c>
      <c r="D79" s="327">
        <v>4.2000000000000003E-2</v>
      </c>
      <c r="E79" s="328">
        <v>380.2</v>
      </c>
      <c r="F79" s="333">
        <v>5.5E-2</v>
      </c>
      <c r="G79" s="328">
        <v>1.7999999999999999E-2</v>
      </c>
      <c r="H79" s="330">
        <v>6.9000000000000006E-2</v>
      </c>
      <c r="I79" s="329">
        <v>0.13800000000000001</v>
      </c>
      <c r="N79" s="327"/>
      <c r="O79" s="327"/>
    </row>
    <row r="80" spans="1:25" ht="15" customHeight="1" x14ac:dyDescent="0.2">
      <c r="A80" s="326" t="s">
        <v>251</v>
      </c>
      <c r="B80" s="331">
        <v>5604614</v>
      </c>
      <c r="C80" s="327">
        <v>378.93700000000001</v>
      </c>
      <c r="D80" s="327">
        <v>5.0999999999999997E-2</v>
      </c>
      <c r="E80" s="328">
        <v>378.9</v>
      </c>
      <c r="F80" s="329">
        <v>0.14000000000000001</v>
      </c>
      <c r="G80" s="332">
        <v>-3.6999999999999998E-2</v>
      </c>
      <c r="H80" s="330">
        <v>0.14899999999999999</v>
      </c>
      <c r="I80" s="329">
        <v>0.29799999999999999</v>
      </c>
      <c r="N80" s="327"/>
      <c r="O80" s="327"/>
    </row>
    <row r="81" spans="1:15" ht="14.1" customHeight="1" x14ac:dyDescent="0.2">
      <c r="A81" s="326" t="s">
        <v>252</v>
      </c>
      <c r="B81" s="326" t="s">
        <v>253</v>
      </c>
      <c r="C81" s="327">
        <v>380.017</v>
      </c>
      <c r="D81" s="327">
        <v>7.0999999999999994E-2</v>
      </c>
      <c r="E81" s="328">
        <v>379.92</v>
      </c>
      <c r="F81" s="333">
        <v>9.5000000000000001E-2</v>
      </c>
      <c r="G81" s="332">
        <v>-9.7000000000000003E-2</v>
      </c>
      <c r="H81" s="330">
        <v>0.11799999999999999</v>
      </c>
      <c r="I81" s="329">
        <v>0.23699999999999999</v>
      </c>
      <c r="N81" s="327"/>
      <c r="O81" s="327"/>
    </row>
    <row r="82" spans="1:15" ht="14.1" customHeight="1" x14ac:dyDescent="0.2">
      <c r="A82" s="334" t="s">
        <v>254</v>
      </c>
      <c r="B82" s="334" t="s">
        <v>255</v>
      </c>
      <c r="C82" s="335">
        <v>374.88400000000001</v>
      </c>
      <c r="D82" s="335">
        <v>9.9000000000000005E-2</v>
      </c>
      <c r="E82" s="336">
        <v>379.8</v>
      </c>
      <c r="F82" s="337">
        <v>0.85</v>
      </c>
      <c r="G82" s="336">
        <v>4.9160000000000004</v>
      </c>
      <c r="H82" s="338">
        <v>0.85599999999999998</v>
      </c>
      <c r="I82" s="337">
        <v>1.7110000000000001</v>
      </c>
      <c r="N82" s="335"/>
      <c r="O82" s="335"/>
    </row>
    <row r="83" spans="1:15" ht="15" customHeight="1" x14ac:dyDescent="0.2">
      <c r="A83" s="339" t="s">
        <v>256</v>
      </c>
      <c r="B83" s="340" t="s">
        <v>257</v>
      </c>
      <c r="C83" s="335">
        <v>380.08800000000002</v>
      </c>
      <c r="D83" s="335">
        <v>4.2000000000000003E-2</v>
      </c>
      <c r="E83" s="341">
        <v>379.04500000000002</v>
      </c>
      <c r="F83" s="342">
        <v>0.19500000000000001</v>
      </c>
      <c r="G83" s="343">
        <v>-1.044</v>
      </c>
      <c r="H83" s="338">
        <v>0.2</v>
      </c>
      <c r="I83" s="342">
        <v>0.4</v>
      </c>
      <c r="N83" s="335"/>
      <c r="O83" s="335"/>
    </row>
    <row r="84" spans="1:15" ht="12" customHeight="1" x14ac:dyDescent="0.2">
      <c r="A84" s="344" t="s">
        <v>258</v>
      </c>
      <c r="B84" s="345" t="s">
        <v>259</v>
      </c>
      <c r="C84" s="346">
        <v>374.57600000000002</v>
      </c>
      <c r="D84" s="346">
        <v>0.108</v>
      </c>
      <c r="E84" s="347">
        <v>375.72</v>
      </c>
      <c r="F84" s="348">
        <v>1.61</v>
      </c>
      <c r="G84" s="347">
        <v>1.1439999999999999</v>
      </c>
      <c r="H84" s="349">
        <v>1.6140000000000001</v>
      </c>
      <c r="I84" s="348">
        <v>3.2269999999999999</v>
      </c>
      <c r="N84" s="346"/>
      <c r="O84" s="346"/>
    </row>
    <row r="85" spans="1:15" ht="15.95" customHeight="1" x14ac:dyDescent="0.2">
      <c r="A85" s="350" t="s">
        <v>260</v>
      </c>
    </row>
    <row r="86" spans="1:15" ht="15.95" customHeight="1" x14ac:dyDescent="0.2">
      <c r="A86" s="350"/>
    </row>
    <row r="87" spans="1:15" ht="71.099999999999994" customHeight="1" x14ac:dyDescent="0.2">
      <c r="A87" s="316" t="s">
        <v>226</v>
      </c>
      <c r="B87" s="317" t="s">
        <v>227</v>
      </c>
      <c r="C87" s="318" t="s">
        <v>261</v>
      </c>
      <c r="D87" s="320" t="s">
        <v>229</v>
      </c>
      <c r="E87" s="319" t="s">
        <v>230</v>
      </c>
      <c r="F87" s="320" t="s">
        <v>231</v>
      </c>
      <c r="G87" s="319" t="s">
        <v>262</v>
      </c>
      <c r="H87" s="318" t="s">
        <v>263</v>
      </c>
      <c r="I87" s="320" t="s">
        <v>264</v>
      </c>
      <c r="M87" s="351" t="s">
        <v>265</v>
      </c>
      <c r="O87" s="318"/>
    </row>
    <row r="88" spans="1:15" ht="18" customHeight="1" x14ac:dyDescent="0.2">
      <c r="A88" s="352" t="s">
        <v>235</v>
      </c>
      <c r="B88" s="353" t="s">
        <v>266</v>
      </c>
      <c r="C88" s="354">
        <v>477.70600000000002</v>
      </c>
      <c r="D88" s="354">
        <v>5.0999999999999997E-2</v>
      </c>
      <c r="E88" s="355">
        <v>478.1</v>
      </c>
      <c r="F88" s="356">
        <v>2.6</v>
      </c>
      <c r="G88" s="355">
        <v>0.39400000000000002</v>
      </c>
      <c r="H88" s="354">
        <v>2.601</v>
      </c>
      <c r="I88" s="357">
        <v>5.2009999999999996</v>
      </c>
      <c r="O88" s="354"/>
    </row>
    <row r="89" spans="1:15" ht="15" customHeight="1" x14ac:dyDescent="0.2">
      <c r="A89" s="358" t="s">
        <v>267</v>
      </c>
      <c r="B89" s="359" t="s">
        <v>268</v>
      </c>
      <c r="C89" s="360">
        <v>479.00700000000001</v>
      </c>
      <c r="D89" s="360">
        <v>0.17299999999999999</v>
      </c>
      <c r="E89" s="361">
        <v>479.3</v>
      </c>
      <c r="F89" s="362">
        <v>0.8</v>
      </c>
      <c r="G89" s="361">
        <v>0.29299999999999998</v>
      </c>
      <c r="H89" s="360">
        <v>0.81899999999999995</v>
      </c>
      <c r="I89" s="363">
        <v>1.637</v>
      </c>
      <c r="O89" s="360"/>
    </row>
    <row r="90" spans="1:15" ht="14.1" customHeight="1" x14ac:dyDescent="0.2">
      <c r="A90" s="358" t="s">
        <v>237</v>
      </c>
      <c r="B90" s="359" t="s">
        <v>269</v>
      </c>
      <c r="C90" s="360">
        <v>479.851</v>
      </c>
      <c r="D90" s="360">
        <v>5.1999999999999998E-2</v>
      </c>
      <c r="E90" s="361">
        <v>480</v>
      </c>
      <c r="F90" s="362">
        <v>0.1</v>
      </c>
      <c r="G90" s="361">
        <v>0.14899999999999999</v>
      </c>
      <c r="H90" s="360">
        <v>0.113</v>
      </c>
      <c r="I90" s="363">
        <v>0.22500000000000001</v>
      </c>
      <c r="O90" s="360"/>
    </row>
    <row r="91" spans="1:15" ht="14.1" customHeight="1" x14ac:dyDescent="0.2">
      <c r="A91" s="358" t="s">
        <v>239</v>
      </c>
      <c r="B91" s="364">
        <v>1029047</v>
      </c>
      <c r="C91" s="360">
        <v>477.39699999999999</v>
      </c>
      <c r="D91" s="360">
        <v>6.0999999999999999E-2</v>
      </c>
      <c r="E91" s="361">
        <v>477.6</v>
      </c>
      <c r="F91" s="362">
        <v>0.5</v>
      </c>
      <c r="G91" s="361">
        <v>0.20300000000000001</v>
      </c>
      <c r="H91" s="360">
        <v>0.504</v>
      </c>
      <c r="I91" s="363">
        <v>1.0069999999999999</v>
      </c>
      <c r="O91" s="360"/>
    </row>
    <row r="92" spans="1:15" ht="15" customHeight="1" x14ac:dyDescent="0.2">
      <c r="A92" s="358" t="s">
        <v>240</v>
      </c>
      <c r="B92" s="359" t="s">
        <v>270</v>
      </c>
      <c r="C92" s="360">
        <v>489.202</v>
      </c>
      <c r="D92" s="360">
        <v>9.9000000000000005E-2</v>
      </c>
      <c r="E92" s="361">
        <v>489.15</v>
      </c>
      <c r="F92" s="362">
        <v>0.11</v>
      </c>
      <c r="G92" s="365">
        <v>-5.1999999999999998E-2</v>
      </c>
      <c r="H92" s="360">
        <v>0.14799999999999999</v>
      </c>
      <c r="I92" s="363">
        <v>0.29599999999999999</v>
      </c>
      <c r="O92" s="360"/>
    </row>
    <row r="93" spans="1:15" ht="15" customHeight="1" x14ac:dyDescent="0.2">
      <c r="A93" s="358" t="s">
        <v>242</v>
      </c>
      <c r="B93" s="359" t="s">
        <v>271</v>
      </c>
      <c r="C93" s="360">
        <v>471.351</v>
      </c>
      <c r="D93" s="360">
        <v>9.4E-2</v>
      </c>
      <c r="E93" s="361">
        <v>471.30099999999999</v>
      </c>
      <c r="F93" s="366">
        <v>2.5999999999999999E-2</v>
      </c>
      <c r="G93" s="365">
        <v>-0.05</v>
      </c>
      <c r="H93" s="360">
        <v>9.7000000000000003E-2</v>
      </c>
      <c r="I93" s="363">
        <v>0.19500000000000001</v>
      </c>
      <c r="O93" s="360"/>
    </row>
    <row r="94" spans="1:15" ht="15" customHeight="1" x14ac:dyDescent="0.2">
      <c r="A94" s="358" t="s">
        <v>244</v>
      </c>
      <c r="B94" s="359" t="s">
        <v>272</v>
      </c>
      <c r="C94" s="360">
        <v>479.04199999999997</v>
      </c>
      <c r="D94" s="360">
        <v>6.8000000000000005E-2</v>
      </c>
      <c r="E94" s="361">
        <v>479.5</v>
      </c>
      <c r="F94" s="362">
        <v>0.8</v>
      </c>
      <c r="G94" s="361">
        <v>0.45800000000000002</v>
      </c>
      <c r="H94" s="360">
        <v>0.80300000000000005</v>
      </c>
      <c r="I94" s="363">
        <v>1.6060000000000001</v>
      </c>
      <c r="O94" s="360"/>
    </row>
    <row r="95" spans="1:15" ht="11.1" customHeight="1" x14ac:dyDescent="0.2">
      <c r="A95" s="358" t="s">
        <v>246</v>
      </c>
      <c r="B95" s="359" t="s">
        <v>273</v>
      </c>
      <c r="C95" s="360">
        <v>479.363</v>
      </c>
      <c r="D95" s="360">
        <v>5.8000000000000003E-2</v>
      </c>
      <c r="E95" s="361">
        <v>479.26</v>
      </c>
      <c r="F95" s="362">
        <v>0.13</v>
      </c>
      <c r="G95" s="365">
        <v>-0.10299999999999999</v>
      </c>
      <c r="H95" s="360">
        <v>0.14199999999999999</v>
      </c>
      <c r="I95" s="363">
        <v>0.28399999999999997</v>
      </c>
      <c r="O95" s="360"/>
    </row>
    <row r="96" spans="1:15" ht="18" customHeight="1" x14ac:dyDescent="0.2">
      <c r="A96" s="358" t="s">
        <v>248</v>
      </c>
      <c r="B96" s="367">
        <v>2170</v>
      </c>
      <c r="C96" s="360">
        <v>479.98500000000001</v>
      </c>
      <c r="D96" s="360">
        <v>4.9000000000000002E-2</v>
      </c>
      <c r="E96" s="361">
        <v>480.02</v>
      </c>
      <c r="F96" s="363">
        <v>0.12</v>
      </c>
      <c r="G96" s="368">
        <v>3.5000000000000003E-2</v>
      </c>
      <c r="H96" s="360">
        <v>0.13</v>
      </c>
      <c r="I96" s="363">
        <v>0.25900000000000001</v>
      </c>
      <c r="M96" s="360"/>
      <c r="O96" s="360"/>
    </row>
    <row r="97" spans="1:15" ht="15" customHeight="1" x14ac:dyDescent="0.2">
      <c r="A97" s="358" t="s">
        <v>249</v>
      </c>
      <c r="B97" s="369" t="s">
        <v>274</v>
      </c>
      <c r="C97" s="360">
        <v>480.14499999999998</v>
      </c>
      <c r="D97" s="360">
        <v>5.8999999999999997E-2</v>
      </c>
      <c r="E97" s="361">
        <v>480.18</v>
      </c>
      <c r="F97" s="370">
        <v>6.5000000000000002E-2</v>
      </c>
      <c r="G97" s="368">
        <v>3.5000000000000003E-2</v>
      </c>
      <c r="H97" s="360">
        <v>8.7999999999999995E-2</v>
      </c>
      <c r="I97" s="363">
        <v>0.17499999999999999</v>
      </c>
      <c r="M97" s="360"/>
      <c r="O97" s="360"/>
    </row>
    <row r="98" spans="1:15" ht="15" customHeight="1" x14ac:dyDescent="0.2">
      <c r="A98" s="358" t="s">
        <v>251</v>
      </c>
      <c r="B98" s="367">
        <v>5604880</v>
      </c>
      <c r="C98" s="360">
        <v>480.52300000000002</v>
      </c>
      <c r="D98" s="360">
        <v>4.4999999999999998E-2</v>
      </c>
      <c r="E98" s="361">
        <v>480.48</v>
      </c>
      <c r="F98" s="363">
        <v>0.18</v>
      </c>
      <c r="G98" s="369">
        <v>-4.2999999999999997E-2</v>
      </c>
      <c r="H98" s="360">
        <v>0.186</v>
      </c>
      <c r="I98" s="363">
        <v>0.371</v>
      </c>
      <c r="M98" s="371"/>
      <c r="O98" s="360"/>
    </row>
    <row r="99" spans="1:15" ht="15" customHeight="1" x14ac:dyDescent="0.2">
      <c r="A99" s="358" t="s">
        <v>252</v>
      </c>
      <c r="B99" s="369" t="s">
        <v>275</v>
      </c>
      <c r="C99" s="360">
        <v>480.53699999999998</v>
      </c>
      <c r="D99" s="360">
        <v>7.8E-2</v>
      </c>
      <c r="E99" s="361">
        <v>480.42</v>
      </c>
      <c r="F99" s="370">
        <v>0.125</v>
      </c>
      <c r="G99" s="369">
        <v>-0.11700000000000001</v>
      </c>
      <c r="H99" s="360">
        <v>0.14699999999999999</v>
      </c>
      <c r="I99" s="363">
        <v>0.29499999999999998</v>
      </c>
      <c r="M99" s="371"/>
      <c r="O99" s="360"/>
    </row>
    <row r="100" spans="1:15" ht="15" customHeight="1" x14ac:dyDescent="0.2">
      <c r="A100" s="372" t="s">
        <v>254</v>
      </c>
      <c r="B100" s="373" t="s">
        <v>276</v>
      </c>
      <c r="C100" s="374">
        <v>464.911</v>
      </c>
      <c r="D100" s="374">
        <v>0.13800000000000001</v>
      </c>
      <c r="E100" s="375">
        <v>479.9</v>
      </c>
      <c r="F100" s="376">
        <v>1.05</v>
      </c>
      <c r="G100" s="377">
        <v>14.989000000000001</v>
      </c>
      <c r="H100" s="374">
        <v>1.0589999999999999</v>
      </c>
      <c r="I100" s="376">
        <v>2.1179999999999999</v>
      </c>
      <c r="M100" s="374"/>
      <c r="O100" s="374"/>
    </row>
    <row r="101" spans="1:15" ht="15" customHeight="1" x14ac:dyDescent="0.2">
      <c r="A101" s="372" t="s">
        <v>256</v>
      </c>
      <c r="B101" s="373" t="s">
        <v>277</v>
      </c>
      <c r="C101" s="374">
        <v>473.529</v>
      </c>
      <c r="D101" s="374">
        <v>7.0999999999999994E-2</v>
      </c>
      <c r="E101" s="375">
        <v>472.66199999999998</v>
      </c>
      <c r="F101" s="376">
        <v>0.214</v>
      </c>
      <c r="G101" s="373">
        <v>-0.86699999999999999</v>
      </c>
      <c r="H101" s="374">
        <v>0.22500000000000001</v>
      </c>
      <c r="I101" s="376">
        <v>0.45100000000000001</v>
      </c>
      <c r="M101" s="378"/>
      <c r="O101" s="374"/>
    </row>
    <row r="102" spans="1:15" ht="11.1" customHeight="1" x14ac:dyDescent="0.2">
      <c r="A102" s="379" t="s">
        <v>258</v>
      </c>
      <c r="B102" s="380" t="s">
        <v>278</v>
      </c>
      <c r="C102" s="381">
        <v>480.863</v>
      </c>
      <c r="D102" s="381">
        <v>7.9000000000000001E-2</v>
      </c>
      <c r="E102" s="382">
        <v>480.52</v>
      </c>
      <c r="F102" s="383">
        <v>1.52</v>
      </c>
      <c r="G102" s="380">
        <v>-0.34300000000000003</v>
      </c>
      <c r="H102" s="381">
        <v>1.522</v>
      </c>
      <c r="I102" s="383">
        <v>3.044</v>
      </c>
      <c r="M102" s="384"/>
      <c r="O102" s="381"/>
    </row>
    <row r="103" spans="1:15" ht="15.95" customHeight="1" x14ac:dyDescent="0.2">
      <c r="A103" s="350" t="s">
        <v>279</v>
      </c>
    </row>
    <row r="104" spans="1:15" ht="15.95" customHeight="1" x14ac:dyDescent="0.2">
      <c r="A104" s="350"/>
    </row>
    <row r="105" spans="1:15" ht="71.099999999999994" customHeight="1" x14ac:dyDescent="0.2">
      <c r="A105" s="316" t="s">
        <v>226</v>
      </c>
      <c r="B105" s="317" t="s">
        <v>227</v>
      </c>
      <c r="C105" s="318" t="s">
        <v>261</v>
      </c>
      <c r="D105" s="320" t="s">
        <v>229</v>
      </c>
      <c r="E105" s="319" t="s">
        <v>230</v>
      </c>
      <c r="F105" s="320" t="s">
        <v>231</v>
      </c>
      <c r="G105" s="319" t="s">
        <v>280</v>
      </c>
      <c r="H105" s="385" t="s">
        <v>281</v>
      </c>
      <c r="I105" s="320" t="s">
        <v>282</v>
      </c>
    </row>
    <row r="106" spans="1:15" ht="12" customHeight="1" x14ac:dyDescent="0.2">
      <c r="A106" s="386" t="s">
        <v>283</v>
      </c>
      <c r="B106" s="386" t="s">
        <v>284</v>
      </c>
      <c r="C106" s="322">
        <v>800.10500000000002</v>
      </c>
      <c r="D106" s="322">
        <v>0.106</v>
      </c>
      <c r="E106" s="387">
        <v>800.5</v>
      </c>
      <c r="F106" s="388">
        <v>4.3</v>
      </c>
      <c r="G106" s="387">
        <v>0.39500000000000002</v>
      </c>
      <c r="H106" s="322">
        <v>4.3010000000000002</v>
      </c>
      <c r="I106" s="388">
        <v>8.6029999999999998</v>
      </c>
      <c r="O106" s="322"/>
    </row>
    <row r="107" spans="1:15" ht="15" customHeight="1" x14ac:dyDescent="0.2">
      <c r="A107" s="389" t="s">
        <v>285</v>
      </c>
      <c r="B107" s="389" t="s">
        <v>286</v>
      </c>
      <c r="C107" s="327">
        <v>798.38900000000001</v>
      </c>
      <c r="D107" s="327">
        <v>0.128</v>
      </c>
      <c r="E107" s="390">
        <v>798.9</v>
      </c>
      <c r="F107" s="391">
        <v>1.3</v>
      </c>
      <c r="G107" s="390">
        <v>0.51100000000000001</v>
      </c>
      <c r="H107" s="327">
        <v>1.306</v>
      </c>
      <c r="I107" s="391">
        <v>2.613</v>
      </c>
      <c r="O107" s="327"/>
    </row>
    <row r="108" spans="1:15" ht="15" customHeight="1" x14ac:dyDescent="0.2">
      <c r="A108" s="389" t="s">
        <v>287</v>
      </c>
      <c r="B108" s="389" t="s">
        <v>288</v>
      </c>
      <c r="C108" s="327">
        <v>800.51900000000001</v>
      </c>
      <c r="D108" s="327">
        <v>0.11799999999999999</v>
      </c>
      <c r="E108" s="390">
        <v>800.8</v>
      </c>
      <c r="F108" s="391">
        <v>0.2</v>
      </c>
      <c r="G108" s="390">
        <v>0.28100000000000003</v>
      </c>
      <c r="H108" s="327">
        <v>0.23200000000000001</v>
      </c>
      <c r="I108" s="391">
        <v>0.46400000000000002</v>
      </c>
      <c r="O108" s="327"/>
    </row>
    <row r="109" spans="1:15" ht="15" customHeight="1" x14ac:dyDescent="0.2">
      <c r="A109" s="389" t="s">
        <v>289</v>
      </c>
      <c r="B109" s="392">
        <v>1029048</v>
      </c>
      <c r="C109" s="327">
        <v>802.09900000000005</v>
      </c>
      <c r="D109" s="327">
        <v>7.8E-2</v>
      </c>
      <c r="E109" s="390">
        <v>802.2</v>
      </c>
      <c r="F109" s="391">
        <v>0.85</v>
      </c>
      <c r="G109" s="390">
        <v>0.10100000000000001</v>
      </c>
      <c r="H109" s="327">
        <v>0.85399999999999998</v>
      </c>
      <c r="I109" s="391">
        <v>1.7070000000000001</v>
      </c>
      <c r="O109" s="327"/>
    </row>
    <row r="110" spans="1:15" ht="15" customHeight="1" x14ac:dyDescent="0.2">
      <c r="A110" s="389" t="s">
        <v>290</v>
      </c>
      <c r="B110" s="389" t="s">
        <v>291</v>
      </c>
      <c r="C110" s="327">
        <v>803.69399999999996</v>
      </c>
      <c r="D110" s="327">
        <v>0.114</v>
      </c>
      <c r="E110" s="390">
        <v>803.65800000000002</v>
      </c>
      <c r="F110" s="393">
        <v>3.9E-2</v>
      </c>
      <c r="G110" s="394">
        <v>-3.5999999999999997E-2</v>
      </c>
      <c r="H110" s="327">
        <v>0.12</v>
      </c>
      <c r="I110" s="391">
        <v>0.24</v>
      </c>
      <c r="O110" s="327"/>
    </row>
    <row r="111" spans="1:15" ht="15" customHeight="1" x14ac:dyDescent="0.2">
      <c r="A111" s="389" t="s">
        <v>292</v>
      </c>
      <c r="B111" s="392">
        <v>2181</v>
      </c>
      <c r="C111" s="327">
        <v>799.74400000000003</v>
      </c>
      <c r="D111" s="327">
        <v>0.10100000000000001</v>
      </c>
      <c r="E111" s="390">
        <v>799.7</v>
      </c>
      <c r="F111" s="391">
        <v>0.2</v>
      </c>
      <c r="G111" s="394">
        <v>-4.3999999999999997E-2</v>
      </c>
      <c r="H111" s="327">
        <v>0.224</v>
      </c>
      <c r="I111" s="391">
        <v>0.44800000000000001</v>
      </c>
      <c r="O111" s="327"/>
    </row>
    <row r="112" spans="1:15" ht="15" customHeight="1" x14ac:dyDescent="0.2">
      <c r="A112" s="389" t="s">
        <v>293</v>
      </c>
      <c r="B112" s="389" t="s">
        <v>294</v>
      </c>
      <c r="C112" s="327">
        <v>798.18700000000001</v>
      </c>
      <c r="D112" s="327">
        <v>0.13200000000000001</v>
      </c>
      <c r="E112" s="390">
        <v>799.1</v>
      </c>
      <c r="F112" s="391">
        <v>0.5</v>
      </c>
      <c r="G112" s="390">
        <v>0.91300000000000003</v>
      </c>
      <c r="H112" s="327">
        <v>0.51700000000000002</v>
      </c>
      <c r="I112" s="391">
        <v>1.034</v>
      </c>
      <c r="O112" s="327"/>
    </row>
    <row r="113" spans="1:15" ht="15" customHeight="1" x14ac:dyDescent="0.2">
      <c r="A113" s="389" t="s">
        <v>295</v>
      </c>
      <c r="B113" s="389" t="s">
        <v>296</v>
      </c>
      <c r="C113" s="327">
        <v>800.697</v>
      </c>
      <c r="D113" s="327">
        <v>8.4000000000000005E-2</v>
      </c>
      <c r="E113" s="390">
        <v>800.73</v>
      </c>
      <c r="F113" s="391">
        <v>9.5000000000000001E-2</v>
      </c>
      <c r="G113" s="390">
        <v>3.3000000000000002E-2</v>
      </c>
      <c r="H113" s="327">
        <v>0.127</v>
      </c>
      <c r="I113" s="391">
        <v>0.253</v>
      </c>
      <c r="O113" s="327"/>
    </row>
    <row r="114" spans="1:15" ht="15" customHeight="1" x14ac:dyDescent="0.2">
      <c r="A114" s="389" t="s">
        <v>297</v>
      </c>
      <c r="B114" s="392">
        <v>5604705</v>
      </c>
      <c r="C114" s="327">
        <v>796.08</v>
      </c>
      <c r="D114" s="327">
        <v>0.191</v>
      </c>
      <c r="E114" s="390">
        <v>795.7</v>
      </c>
      <c r="F114" s="391">
        <v>0.3</v>
      </c>
      <c r="G114" s="394">
        <v>-0.38</v>
      </c>
      <c r="H114" s="327">
        <v>0.35599999999999998</v>
      </c>
      <c r="I114" s="391">
        <v>0.71199999999999997</v>
      </c>
      <c r="O114" s="327"/>
    </row>
    <row r="115" spans="1:15" ht="14.1" customHeight="1" x14ac:dyDescent="0.2">
      <c r="A115" s="389" t="s">
        <v>298</v>
      </c>
      <c r="B115" s="389" t="s">
        <v>299</v>
      </c>
      <c r="C115" s="327">
        <v>800.91700000000003</v>
      </c>
      <c r="D115" s="327">
        <v>8.3000000000000004E-2</v>
      </c>
      <c r="E115" s="390">
        <v>800.76</v>
      </c>
      <c r="F115" s="393">
        <v>0.18</v>
      </c>
      <c r="G115" s="394">
        <v>-0.157</v>
      </c>
      <c r="H115" s="327">
        <v>0.19800000000000001</v>
      </c>
      <c r="I115" s="391">
        <v>0.39600000000000002</v>
      </c>
      <c r="O115" s="327"/>
    </row>
    <row r="116" spans="1:15" ht="14.1" customHeight="1" x14ac:dyDescent="0.2">
      <c r="A116" s="395" t="s">
        <v>300</v>
      </c>
      <c r="B116" s="395" t="s">
        <v>301</v>
      </c>
      <c r="C116" s="335">
        <v>810.42399999999998</v>
      </c>
      <c r="D116" s="335">
        <v>0.32700000000000001</v>
      </c>
      <c r="E116" s="396">
        <v>809.82</v>
      </c>
      <c r="F116" s="397">
        <v>0.13</v>
      </c>
      <c r="G116" s="398">
        <v>-0.60399999999999998</v>
      </c>
      <c r="H116" s="335">
        <v>0.35099999999999998</v>
      </c>
      <c r="I116" s="397">
        <v>0.70299999999999996</v>
      </c>
      <c r="O116" s="335"/>
    </row>
    <row r="117" spans="1:15" ht="14.1" customHeight="1" x14ac:dyDescent="0.2">
      <c r="A117" s="395" t="s">
        <v>302</v>
      </c>
      <c r="B117" s="395" t="s">
        <v>303</v>
      </c>
      <c r="C117" s="335">
        <v>794.60799999999995</v>
      </c>
      <c r="D117" s="335">
        <v>0.23699999999999999</v>
      </c>
      <c r="E117" s="396">
        <v>794.08</v>
      </c>
      <c r="F117" s="397">
        <v>0.24</v>
      </c>
      <c r="G117" s="398">
        <v>-0.52800000000000002</v>
      </c>
      <c r="H117" s="335">
        <v>0.33700000000000002</v>
      </c>
      <c r="I117" s="397">
        <v>0.67400000000000004</v>
      </c>
      <c r="O117" s="335"/>
    </row>
    <row r="118" spans="1:15" ht="15" customHeight="1" x14ac:dyDescent="0.2">
      <c r="A118" s="395" t="s">
        <v>304</v>
      </c>
      <c r="B118" s="395" t="s">
        <v>305</v>
      </c>
      <c r="C118" s="335">
        <v>800.28200000000004</v>
      </c>
      <c r="D118" s="335">
        <v>0.1</v>
      </c>
      <c r="E118" s="396">
        <v>800.3</v>
      </c>
      <c r="F118" s="397">
        <v>1.45</v>
      </c>
      <c r="G118" s="396">
        <v>1.7999999999999999E-2</v>
      </c>
      <c r="H118" s="335">
        <v>1.4530000000000001</v>
      </c>
      <c r="I118" s="397">
        <v>2.907</v>
      </c>
      <c r="O118" s="335"/>
    </row>
    <row r="119" spans="1:15" ht="15" customHeight="1" x14ac:dyDescent="0.2">
      <c r="A119" s="395" t="s">
        <v>306</v>
      </c>
      <c r="B119" s="395" t="s">
        <v>307</v>
      </c>
      <c r="C119" s="335">
        <v>795.51099999999997</v>
      </c>
      <c r="D119" s="335">
        <v>0.20799999999999999</v>
      </c>
      <c r="E119" s="396">
        <v>794.53</v>
      </c>
      <c r="F119" s="397">
        <v>0.51400000000000001</v>
      </c>
      <c r="G119" s="398">
        <v>-0.98099999999999998</v>
      </c>
      <c r="H119" s="335">
        <v>0.55500000000000005</v>
      </c>
      <c r="I119" s="397">
        <v>1.109</v>
      </c>
      <c r="O119" s="335"/>
    </row>
    <row r="120" spans="1:15" ht="18" customHeight="1" x14ac:dyDescent="0.2">
      <c r="A120" s="399" t="s">
        <v>308</v>
      </c>
      <c r="B120" s="400" t="s">
        <v>309</v>
      </c>
      <c r="C120" s="346">
        <v>794.50099999999998</v>
      </c>
      <c r="D120" s="346">
        <v>0.23899999999999999</v>
      </c>
      <c r="E120" s="401">
        <v>796.38</v>
      </c>
      <c r="F120" s="402">
        <v>2.5150000000000001</v>
      </c>
      <c r="G120" s="401">
        <v>1.879</v>
      </c>
      <c r="H120" s="346">
        <v>2.5259999999999998</v>
      </c>
      <c r="I120" s="402">
        <v>5.0529999999999999</v>
      </c>
      <c r="O120" s="346"/>
    </row>
  </sheetData>
  <sheetProtection sheet="1" objects="1" scenarios="1" formatCells="0" formatColumns="0" formatRows="0"/>
  <phoneticPr fontId="4"/>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991C0-C804-44AC-A0DC-DCE18A5EF9D4}">
  <dimension ref="A1:Z170"/>
  <sheetViews>
    <sheetView topLeftCell="A19" zoomScale="160" zoomScaleNormal="160" workbookViewId="0">
      <selection activeCell="X48" sqref="X48:Y50"/>
    </sheetView>
  </sheetViews>
  <sheetFormatPr defaultColWidth="9.33203125" defaultRowHeight="12.75" x14ac:dyDescent="0.2"/>
  <cols>
    <col min="1" max="2" width="9.33203125" style="1"/>
    <col min="3" max="7" width="10.1640625" style="1" customWidth="1"/>
    <col min="8" max="8" width="10.6640625" style="1" bestFit="1" customWidth="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1" ht="20.25" x14ac:dyDescent="0.2">
      <c r="A1" s="96" t="s">
        <v>1272</v>
      </c>
      <c r="B1" s="97"/>
      <c r="C1" s="97"/>
      <c r="D1" s="97"/>
      <c r="E1" s="97"/>
      <c r="F1" s="97"/>
      <c r="G1" s="97"/>
      <c r="H1" s="97"/>
      <c r="I1" s="113"/>
      <c r="J1" s="154" t="s">
        <v>130</v>
      </c>
      <c r="K1" s="210">
        <v>10</v>
      </c>
      <c r="L1" s="154" t="s">
        <v>129</v>
      </c>
      <c r="M1" s="113"/>
      <c r="N1" s="113" t="s">
        <v>1059</v>
      </c>
      <c r="O1" s="113"/>
      <c r="R1" s="113"/>
      <c r="S1" s="113"/>
      <c r="T1" s="146"/>
      <c r="U1" s="146"/>
    </row>
    <row r="2" spans="1:21" x14ac:dyDescent="0.2">
      <c r="A2" s="99" t="s">
        <v>1273</v>
      </c>
      <c r="B2" s="97"/>
      <c r="C2" s="97"/>
      <c r="D2" s="97"/>
      <c r="E2" s="97"/>
      <c r="F2" s="97"/>
      <c r="G2" s="97"/>
      <c r="H2" s="97"/>
      <c r="I2" s="113"/>
      <c r="J2" s="154" t="s">
        <v>4</v>
      </c>
      <c r="K2" s="210">
        <v>1</v>
      </c>
      <c r="L2" s="154" t="s">
        <v>129</v>
      </c>
      <c r="M2" s="113"/>
      <c r="N2" s="113" t="s">
        <v>79</v>
      </c>
      <c r="O2" s="113"/>
      <c r="R2" s="113"/>
      <c r="S2" s="113"/>
      <c r="T2" s="146"/>
      <c r="U2" s="146"/>
    </row>
    <row r="3" spans="1:21" x14ac:dyDescent="0.2">
      <c r="A3" s="97"/>
      <c r="B3" s="97"/>
      <c r="C3" s="97"/>
      <c r="D3" s="97"/>
      <c r="E3" s="97"/>
      <c r="F3" s="97"/>
      <c r="G3" s="97"/>
      <c r="H3" s="97"/>
      <c r="I3" s="113"/>
      <c r="J3" s="113"/>
      <c r="K3" s="113"/>
      <c r="L3" s="113"/>
      <c r="M3" s="113"/>
      <c r="N3" s="113" t="s">
        <v>311</v>
      </c>
      <c r="O3" s="113"/>
      <c r="R3" s="113"/>
      <c r="S3" s="113"/>
      <c r="T3" s="146"/>
      <c r="U3" s="146"/>
    </row>
    <row r="4" spans="1:21" x14ac:dyDescent="0.2">
      <c r="A4" s="100"/>
      <c r="B4" s="97"/>
      <c r="C4" s="97"/>
      <c r="D4" s="97"/>
      <c r="E4" s="97"/>
      <c r="F4" s="97"/>
      <c r="G4" s="97"/>
      <c r="H4" s="97"/>
      <c r="I4" s="113"/>
      <c r="J4" s="113"/>
      <c r="K4" s="113"/>
      <c r="L4" s="113"/>
      <c r="M4" s="113"/>
      <c r="N4" s="113"/>
      <c r="O4" s="113"/>
      <c r="R4" s="113"/>
      <c r="S4" s="113"/>
      <c r="T4" s="146"/>
      <c r="U4" s="146"/>
    </row>
    <row r="5" spans="1:21" ht="20.25" x14ac:dyDescent="0.2">
      <c r="A5" s="101" t="s">
        <v>78</v>
      </c>
      <c r="B5" s="97"/>
      <c r="C5" s="97"/>
      <c r="D5" s="97"/>
      <c r="E5" s="97"/>
      <c r="F5" s="97"/>
      <c r="G5" s="97"/>
      <c r="H5" s="97"/>
      <c r="I5" s="113"/>
      <c r="J5" s="113"/>
      <c r="K5" s="113"/>
      <c r="L5" s="113"/>
      <c r="M5" s="113"/>
      <c r="N5" s="113"/>
      <c r="O5" s="113"/>
      <c r="R5" s="113"/>
      <c r="S5" s="113"/>
      <c r="T5" s="146"/>
      <c r="U5" s="146"/>
    </row>
    <row r="6" spans="1:21" s="226" customFormat="1" x14ac:dyDescent="0.2">
      <c r="A6" s="226" t="s">
        <v>1274</v>
      </c>
    </row>
    <row r="7" spans="1:21" s="226" customFormat="1" x14ac:dyDescent="0.2">
      <c r="A7" s="226" t="s">
        <v>1275</v>
      </c>
    </row>
    <row r="8" spans="1:21" s="226" customFormat="1" x14ac:dyDescent="0.2">
      <c r="A8" s="226" t="s">
        <v>1276</v>
      </c>
    </row>
    <row r="9" spans="1:21" s="226" customFormat="1" x14ac:dyDescent="0.2">
      <c r="A9" s="226" t="s">
        <v>1277</v>
      </c>
    </row>
    <row r="10" spans="1:21" s="226" customFormat="1" x14ac:dyDescent="0.2"/>
    <row r="11" spans="1:21" s="226" customFormat="1" ht="13.5" thickBot="1" x14ac:dyDescent="0.25">
      <c r="A11" s="226" t="s">
        <v>1278</v>
      </c>
    </row>
    <row r="12" spans="1:21" s="226" customFormat="1" ht="16.5" thickBot="1" x14ac:dyDescent="0.25">
      <c r="A12" s="1134" t="s">
        <v>1279</v>
      </c>
      <c r="B12" s="1134" t="s">
        <v>1280</v>
      </c>
      <c r="C12" s="1134"/>
    </row>
    <row r="13" spans="1:21" s="226" customFormat="1" x14ac:dyDescent="0.2">
      <c r="A13" s="1135" t="s">
        <v>1281</v>
      </c>
      <c r="B13" s="1135" t="s">
        <v>1282</v>
      </c>
      <c r="C13" s="1135"/>
    </row>
    <row r="14" spans="1:21" s="226" customFormat="1" x14ac:dyDescent="0.2">
      <c r="A14" s="226" t="s">
        <v>1283</v>
      </c>
      <c r="B14" s="226" t="s">
        <v>1282</v>
      </c>
    </row>
    <row r="15" spans="1:21" s="226" customFormat="1" x14ac:dyDescent="0.2">
      <c r="A15" s="226" t="s">
        <v>1284</v>
      </c>
      <c r="B15" s="226" t="s">
        <v>1282</v>
      </c>
    </row>
    <row r="16" spans="1:21" s="226" customFormat="1" ht="13.5" thickBot="1" x14ac:dyDescent="0.25">
      <c r="A16" s="1136" t="s">
        <v>1285</v>
      </c>
      <c r="B16" s="1136" t="s">
        <v>1282</v>
      </c>
      <c r="C16" s="1136"/>
    </row>
    <row r="17" spans="1:25" s="226" customFormat="1" ht="15.75" x14ac:dyDescent="0.2">
      <c r="A17" s="226" t="s">
        <v>1286</v>
      </c>
    </row>
    <row r="18" spans="1:25" x14ac:dyDescent="0.2">
      <c r="A18" s="102"/>
      <c r="B18" s="97"/>
      <c r="C18" s="97"/>
      <c r="D18" s="97"/>
      <c r="E18" s="97"/>
      <c r="F18" s="97"/>
      <c r="G18" s="97"/>
      <c r="H18" s="97"/>
      <c r="I18" s="113"/>
      <c r="J18" s="113"/>
      <c r="K18" s="113"/>
      <c r="L18" s="113"/>
      <c r="M18" s="113"/>
      <c r="N18" s="113"/>
      <c r="O18" s="113"/>
      <c r="R18" s="113"/>
      <c r="S18" s="113"/>
      <c r="T18" s="146"/>
      <c r="U18" s="146"/>
    </row>
    <row r="19" spans="1:25" s="226" customFormat="1" ht="13.5" thickBot="1" x14ac:dyDescent="0.25">
      <c r="A19" s="226" t="s">
        <v>1287</v>
      </c>
    </row>
    <row r="20" spans="1:25" s="226" customFormat="1" ht="16.5" thickBot="1" x14ac:dyDescent="0.25">
      <c r="A20" s="1134" t="s">
        <v>1279</v>
      </c>
      <c r="B20" s="1134" t="s">
        <v>1280</v>
      </c>
      <c r="C20" s="1134"/>
    </row>
    <row r="21" spans="1:25" s="226" customFormat="1" x14ac:dyDescent="0.2">
      <c r="A21" s="1135" t="s">
        <v>1288</v>
      </c>
      <c r="B21" s="1135" t="s">
        <v>1282</v>
      </c>
      <c r="C21" s="1135"/>
    </row>
    <row r="22" spans="1:25" s="226" customFormat="1" x14ac:dyDescent="0.2">
      <c r="A22" s="226" t="s">
        <v>1289</v>
      </c>
      <c r="B22" s="226" t="s">
        <v>1282</v>
      </c>
    </row>
    <row r="23" spans="1:25" s="226" customFormat="1" x14ac:dyDescent="0.2">
      <c r="A23" s="226" t="s">
        <v>1290</v>
      </c>
      <c r="B23" s="226" t="s">
        <v>1282</v>
      </c>
    </row>
    <row r="24" spans="1:25" s="226" customFormat="1" ht="13.5" thickBot="1" x14ac:dyDescent="0.25">
      <c r="A24" s="1136" t="s">
        <v>1291</v>
      </c>
      <c r="B24" s="1136" t="s">
        <v>1282</v>
      </c>
      <c r="C24" s="1136"/>
    </row>
    <row r="25" spans="1:25" s="226" customFormat="1" ht="15.75" x14ac:dyDescent="0.2">
      <c r="A25" s="226" t="s">
        <v>1286</v>
      </c>
    </row>
    <row r="26" spans="1:25" x14ac:dyDescent="0.2">
      <c r="A26" s="97"/>
      <c r="B26" s="97"/>
      <c r="C26" s="97"/>
      <c r="D26" s="97"/>
      <c r="E26" s="97"/>
      <c r="F26" s="97"/>
      <c r="G26" s="97"/>
      <c r="H26" s="97"/>
      <c r="I26" s="113"/>
      <c r="J26" s="113"/>
      <c r="K26" s="113"/>
      <c r="L26" s="113"/>
      <c r="M26" s="113"/>
      <c r="N26" s="113"/>
      <c r="O26" s="113"/>
      <c r="R26" s="113"/>
      <c r="S26" s="113"/>
      <c r="T26" s="146"/>
      <c r="U26" s="146"/>
    </row>
    <row r="27" spans="1:25" x14ac:dyDescent="0.2">
      <c r="A27" s="97"/>
      <c r="B27" s="97"/>
      <c r="C27" s="97"/>
      <c r="D27" s="97"/>
      <c r="E27" s="97"/>
      <c r="F27" s="97"/>
      <c r="G27" s="97"/>
      <c r="H27" s="97"/>
      <c r="I27" s="113"/>
      <c r="J27" s="113"/>
      <c r="K27" s="113"/>
      <c r="L27" s="113"/>
      <c r="M27" s="113"/>
      <c r="N27" s="113"/>
      <c r="O27" s="113"/>
      <c r="R27" s="113"/>
      <c r="S27" s="113"/>
      <c r="T27" s="146"/>
      <c r="U27" s="146"/>
    </row>
    <row r="28" spans="1:25" ht="15.75" x14ac:dyDescent="0.2">
      <c r="A28" s="103" t="str">
        <f>D56</f>
        <v>α-Pinene</v>
      </c>
      <c r="B28" s="97"/>
      <c r="C28" s="97"/>
      <c r="D28" s="97"/>
      <c r="E28" s="97"/>
      <c r="F28" s="97"/>
      <c r="G28" s="97"/>
      <c r="H28" s="97"/>
      <c r="I28" s="113"/>
      <c r="J28" s="113"/>
      <c r="K28" s="113"/>
      <c r="L28" s="113"/>
      <c r="M28" s="113"/>
      <c r="N28" s="113"/>
      <c r="O28" s="113"/>
      <c r="R28" s="113"/>
      <c r="S28" s="113"/>
      <c r="T28" s="146"/>
      <c r="U28" s="146"/>
    </row>
    <row r="29" spans="1:25" ht="102" x14ac:dyDescent="0.2">
      <c r="A29" s="211" t="s">
        <v>0</v>
      </c>
      <c r="B29" s="212" t="s">
        <v>1</v>
      </c>
      <c r="C29" s="212" t="s">
        <v>133</v>
      </c>
      <c r="D29" s="212" t="s">
        <v>199</v>
      </c>
      <c r="E29" s="212" t="s">
        <v>135</v>
      </c>
      <c r="F29" s="212" t="s">
        <v>200</v>
      </c>
      <c r="G29" s="212" t="s">
        <v>137</v>
      </c>
      <c r="H29" s="212" t="s">
        <v>201</v>
      </c>
      <c r="I29" s="104" t="s">
        <v>8</v>
      </c>
      <c r="J29" s="104" t="s">
        <v>9</v>
      </c>
      <c r="K29" s="104" t="s">
        <v>107</v>
      </c>
      <c r="L29" s="104" t="s">
        <v>14</v>
      </c>
      <c r="M29" s="104" t="s">
        <v>1057</v>
      </c>
      <c r="N29" s="104" t="s">
        <v>1058</v>
      </c>
      <c r="O29" s="104" t="s">
        <v>100</v>
      </c>
      <c r="P29" s="6" t="s">
        <v>105</v>
      </c>
      <c r="Q29" s="6" t="s">
        <v>106</v>
      </c>
      <c r="R29" s="104" t="s">
        <v>1051</v>
      </c>
      <c r="S29" s="104" t="s">
        <v>1052</v>
      </c>
      <c r="T29" s="147" t="s">
        <v>1053</v>
      </c>
      <c r="U29" s="147" t="s">
        <v>1054</v>
      </c>
      <c r="V29" s="5" t="s">
        <v>101</v>
      </c>
      <c r="W29" s="5" t="s">
        <v>102</v>
      </c>
      <c r="X29" s="112" t="s">
        <v>1055</v>
      </c>
      <c r="Y29" s="112" t="s">
        <v>1056</v>
      </c>
    </row>
    <row r="30" spans="1:25" x14ac:dyDescent="0.2">
      <c r="A30" s="213" t="str">
        <f>A56</f>
        <v>KRISS</v>
      </c>
      <c r="B30" s="213" t="str">
        <f>C56</f>
        <v>APE1145320</v>
      </c>
      <c r="C30" s="219">
        <f t="shared" ref="C30:H30" si="0">E56</f>
        <v>2.5200000000000001E-3</v>
      </c>
      <c r="D30" s="219">
        <f t="shared" si="0"/>
        <v>3.15E-5</v>
      </c>
      <c r="E30" s="219">
        <f t="shared" si="0"/>
        <v>2.516E-3</v>
      </c>
      <c r="F30" s="219">
        <f t="shared" si="0"/>
        <v>2.3499999999999999E-5</v>
      </c>
      <c r="G30" s="219">
        <f t="shared" si="0"/>
        <v>-3.9999999999999998E-6</v>
      </c>
      <c r="H30" s="219">
        <f t="shared" si="0"/>
        <v>7.8999999999999996E-5</v>
      </c>
      <c r="I30" s="155">
        <f t="shared" ref="I30:I32" si="1">IF(ABS(G30)&gt;ABS(H30), 1, 0)</f>
        <v>0</v>
      </c>
      <c r="J30" s="155">
        <f t="shared" ref="J30:J32" si="2">I30*ABS(C30-E30)</f>
        <v>0</v>
      </c>
      <c r="K30" s="155">
        <f t="shared" ref="K30:K32" si="3">SQRT(SUMSQ(F30,J30))*2</f>
        <v>4.6999999999999997E-5</v>
      </c>
      <c r="L30" s="155">
        <f t="shared" ref="L30:L32" si="4">IF(C30&lt;$K$2, C30, $K$1)</f>
        <v>2.5200000000000001E-3</v>
      </c>
      <c r="M30" s="156">
        <f t="shared" ref="M30:M32" si="5">IF(AND(C30&lt;$K$1,C30&gt; $K$2), K30/L30*100, K30/C30*100)</f>
        <v>1.8650793650793651</v>
      </c>
      <c r="N30" s="157">
        <f t="shared" ref="N30:N32" si="6">M30*L30/100</f>
        <v>4.7000000000000004E-5</v>
      </c>
      <c r="O30" s="155">
        <f t="shared" ref="O30:O32" si="7">N30/(M30*L30/100)*100</f>
        <v>100</v>
      </c>
      <c r="P30" s="250">
        <v>1E-3</v>
      </c>
      <c r="Q30" s="250">
        <v>10</v>
      </c>
      <c r="R30" s="148">
        <f>IF( IF(P30&lt;L30, M30*L30/P30, M30)&gt;100, "ERROR",  IF(P30&lt;L30, M30*L30/P30, M30))</f>
        <v>4.7</v>
      </c>
      <c r="S30" s="148">
        <f>IF(IF(Q30&lt;L30, M30*L30/Q30, M30)&gt;100, "ERROR", IF(Q30&lt;L30, M30*L30/Q30, M30))</f>
        <v>1.8650793650793651</v>
      </c>
      <c r="T30" s="148">
        <f>R30*P30*0.01</f>
        <v>4.7000000000000004E-5</v>
      </c>
      <c r="U30" s="148">
        <f>S30*Q30*0.01</f>
        <v>0.18650793650793651</v>
      </c>
      <c r="V30" s="7">
        <f>P30*1000</f>
        <v>1</v>
      </c>
      <c r="W30" s="7">
        <f>Q30*1000</f>
        <v>10000</v>
      </c>
      <c r="X30" s="1345">
        <f>T30*1000</f>
        <v>4.7000000000000007E-2</v>
      </c>
      <c r="Y30" s="1345">
        <f>U30*1000</f>
        <v>186.50793650793651</v>
      </c>
    </row>
    <row r="31" spans="1:25" x14ac:dyDescent="0.2">
      <c r="A31" s="213" t="str">
        <f t="shared" ref="A31:A32" si="8">A57</f>
        <v>NIST</v>
      </c>
      <c r="B31" s="213" t="str">
        <f t="shared" ref="B31:B32" si="9">C57</f>
        <v>APE1145321</v>
      </c>
      <c r="C31" s="219">
        <f t="shared" ref="C31:H31" si="10">E57</f>
        <v>2.6019999999999997E-3</v>
      </c>
      <c r="D31" s="219">
        <f t="shared" si="10"/>
        <v>4.9500000000000004E-5</v>
      </c>
      <c r="E31" s="219">
        <f t="shared" si="10"/>
        <v>2.6179999999999997E-3</v>
      </c>
      <c r="F31" s="219">
        <f t="shared" si="10"/>
        <v>3.4E-5</v>
      </c>
      <c r="G31" s="219">
        <f t="shared" si="10"/>
        <v>1.5999999999999999E-5</v>
      </c>
      <c r="H31" s="219">
        <f t="shared" si="10"/>
        <v>1.1999999999999999E-4</v>
      </c>
      <c r="I31" s="155">
        <f t="shared" si="1"/>
        <v>0</v>
      </c>
      <c r="J31" s="155">
        <f t="shared" si="2"/>
        <v>0</v>
      </c>
      <c r="K31" s="155">
        <f t="shared" si="3"/>
        <v>6.7999999999999999E-5</v>
      </c>
      <c r="L31" s="155">
        <f t="shared" si="4"/>
        <v>2.6019999999999997E-3</v>
      </c>
      <c r="M31" s="156">
        <f t="shared" si="5"/>
        <v>2.6133743274404306</v>
      </c>
      <c r="N31" s="157">
        <f t="shared" si="6"/>
        <v>6.7999999999999999E-5</v>
      </c>
      <c r="O31" s="155">
        <f t="shared" si="7"/>
        <v>100</v>
      </c>
      <c r="P31" s="250">
        <v>1E-3</v>
      </c>
      <c r="Q31" s="250">
        <v>10</v>
      </c>
      <c r="R31" s="148">
        <f t="shared" ref="R31:R32" si="11">IF( IF(P31&lt;L31, M31*L31/P31, M31)&gt;100, "ERROR",  IF(P31&lt;L31, M31*L31/P31, M31))</f>
        <v>6.8</v>
      </c>
      <c r="S31" s="148">
        <f t="shared" ref="S31:S32" si="12">IF(IF(Q31&lt;L31, M31*L31/Q31, M31)&gt;100, "ERROR", IF(Q31&lt;L31, M31*L31/Q31, M31))</f>
        <v>2.6133743274404306</v>
      </c>
      <c r="T31" s="148">
        <f t="shared" ref="T31:U32" si="13">R31*P31*0.01</f>
        <v>6.7999999999999999E-5</v>
      </c>
      <c r="U31" s="148">
        <f t="shared" si="13"/>
        <v>0.26133743274404309</v>
      </c>
      <c r="V31" s="7">
        <f t="shared" ref="V31:W32" si="14">P31*1000</f>
        <v>1</v>
      </c>
      <c r="W31" s="7">
        <f t="shared" si="14"/>
        <v>10000</v>
      </c>
      <c r="X31" s="1345">
        <f t="shared" ref="X31:Y32" si="15">T31*1000</f>
        <v>6.8000000000000005E-2</v>
      </c>
      <c r="Y31" s="1345">
        <f t="shared" si="15"/>
        <v>261.3374327440431</v>
      </c>
    </row>
    <row r="32" spans="1:25" x14ac:dyDescent="0.2">
      <c r="A32" s="213" t="str">
        <f t="shared" si="8"/>
        <v>NPL</v>
      </c>
      <c r="B32" s="213" t="str">
        <f t="shared" si="9"/>
        <v>APE1145315</v>
      </c>
      <c r="C32" s="219">
        <f t="shared" ref="C32:H32" si="16">E58</f>
        <v>2.506E-3</v>
      </c>
      <c r="D32" s="219">
        <f t="shared" si="16"/>
        <v>7.0499999999999992E-5</v>
      </c>
      <c r="E32" s="219">
        <f t="shared" si="16"/>
        <v>2.5850000000000001E-3</v>
      </c>
      <c r="F32" s="219">
        <f t="shared" si="16"/>
        <v>3.6999999999999998E-5</v>
      </c>
      <c r="G32" s="219">
        <f t="shared" si="16"/>
        <v>7.8999999999999996E-5</v>
      </c>
      <c r="H32" s="219">
        <f t="shared" si="16"/>
        <v>1.5900000000000002E-4</v>
      </c>
      <c r="I32" s="155">
        <f t="shared" si="1"/>
        <v>0</v>
      </c>
      <c r="J32" s="155">
        <f t="shared" si="2"/>
        <v>0</v>
      </c>
      <c r="K32" s="155">
        <f t="shared" si="3"/>
        <v>7.3999999999999996E-5</v>
      </c>
      <c r="L32" s="155">
        <f t="shared" si="4"/>
        <v>2.506E-3</v>
      </c>
      <c r="M32" s="156">
        <f t="shared" si="5"/>
        <v>2.9529130087789306</v>
      </c>
      <c r="N32" s="157">
        <f t="shared" si="6"/>
        <v>7.400000000000001E-5</v>
      </c>
      <c r="O32" s="155">
        <f t="shared" si="7"/>
        <v>100</v>
      </c>
      <c r="P32" s="250">
        <v>1E-3</v>
      </c>
      <c r="Q32" s="250">
        <v>10</v>
      </c>
      <c r="R32" s="148">
        <f t="shared" si="11"/>
        <v>7.4</v>
      </c>
      <c r="S32" s="148">
        <f t="shared" si="12"/>
        <v>2.9529130087789306</v>
      </c>
      <c r="T32" s="148">
        <f t="shared" si="13"/>
        <v>7.400000000000001E-5</v>
      </c>
      <c r="U32" s="148">
        <f t="shared" si="13"/>
        <v>0.29529130087789307</v>
      </c>
      <c r="V32" s="7">
        <f t="shared" si="14"/>
        <v>1</v>
      </c>
      <c r="W32" s="7">
        <f t="shared" si="14"/>
        <v>10000</v>
      </c>
      <c r="X32" s="1345">
        <f t="shared" si="15"/>
        <v>7.400000000000001E-2</v>
      </c>
      <c r="Y32" s="1345">
        <f t="shared" si="15"/>
        <v>295.29130087789309</v>
      </c>
    </row>
    <row r="33" spans="1:26" ht="14.25" x14ac:dyDescent="0.2">
      <c r="H33" s="9"/>
      <c r="U33" s="152"/>
      <c r="V33" s="21"/>
      <c r="W33" s="21"/>
      <c r="X33" s="21"/>
      <c r="Y33" s="21"/>
      <c r="Z33" s="21"/>
    </row>
    <row r="34" spans="1:26" ht="15.75" x14ac:dyDescent="0.2">
      <c r="A34" s="103" t="str">
        <f>D62</f>
        <v>3-Carene</v>
      </c>
      <c r="B34" s="97"/>
      <c r="C34" s="97"/>
      <c r="D34" s="97"/>
      <c r="E34" s="97"/>
      <c r="F34" s="97"/>
      <c r="G34" s="97"/>
      <c r="H34" s="97"/>
      <c r="I34" s="113"/>
      <c r="J34" s="113"/>
      <c r="K34" s="113"/>
      <c r="L34" s="113"/>
      <c r="M34" s="113"/>
      <c r="N34" s="113"/>
      <c r="O34" s="113"/>
      <c r="R34" s="113"/>
      <c r="S34" s="113"/>
      <c r="T34" s="146"/>
      <c r="U34" s="146"/>
    </row>
    <row r="35" spans="1:26" ht="102" x14ac:dyDescent="0.2">
      <c r="A35" s="211" t="s">
        <v>0</v>
      </c>
      <c r="B35" s="212" t="s">
        <v>1</v>
      </c>
      <c r="C35" s="212" t="s">
        <v>133</v>
      </c>
      <c r="D35" s="212" t="s">
        <v>199</v>
      </c>
      <c r="E35" s="212" t="s">
        <v>135</v>
      </c>
      <c r="F35" s="212" t="s">
        <v>200</v>
      </c>
      <c r="G35" s="212" t="s">
        <v>137</v>
      </c>
      <c r="H35" s="212" t="s">
        <v>201</v>
      </c>
      <c r="I35" s="104" t="s">
        <v>8</v>
      </c>
      <c r="J35" s="104" t="s">
        <v>9</v>
      </c>
      <c r="K35" s="104" t="s">
        <v>107</v>
      </c>
      <c r="L35" s="104" t="s">
        <v>14</v>
      </c>
      <c r="M35" s="104" t="s">
        <v>1057</v>
      </c>
      <c r="N35" s="104" t="s">
        <v>1058</v>
      </c>
      <c r="O35" s="104" t="s">
        <v>100</v>
      </c>
      <c r="P35" s="6" t="s">
        <v>105</v>
      </c>
      <c r="Q35" s="6" t="s">
        <v>106</v>
      </c>
      <c r="R35" s="104" t="s">
        <v>1051</v>
      </c>
      <c r="S35" s="104" t="s">
        <v>1052</v>
      </c>
      <c r="T35" s="147" t="s">
        <v>1053</v>
      </c>
      <c r="U35" s="147" t="s">
        <v>1054</v>
      </c>
      <c r="V35" s="5" t="s">
        <v>101</v>
      </c>
      <c r="W35" s="5" t="s">
        <v>102</v>
      </c>
      <c r="X35" s="112" t="s">
        <v>1055</v>
      </c>
      <c r="Y35" s="112" t="s">
        <v>1056</v>
      </c>
    </row>
    <row r="36" spans="1:26" x14ac:dyDescent="0.2">
      <c r="A36" s="213" t="str">
        <f>A62</f>
        <v>KRISS</v>
      </c>
      <c r="B36" s="213" t="str">
        <f>C62</f>
        <v>APE1145320</v>
      </c>
      <c r="C36" s="219">
        <f t="shared" ref="C36:H36" si="17">E62</f>
        <v>2.6829999999999996E-3</v>
      </c>
      <c r="D36" s="219">
        <f t="shared" si="17"/>
        <v>8.599999999999999E-5</v>
      </c>
      <c r="E36" s="219">
        <f t="shared" si="17"/>
        <v>2.7170000000000002E-3</v>
      </c>
      <c r="F36" s="219">
        <f t="shared" si="17"/>
        <v>4.35E-5</v>
      </c>
      <c r="G36" s="219">
        <f t="shared" si="17"/>
        <v>3.4E-5</v>
      </c>
      <c r="H36" s="219">
        <f t="shared" si="17"/>
        <v>1.93E-4</v>
      </c>
      <c r="I36" s="155">
        <f t="shared" ref="I36:I38" si="18">IF(ABS(G36)&gt;ABS(H36), 1, 0)</f>
        <v>0</v>
      </c>
      <c r="J36" s="155">
        <f t="shared" ref="J36:J38" si="19">I36*ABS(C36-E36)</f>
        <v>0</v>
      </c>
      <c r="K36" s="155">
        <f t="shared" ref="K36:K38" si="20">SQRT(SUMSQ(F36,J36))*2</f>
        <v>8.7000000000000001E-5</v>
      </c>
      <c r="L36" s="155">
        <f t="shared" ref="L36:L38" si="21">IF(C36&lt;$K$2, C36, $K$1)</f>
        <v>2.6829999999999996E-3</v>
      </c>
      <c r="M36" s="156">
        <f t="shared" ref="M36:M38" si="22">IF(AND(C36&lt;$K$1,C36&gt; $K$2), K36/L36*100, K36/C36*100)</f>
        <v>3.2426388371226245</v>
      </c>
      <c r="N36" s="157">
        <f t="shared" ref="N36:N38" si="23">M36*L36/100</f>
        <v>8.7000000000000001E-5</v>
      </c>
      <c r="O36" s="155">
        <f t="shared" ref="O36:O38" si="24">N36/(M36*L36/100)*100</f>
        <v>100</v>
      </c>
      <c r="P36" s="250">
        <v>1E-3</v>
      </c>
      <c r="Q36" s="250">
        <v>10</v>
      </c>
      <c r="R36" s="148">
        <f>IF( IF(P36&lt;L36, M36*L36/P36, M36)&gt;100, "ERROR",  IF(P36&lt;L36, M36*L36/P36, M36))</f>
        <v>8.6999999999999993</v>
      </c>
      <c r="S36" s="148">
        <f>IF(IF(Q36&lt;L36, M36*L36/Q36, M36)&gt;100, "ERROR", IF(Q36&lt;L36, M36*L36/Q36, M36))</f>
        <v>3.2426388371226245</v>
      </c>
      <c r="T36" s="148">
        <f>R36*P36*0.01</f>
        <v>8.7000000000000001E-5</v>
      </c>
      <c r="U36" s="148">
        <f>S36*Q36*0.01</f>
        <v>0.32426388371226245</v>
      </c>
      <c r="V36" s="7">
        <f>P36*1000</f>
        <v>1</v>
      </c>
      <c r="W36" s="7">
        <f>Q36*1000</f>
        <v>10000</v>
      </c>
      <c r="X36" s="1345">
        <f>T36*1000</f>
        <v>8.6999999999999994E-2</v>
      </c>
      <c r="Y36" s="1345">
        <f>U36*1000</f>
        <v>324.26388371226244</v>
      </c>
    </row>
    <row r="37" spans="1:26" x14ac:dyDescent="0.2">
      <c r="A37" s="213" t="str">
        <f t="shared" ref="A37:A38" si="25">A63</f>
        <v>NIST</v>
      </c>
      <c r="B37" s="213" t="str">
        <f t="shared" ref="B37:B38" si="26">C63</f>
        <v>APE1145321</v>
      </c>
      <c r="C37" s="219">
        <f t="shared" ref="C37:C38" si="27">E63</f>
        <v>2.5330000000000001E-3</v>
      </c>
      <c r="D37" s="219">
        <f t="shared" ref="D37:D38" si="28">F63</f>
        <v>3.0499999999999999E-5</v>
      </c>
      <c r="E37" s="219">
        <f t="shared" ref="E37:E38" si="29">G63</f>
        <v>2.513E-3</v>
      </c>
      <c r="F37" s="219">
        <f t="shared" ref="F37:F38" si="30">H63</f>
        <v>2.7500000000000001E-5</v>
      </c>
      <c r="G37" s="219">
        <f t="shared" ref="G37:G38" si="31">I63</f>
        <v>-2.0000000000000002E-5</v>
      </c>
      <c r="H37" s="219">
        <f t="shared" ref="H37:H38" si="32">J63</f>
        <v>8.2000000000000001E-5</v>
      </c>
      <c r="I37" s="155">
        <f t="shared" si="18"/>
        <v>0</v>
      </c>
      <c r="J37" s="155">
        <f t="shared" si="19"/>
        <v>0</v>
      </c>
      <c r="K37" s="155">
        <f t="shared" si="20"/>
        <v>5.5000000000000002E-5</v>
      </c>
      <c r="L37" s="155">
        <f t="shared" si="21"/>
        <v>2.5330000000000001E-3</v>
      </c>
      <c r="M37" s="156">
        <f t="shared" si="22"/>
        <v>2.1713383339913146</v>
      </c>
      <c r="N37" s="157">
        <f t="shared" si="23"/>
        <v>5.4999999999999995E-5</v>
      </c>
      <c r="O37" s="155">
        <f t="shared" si="24"/>
        <v>100</v>
      </c>
      <c r="P37" s="250">
        <v>1E-3</v>
      </c>
      <c r="Q37" s="250">
        <v>10</v>
      </c>
      <c r="R37" s="148">
        <f t="shared" ref="R37:R38" si="33">IF( IF(P37&lt;L37, M37*L37/P37, M37)&gt;100, "ERROR",  IF(P37&lt;L37, M37*L37/P37, M37))</f>
        <v>5.5</v>
      </c>
      <c r="S37" s="148">
        <f t="shared" ref="S37:S38" si="34">IF(IF(Q37&lt;L37, M37*L37/Q37, M37)&gt;100, "ERROR", IF(Q37&lt;L37, M37*L37/Q37, M37))</f>
        <v>2.1713383339913146</v>
      </c>
      <c r="T37" s="148">
        <f t="shared" ref="T37:T38" si="35">R37*P37*0.01</f>
        <v>5.4999999999999995E-5</v>
      </c>
      <c r="U37" s="148">
        <f t="shared" ref="U37:U38" si="36">S37*Q37*0.01</f>
        <v>0.21713383339913148</v>
      </c>
      <c r="V37" s="7">
        <f t="shared" ref="V37:V38" si="37">P37*1000</f>
        <v>1</v>
      </c>
      <c r="W37" s="7">
        <f t="shared" ref="W37:W38" si="38">Q37*1000</f>
        <v>10000</v>
      </c>
      <c r="X37" s="1345">
        <f t="shared" ref="X37:X38" si="39">T37*1000</f>
        <v>5.4999999999999993E-2</v>
      </c>
      <c r="Y37" s="1345">
        <f t="shared" ref="Y37:Y38" si="40">U37*1000</f>
        <v>217.13383339913148</v>
      </c>
    </row>
    <row r="38" spans="1:26" x14ac:dyDescent="0.2">
      <c r="A38" s="213" t="str">
        <f t="shared" si="25"/>
        <v>NPL</v>
      </c>
      <c r="B38" s="213" t="str">
        <f t="shared" si="26"/>
        <v>APE1145315</v>
      </c>
      <c r="C38" s="219">
        <f t="shared" si="27"/>
        <v>2.6160000000000003E-3</v>
      </c>
      <c r="D38" s="219">
        <f t="shared" si="28"/>
        <v>5.7500000000000002E-5</v>
      </c>
      <c r="E38" s="219">
        <f t="shared" si="29"/>
        <v>2.5729999999999998E-3</v>
      </c>
      <c r="F38" s="219">
        <f t="shared" si="30"/>
        <v>2.3E-5</v>
      </c>
      <c r="G38" s="219">
        <f t="shared" si="31"/>
        <v>-4.2999999999999995E-5</v>
      </c>
      <c r="H38" s="219">
        <f t="shared" si="32"/>
        <v>1.2400000000000001E-4</v>
      </c>
      <c r="I38" s="155">
        <f t="shared" si="18"/>
        <v>0</v>
      </c>
      <c r="J38" s="155">
        <f t="shared" si="19"/>
        <v>0</v>
      </c>
      <c r="K38" s="155">
        <f t="shared" si="20"/>
        <v>4.6E-5</v>
      </c>
      <c r="L38" s="155">
        <f t="shared" si="21"/>
        <v>2.6160000000000003E-3</v>
      </c>
      <c r="M38" s="156">
        <f t="shared" si="22"/>
        <v>1.7584097859327217</v>
      </c>
      <c r="N38" s="157">
        <f t="shared" si="23"/>
        <v>4.6000000000000007E-5</v>
      </c>
      <c r="O38" s="155">
        <f t="shared" si="24"/>
        <v>100</v>
      </c>
      <c r="P38" s="250">
        <v>1E-3</v>
      </c>
      <c r="Q38" s="250">
        <v>10</v>
      </c>
      <c r="R38" s="148">
        <f t="shared" si="33"/>
        <v>4.6000000000000005</v>
      </c>
      <c r="S38" s="148">
        <f t="shared" si="34"/>
        <v>1.7584097859327217</v>
      </c>
      <c r="T38" s="148">
        <f t="shared" si="35"/>
        <v>4.6000000000000007E-5</v>
      </c>
      <c r="U38" s="148">
        <f t="shared" si="36"/>
        <v>0.17584097859327216</v>
      </c>
      <c r="V38" s="7">
        <f t="shared" si="37"/>
        <v>1</v>
      </c>
      <c r="W38" s="7">
        <f t="shared" si="38"/>
        <v>10000</v>
      </c>
      <c r="X38" s="1345">
        <f t="shared" si="39"/>
        <v>4.6000000000000006E-2</v>
      </c>
      <c r="Y38" s="1345">
        <f t="shared" si="40"/>
        <v>175.84097859327215</v>
      </c>
    </row>
    <row r="39" spans="1:26" ht="14.25" x14ac:dyDescent="0.2">
      <c r="H39" s="9"/>
      <c r="U39" s="152"/>
      <c r="V39" s="21"/>
      <c r="W39" s="21"/>
      <c r="X39" s="21"/>
      <c r="Y39" s="21"/>
      <c r="Z39" s="21"/>
    </row>
    <row r="40" spans="1:26" ht="15.75" x14ac:dyDescent="0.2">
      <c r="A40" s="103" t="str">
        <f>D68</f>
        <v>R-Limonene</v>
      </c>
      <c r="B40" s="97"/>
      <c r="C40" s="97"/>
      <c r="D40" s="97"/>
      <c r="E40" s="97"/>
      <c r="F40" s="97"/>
      <c r="G40" s="97"/>
      <c r="H40" s="97"/>
      <c r="I40" s="113"/>
      <c r="J40" s="113"/>
      <c r="K40" s="113"/>
      <c r="L40" s="113"/>
      <c r="M40" s="113"/>
      <c r="N40" s="113"/>
      <c r="O40" s="113"/>
      <c r="R40" s="113"/>
      <c r="S40" s="113"/>
      <c r="T40" s="146"/>
      <c r="U40" s="146"/>
    </row>
    <row r="41" spans="1:26" ht="102" x14ac:dyDescent="0.2">
      <c r="A41" s="211" t="s">
        <v>0</v>
      </c>
      <c r="B41" s="212" t="s">
        <v>1</v>
      </c>
      <c r="C41" s="212" t="s">
        <v>133</v>
      </c>
      <c r="D41" s="212" t="s">
        <v>199</v>
      </c>
      <c r="E41" s="212" t="s">
        <v>135</v>
      </c>
      <c r="F41" s="212" t="s">
        <v>200</v>
      </c>
      <c r="G41" s="212" t="s">
        <v>137</v>
      </c>
      <c r="H41" s="212" t="s">
        <v>201</v>
      </c>
      <c r="I41" s="104" t="s">
        <v>8</v>
      </c>
      <c r="J41" s="104" t="s">
        <v>9</v>
      </c>
      <c r="K41" s="104" t="s">
        <v>107</v>
      </c>
      <c r="L41" s="104" t="s">
        <v>14</v>
      </c>
      <c r="M41" s="104" t="s">
        <v>1057</v>
      </c>
      <c r="N41" s="104" t="s">
        <v>1058</v>
      </c>
      <c r="O41" s="104" t="s">
        <v>100</v>
      </c>
      <c r="P41" s="6" t="s">
        <v>105</v>
      </c>
      <c r="Q41" s="6" t="s">
        <v>106</v>
      </c>
      <c r="R41" s="104" t="s">
        <v>1051</v>
      </c>
      <c r="S41" s="104" t="s">
        <v>1052</v>
      </c>
      <c r="T41" s="147" t="s">
        <v>1053</v>
      </c>
      <c r="U41" s="147" t="s">
        <v>1054</v>
      </c>
      <c r="V41" s="5" t="s">
        <v>101</v>
      </c>
      <c r="W41" s="5" t="s">
        <v>102</v>
      </c>
      <c r="X41" s="112" t="s">
        <v>1055</v>
      </c>
      <c r="Y41" s="112" t="s">
        <v>1056</v>
      </c>
    </row>
    <row r="42" spans="1:26" x14ac:dyDescent="0.2">
      <c r="A42" s="213" t="str">
        <f>A68</f>
        <v>KRISS</v>
      </c>
      <c r="B42" s="213" t="str">
        <f>C68</f>
        <v>APE1145320</v>
      </c>
      <c r="C42" s="219">
        <f t="shared" ref="C42:H42" si="41">E68</f>
        <v>2.519E-3</v>
      </c>
      <c r="D42" s="219">
        <f t="shared" si="41"/>
        <v>9.1500000000000001E-5</v>
      </c>
      <c r="E42" s="219">
        <f t="shared" si="41"/>
        <v>2.5049999999999998E-3</v>
      </c>
      <c r="F42" s="219">
        <f t="shared" si="41"/>
        <v>2.5999999999999998E-5</v>
      </c>
      <c r="G42" s="219">
        <f t="shared" si="41"/>
        <v>-1.4E-5</v>
      </c>
      <c r="H42" s="219">
        <f t="shared" si="41"/>
        <v>1.9000000000000001E-4</v>
      </c>
      <c r="I42" s="155">
        <f t="shared" ref="I42:I44" si="42">IF(ABS(G42)&gt;ABS(H42), 1, 0)</f>
        <v>0</v>
      </c>
      <c r="J42" s="155">
        <f t="shared" ref="J42:J44" si="43">I42*ABS(C42-E42)</f>
        <v>0</v>
      </c>
      <c r="K42" s="155">
        <f t="shared" ref="K42:K44" si="44">SQRT(SUMSQ(F42,J42))*2</f>
        <v>5.1999999999999997E-5</v>
      </c>
      <c r="L42" s="155">
        <f t="shared" ref="L42:L44" si="45">IF(C42&lt;$K$2, C42, $K$1)</f>
        <v>2.519E-3</v>
      </c>
      <c r="M42" s="156">
        <f t="shared" ref="M42:M44" si="46">IF(AND(C42&lt;$K$1,C42&gt; $K$2), K42/L42*100, K42/C42*100)</f>
        <v>2.0643112346169112</v>
      </c>
      <c r="N42" s="157">
        <f t="shared" ref="N42:N44" si="47">M42*L42/100</f>
        <v>5.1999999999999997E-5</v>
      </c>
      <c r="O42" s="155">
        <f t="shared" ref="O42:O44" si="48">N42/(M42*L42/100)*100</f>
        <v>100</v>
      </c>
      <c r="P42" s="250">
        <v>1E-3</v>
      </c>
      <c r="Q42" s="250">
        <v>10</v>
      </c>
      <c r="R42" s="916">
        <f>IF( IF(P42&lt;L42, M42*L42/P42, M42)&gt;100, "ERROR",  IF(P42&lt;L42, M42*L42/P42, M42))</f>
        <v>5.1999999999999993</v>
      </c>
      <c r="S42" s="916">
        <f>IF(IF(Q42&lt;L42, M42*L42/Q42, M42)&gt;100, "ERROR", IF(Q42&lt;L42, M42*L42/Q42, M42))</f>
        <v>2.0643112346169112</v>
      </c>
      <c r="T42" s="148">
        <f>R42*P42*0.01</f>
        <v>5.1999999999999997E-5</v>
      </c>
      <c r="U42" s="148">
        <f>S42*Q42*0.01</f>
        <v>0.20643112346169112</v>
      </c>
      <c r="V42" s="7">
        <f>P42*1000</f>
        <v>1</v>
      </c>
      <c r="W42" s="7">
        <f>Q42*1000</f>
        <v>10000</v>
      </c>
      <c r="X42" s="114">
        <f>T42*1000</f>
        <v>5.1999999999999998E-2</v>
      </c>
      <c r="Y42" s="115">
        <f>U42*1000</f>
        <v>206.43112346169113</v>
      </c>
    </row>
    <row r="43" spans="1:26" x14ac:dyDescent="0.2">
      <c r="A43" s="213" t="str">
        <f t="shared" ref="A43:A44" si="49">A69</f>
        <v>NIST</v>
      </c>
      <c r="B43" s="213" t="str">
        <f t="shared" ref="B43:B44" si="50">C69</f>
        <v>APE1145321</v>
      </c>
      <c r="C43" s="219">
        <f t="shared" ref="C43:C44" si="51">E69</f>
        <v>2.6970000000000002E-3</v>
      </c>
      <c r="D43" s="219">
        <f t="shared" ref="D43:D44" si="52">F69</f>
        <v>9.9000000000000008E-5</v>
      </c>
      <c r="E43" s="219">
        <f t="shared" ref="E43:E44" si="53">G69</f>
        <v>2.689E-3</v>
      </c>
      <c r="F43" s="219">
        <f t="shared" ref="F43:F44" si="54">H69</f>
        <v>1.3499999999999999E-5</v>
      </c>
      <c r="G43" s="219">
        <f t="shared" ref="G43:G44" si="55">I69</f>
        <v>-7.9999999999999996E-6</v>
      </c>
      <c r="H43" s="219">
        <f t="shared" ref="H43:H44" si="56">J69</f>
        <v>2.0000000000000001E-4</v>
      </c>
      <c r="I43" s="155">
        <f t="shared" si="42"/>
        <v>0</v>
      </c>
      <c r="J43" s="155">
        <f t="shared" si="43"/>
        <v>0</v>
      </c>
      <c r="K43" s="155">
        <f t="shared" si="44"/>
        <v>2.6999999999999999E-5</v>
      </c>
      <c r="L43" s="155">
        <f t="shared" si="45"/>
        <v>2.6970000000000002E-3</v>
      </c>
      <c r="M43" s="156">
        <f t="shared" si="46"/>
        <v>1.0011123470522802</v>
      </c>
      <c r="N43" s="157">
        <f t="shared" si="47"/>
        <v>2.7000000000000002E-5</v>
      </c>
      <c r="O43" s="155">
        <f t="shared" si="48"/>
        <v>100</v>
      </c>
      <c r="P43" s="250">
        <v>1E-3</v>
      </c>
      <c r="Q43" s="250">
        <v>10</v>
      </c>
      <c r="R43" s="916">
        <f t="shared" ref="R43:R44" si="57">IF( IF(P43&lt;L43, M43*L43/P43, M43)&gt;100, "ERROR",  IF(P43&lt;L43, M43*L43/P43, M43))</f>
        <v>2.7</v>
      </c>
      <c r="S43" s="916">
        <f t="shared" ref="S43:S44" si="58">IF(IF(Q43&lt;L43, M43*L43/Q43, M43)&gt;100, "ERROR", IF(Q43&lt;L43, M43*L43/Q43, M43))</f>
        <v>1.0011123470522802</v>
      </c>
      <c r="T43" s="148">
        <f t="shared" ref="T43:T44" si="59">R43*P43*0.01</f>
        <v>2.7000000000000002E-5</v>
      </c>
      <c r="U43" s="148">
        <f t="shared" ref="U43:U44" si="60">S43*Q43*0.01</f>
        <v>0.10011123470522802</v>
      </c>
      <c r="V43" s="7">
        <f t="shared" ref="V43:V44" si="61">P43*1000</f>
        <v>1</v>
      </c>
      <c r="W43" s="7">
        <f t="shared" ref="W43:W44" si="62">Q43*1000</f>
        <v>10000</v>
      </c>
      <c r="X43" s="114">
        <f t="shared" ref="X43:X44" si="63">T43*1000</f>
        <v>2.7000000000000003E-2</v>
      </c>
      <c r="Y43" s="115">
        <f t="shared" ref="Y43:Y44" si="64">U43*1000</f>
        <v>100.11123470522803</v>
      </c>
    </row>
    <row r="44" spans="1:26" x14ac:dyDescent="0.2">
      <c r="A44" s="213" t="str">
        <f t="shared" si="49"/>
        <v>NPL</v>
      </c>
      <c r="B44" s="213" t="str">
        <f t="shared" si="50"/>
        <v>APE1145315</v>
      </c>
      <c r="C44" s="219">
        <f t="shared" si="51"/>
        <v>2.5310000000000003E-3</v>
      </c>
      <c r="D44" s="219">
        <f t="shared" si="52"/>
        <v>3.1000000000000001E-5</v>
      </c>
      <c r="E44" s="219">
        <f t="shared" si="53"/>
        <v>2.5499999999999997E-3</v>
      </c>
      <c r="F44" s="219">
        <f t="shared" si="54"/>
        <v>4.0000000000000003E-5</v>
      </c>
      <c r="G44" s="219">
        <f t="shared" si="55"/>
        <v>2.0000000000000002E-5</v>
      </c>
      <c r="H44" s="219">
        <f t="shared" si="56"/>
        <v>1E-4</v>
      </c>
      <c r="I44" s="155">
        <f t="shared" si="42"/>
        <v>0</v>
      </c>
      <c r="J44" s="155">
        <f t="shared" si="43"/>
        <v>0</v>
      </c>
      <c r="K44" s="155">
        <f t="shared" si="44"/>
        <v>8.0000000000000007E-5</v>
      </c>
      <c r="L44" s="155">
        <f t="shared" si="45"/>
        <v>2.5310000000000003E-3</v>
      </c>
      <c r="M44" s="156">
        <f t="shared" si="46"/>
        <v>3.1608060055314109</v>
      </c>
      <c r="N44" s="157">
        <f t="shared" si="47"/>
        <v>8.000000000000002E-5</v>
      </c>
      <c r="O44" s="155">
        <f t="shared" si="48"/>
        <v>100</v>
      </c>
      <c r="P44" s="250">
        <v>1E-3</v>
      </c>
      <c r="Q44" s="250">
        <v>10</v>
      </c>
      <c r="R44" s="916">
        <f t="shared" si="57"/>
        <v>8.0000000000000018</v>
      </c>
      <c r="S44" s="916">
        <f t="shared" si="58"/>
        <v>3.1608060055314109</v>
      </c>
      <c r="T44" s="148">
        <f t="shared" si="59"/>
        <v>8.000000000000002E-5</v>
      </c>
      <c r="U44" s="148">
        <f t="shared" si="60"/>
        <v>0.31608060055314108</v>
      </c>
      <c r="V44" s="7">
        <f t="shared" si="61"/>
        <v>1</v>
      </c>
      <c r="W44" s="7">
        <f t="shared" si="62"/>
        <v>10000</v>
      </c>
      <c r="X44" s="114">
        <f t="shared" si="63"/>
        <v>8.0000000000000016E-2</v>
      </c>
      <c r="Y44" s="115">
        <f t="shared" si="64"/>
        <v>316.0806005531411</v>
      </c>
    </row>
    <row r="45" spans="1:26" ht="14.25" x14ac:dyDescent="0.2">
      <c r="H45" s="9"/>
      <c r="U45" s="152"/>
      <c r="V45" s="21"/>
      <c r="W45" s="21"/>
      <c r="X45" s="21"/>
      <c r="Y45" s="21"/>
      <c r="Z45" s="21"/>
    </row>
    <row r="46" spans="1:26" ht="15.75" x14ac:dyDescent="0.2">
      <c r="A46" s="103" t="str">
        <f>D74</f>
        <v>1,8-Cineole</v>
      </c>
      <c r="B46" s="97"/>
      <c r="C46" s="97"/>
      <c r="D46" s="97"/>
      <c r="E46" s="97"/>
      <c r="F46" s="97"/>
      <c r="G46" s="97"/>
      <c r="H46" s="97"/>
      <c r="I46" s="113"/>
      <c r="J46" s="113"/>
      <c r="K46" s="113"/>
      <c r="L46" s="113"/>
      <c r="M46" s="113"/>
      <c r="N46" s="113"/>
      <c r="O46" s="113"/>
      <c r="R46" s="113"/>
      <c r="S46" s="113"/>
      <c r="T46" s="146"/>
      <c r="U46" s="146"/>
    </row>
    <row r="47" spans="1:26" ht="102" x14ac:dyDescent="0.2">
      <c r="A47" s="211" t="s">
        <v>0</v>
      </c>
      <c r="B47" s="212" t="s">
        <v>1</v>
      </c>
      <c r="C47" s="212" t="s">
        <v>133</v>
      </c>
      <c r="D47" s="212" t="s">
        <v>199</v>
      </c>
      <c r="E47" s="212" t="s">
        <v>135</v>
      </c>
      <c r="F47" s="212" t="s">
        <v>200</v>
      </c>
      <c r="G47" s="212" t="s">
        <v>137</v>
      </c>
      <c r="H47" s="212" t="s">
        <v>201</v>
      </c>
      <c r="I47" s="104" t="s">
        <v>8</v>
      </c>
      <c r="J47" s="104" t="s">
        <v>9</v>
      </c>
      <c r="K47" s="104" t="s">
        <v>107</v>
      </c>
      <c r="L47" s="104" t="s">
        <v>14</v>
      </c>
      <c r="M47" s="104" t="s">
        <v>1057</v>
      </c>
      <c r="N47" s="104" t="s">
        <v>1058</v>
      </c>
      <c r="O47" s="104" t="s">
        <v>100</v>
      </c>
      <c r="P47" s="6" t="s">
        <v>105</v>
      </c>
      <c r="Q47" s="6" t="s">
        <v>106</v>
      </c>
      <c r="R47" s="104" t="s">
        <v>1051</v>
      </c>
      <c r="S47" s="104" t="s">
        <v>1052</v>
      </c>
      <c r="T47" s="147" t="s">
        <v>1053</v>
      </c>
      <c r="U47" s="147" t="s">
        <v>1054</v>
      </c>
      <c r="V47" s="5" t="s">
        <v>101</v>
      </c>
      <c r="W47" s="5" t="s">
        <v>102</v>
      </c>
      <c r="X47" s="112" t="s">
        <v>1055</v>
      </c>
      <c r="Y47" s="112" t="s">
        <v>1056</v>
      </c>
    </row>
    <row r="48" spans="1:26" x14ac:dyDescent="0.2">
      <c r="A48" s="213" t="str">
        <f>A74</f>
        <v>KRISS</v>
      </c>
      <c r="B48" s="213" t="str">
        <f>C74</f>
        <v>APE1145320</v>
      </c>
      <c r="C48" s="219">
        <f t="shared" ref="C48:H48" si="65">E74</f>
        <v>2.614E-3</v>
      </c>
      <c r="D48" s="219">
        <f t="shared" si="65"/>
        <v>5.5000000000000002E-5</v>
      </c>
      <c r="E48" s="219">
        <f t="shared" si="65"/>
        <v>2.5400000000000002E-3</v>
      </c>
      <c r="F48" s="219">
        <f t="shared" si="65"/>
        <v>2.5000000000000001E-5</v>
      </c>
      <c r="G48" s="219">
        <f t="shared" si="65"/>
        <v>-7.0000000000000007E-5</v>
      </c>
      <c r="H48" s="219">
        <f t="shared" si="65"/>
        <v>1.1999999999999999E-4</v>
      </c>
      <c r="I48" s="155">
        <f t="shared" ref="I48:I50" si="66">IF(ABS(G48)&gt;ABS(H48), 1, 0)</f>
        <v>0</v>
      </c>
      <c r="J48" s="155">
        <f t="shared" ref="J48:J50" si="67">I48*ABS(C48-E48)</f>
        <v>0</v>
      </c>
      <c r="K48" s="155">
        <f t="shared" ref="K48:K50" si="68">SQRT(SUMSQ(F48,J48))*2</f>
        <v>5.0000000000000002E-5</v>
      </c>
      <c r="L48" s="155">
        <f t="shared" ref="L48:L50" si="69">IF(C48&lt;$K$2, C48, $K$1)</f>
        <v>2.614E-3</v>
      </c>
      <c r="M48" s="156">
        <f t="shared" ref="M48:M50" si="70">IF(AND(C48&lt;$K$1,C48&gt; $K$2), K48/L48*100, K48/C48*100)</f>
        <v>1.912777352716144</v>
      </c>
      <c r="N48" s="157">
        <f t="shared" ref="N48:N50" si="71">M48*L48/100</f>
        <v>5.0000000000000002E-5</v>
      </c>
      <c r="O48" s="155">
        <f t="shared" ref="O48:O50" si="72">N48/(M48*L48/100)*100</f>
        <v>100</v>
      </c>
      <c r="P48" s="250">
        <v>1E-3</v>
      </c>
      <c r="Q48" s="250">
        <v>10</v>
      </c>
      <c r="R48" s="148">
        <f>IF( IF(P48&lt;L48, M48*L48/P48, M48)&gt;100, "ERROR",  IF(P48&lt;L48, M48*L48/P48, M48))</f>
        <v>5</v>
      </c>
      <c r="S48" s="148">
        <f>IF(IF(Q48&lt;L48, M48*L48/Q48, M48)&gt;100, "ERROR", IF(Q48&lt;L48, M48*L48/Q48, M48))</f>
        <v>1.912777352716144</v>
      </c>
      <c r="T48" s="148">
        <f>R48*P48*0.01</f>
        <v>5.0000000000000002E-5</v>
      </c>
      <c r="U48" s="148">
        <f>S48*Q48*0.01</f>
        <v>0.1912777352716144</v>
      </c>
      <c r="V48" s="7">
        <f>P48*1000</f>
        <v>1</v>
      </c>
      <c r="W48" s="7">
        <f>Q48*1000</f>
        <v>10000</v>
      </c>
      <c r="X48" s="1345">
        <f>T48*1000</f>
        <v>0.05</v>
      </c>
      <c r="Y48" s="1345">
        <f>U48*1000</f>
        <v>191.2777352716144</v>
      </c>
    </row>
    <row r="49" spans="1:26" x14ac:dyDescent="0.2">
      <c r="A49" s="213" t="str">
        <f t="shared" ref="A49:A50" si="73">A75</f>
        <v>NIST</v>
      </c>
      <c r="B49" s="213" t="str">
        <f t="shared" ref="B49:B50" si="74">C75</f>
        <v>APE1145321</v>
      </c>
      <c r="C49" s="219">
        <f t="shared" ref="C49:C50" si="75">E75</f>
        <v>2.5169999999999997E-3</v>
      </c>
      <c r="D49" s="219">
        <f t="shared" ref="D49:D50" si="76">F75</f>
        <v>5.1E-5</v>
      </c>
      <c r="E49" s="219">
        <f t="shared" ref="E49:E50" si="77">G75</f>
        <v>2.48E-3</v>
      </c>
      <c r="F49" s="219">
        <f t="shared" ref="F49:F50" si="78">H75</f>
        <v>2.5000000000000001E-5</v>
      </c>
      <c r="G49" s="219">
        <f t="shared" ref="G49:G50" si="79">I75</f>
        <v>-4.0000000000000003E-5</v>
      </c>
      <c r="H49" s="219">
        <f t="shared" ref="H49:H50" si="80">J75</f>
        <v>1.1E-4</v>
      </c>
      <c r="I49" s="155">
        <f t="shared" si="66"/>
        <v>0</v>
      </c>
      <c r="J49" s="155">
        <f t="shared" si="67"/>
        <v>0</v>
      </c>
      <c r="K49" s="155">
        <f t="shared" si="68"/>
        <v>5.0000000000000002E-5</v>
      </c>
      <c r="L49" s="155">
        <f t="shared" si="69"/>
        <v>2.5169999999999997E-3</v>
      </c>
      <c r="M49" s="156">
        <f t="shared" si="70"/>
        <v>1.9864918553833932</v>
      </c>
      <c r="N49" s="157">
        <f t="shared" si="71"/>
        <v>5.0000000000000002E-5</v>
      </c>
      <c r="O49" s="155">
        <f t="shared" si="72"/>
        <v>100</v>
      </c>
      <c r="P49" s="250">
        <v>1E-3</v>
      </c>
      <c r="Q49" s="250">
        <v>10</v>
      </c>
      <c r="R49" s="148">
        <f t="shared" ref="R49:R50" si="81">IF( IF(P49&lt;L49, M49*L49/P49, M49)&gt;100, "ERROR",  IF(P49&lt;L49, M49*L49/P49, M49))</f>
        <v>5</v>
      </c>
      <c r="S49" s="148">
        <f t="shared" ref="S49:S50" si="82">IF(IF(Q49&lt;L49, M49*L49/Q49, M49)&gt;100, "ERROR", IF(Q49&lt;L49, M49*L49/Q49, M49))</f>
        <v>1.9864918553833932</v>
      </c>
      <c r="T49" s="148">
        <f t="shared" ref="T49:T50" si="83">R49*P49*0.01</f>
        <v>5.0000000000000002E-5</v>
      </c>
      <c r="U49" s="148">
        <f t="shared" ref="U49:U50" si="84">S49*Q49*0.01</f>
        <v>0.19864918553833932</v>
      </c>
      <c r="V49" s="7">
        <f t="shared" ref="V49:V50" si="85">P49*1000</f>
        <v>1</v>
      </c>
      <c r="W49" s="7">
        <f t="shared" ref="W49:W50" si="86">Q49*1000</f>
        <v>10000</v>
      </c>
      <c r="X49" s="1345">
        <f t="shared" ref="X49:X50" si="87">T49*1000</f>
        <v>0.05</v>
      </c>
      <c r="Y49" s="1345">
        <f t="shared" ref="Y49:Y50" si="88">U49*1000</f>
        <v>198.64918553833931</v>
      </c>
    </row>
    <row r="50" spans="1:26" x14ac:dyDescent="0.2">
      <c r="A50" s="213" t="str">
        <f t="shared" si="73"/>
        <v>NPL</v>
      </c>
      <c r="B50" s="213" t="str">
        <f t="shared" si="74"/>
        <v>APE1145315</v>
      </c>
      <c r="C50" s="219">
        <f t="shared" si="75"/>
        <v>2.6949999999999999E-3</v>
      </c>
      <c r="D50" s="219">
        <f t="shared" si="76"/>
        <v>7.6500000000000003E-5</v>
      </c>
      <c r="E50" s="219">
        <f t="shared" si="77"/>
        <v>2.5800000000000003E-3</v>
      </c>
      <c r="F50" s="219">
        <f t="shared" si="78"/>
        <v>6.5000000000000008E-5</v>
      </c>
      <c r="G50" s="219">
        <f t="shared" si="79"/>
        <v>-1.1999999999999999E-4</v>
      </c>
      <c r="H50" s="219">
        <f t="shared" si="80"/>
        <v>2.0000000000000001E-4</v>
      </c>
      <c r="I50" s="155">
        <f t="shared" si="66"/>
        <v>0</v>
      </c>
      <c r="J50" s="155">
        <f t="shared" si="67"/>
        <v>0</v>
      </c>
      <c r="K50" s="155">
        <f t="shared" si="68"/>
        <v>1.3000000000000002E-4</v>
      </c>
      <c r="L50" s="155">
        <f t="shared" si="69"/>
        <v>2.6949999999999999E-3</v>
      </c>
      <c r="M50" s="156">
        <f t="shared" si="70"/>
        <v>4.8237476808905386</v>
      </c>
      <c r="N50" s="157">
        <f t="shared" si="71"/>
        <v>1.3000000000000002E-4</v>
      </c>
      <c r="O50" s="155">
        <f t="shared" si="72"/>
        <v>100</v>
      </c>
      <c r="P50" s="250">
        <v>1E-3</v>
      </c>
      <c r="Q50" s="250">
        <v>10</v>
      </c>
      <c r="R50" s="148">
        <f t="shared" si="81"/>
        <v>13</v>
      </c>
      <c r="S50" s="148">
        <f t="shared" si="82"/>
        <v>4.8237476808905386</v>
      </c>
      <c r="T50" s="148">
        <f t="shared" si="83"/>
        <v>1.3000000000000002E-4</v>
      </c>
      <c r="U50" s="148">
        <f t="shared" si="84"/>
        <v>0.48237476808905383</v>
      </c>
      <c r="V50" s="7">
        <f t="shared" si="85"/>
        <v>1</v>
      </c>
      <c r="W50" s="7">
        <f t="shared" si="86"/>
        <v>10000</v>
      </c>
      <c r="X50" s="1345">
        <f t="shared" si="87"/>
        <v>0.13</v>
      </c>
      <c r="Y50" s="1345">
        <f t="shared" si="88"/>
        <v>482.37476808905382</v>
      </c>
    </row>
    <row r="51" spans="1:26" ht="14.25" x14ac:dyDescent="0.2">
      <c r="H51" s="9"/>
      <c r="U51" s="152"/>
      <c r="V51" s="21"/>
      <c r="W51" s="21"/>
      <c r="X51" s="21"/>
      <c r="Y51" s="21"/>
      <c r="Z51" s="21"/>
    </row>
    <row r="52" spans="1:26" ht="14.25" x14ac:dyDescent="0.2">
      <c r="H52" s="9"/>
      <c r="U52" s="152"/>
      <c r="V52" s="21"/>
      <c r="W52" s="21"/>
      <c r="X52" s="21"/>
      <c r="Y52" s="21"/>
      <c r="Z52" s="21"/>
    </row>
    <row r="53" spans="1:26" ht="14.25" x14ac:dyDescent="0.2">
      <c r="H53" s="9"/>
      <c r="X53" s="21"/>
      <c r="Y53" s="21"/>
      <c r="Z53" s="21"/>
    </row>
    <row r="54" spans="1:26" ht="14.25" x14ac:dyDescent="0.2">
      <c r="H54" s="9"/>
      <c r="X54" s="21"/>
      <c r="Y54" s="21"/>
      <c r="Z54" s="21"/>
    </row>
    <row r="55" spans="1:26" s="226" customFormat="1" x14ac:dyDescent="0.2">
      <c r="A55" s="913" t="s">
        <v>1257</v>
      </c>
      <c r="B55" s="913" t="s">
        <v>1258</v>
      </c>
      <c r="C55" s="913" t="s">
        <v>1259</v>
      </c>
      <c r="D55" s="913"/>
      <c r="E55" s="913" t="s">
        <v>1260</v>
      </c>
      <c r="F55" s="913" t="s">
        <v>1292</v>
      </c>
      <c r="G55" s="913" t="s">
        <v>1204</v>
      </c>
      <c r="H55" s="913" t="s">
        <v>1261</v>
      </c>
      <c r="I55" s="913" t="s">
        <v>1262</v>
      </c>
      <c r="J55" s="913" t="s">
        <v>1263</v>
      </c>
    </row>
    <row r="56" spans="1:26" s="226" customFormat="1" x14ac:dyDescent="0.2">
      <c r="A56" s="1137" t="str">
        <f>A89</f>
        <v>KRISS</v>
      </c>
      <c r="B56" s="1137"/>
      <c r="C56" s="1138" t="str">
        <f>B89</f>
        <v>APE1145320</v>
      </c>
      <c r="D56" s="1138" t="str">
        <f>C89</f>
        <v>α-Pinene</v>
      </c>
      <c r="E56" s="1138">
        <f>D89/1000</f>
        <v>2.5200000000000001E-3</v>
      </c>
      <c r="F56" s="1138">
        <f>E89/2000</f>
        <v>3.15E-5</v>
      </c>
      <c r="G56" s="1138">
        <f>F89/1000</f>
        <v>2.516E-3</v>
      </c>
      <c r="H56" s="1138">
        <f>G89/2000</f>
        <v>2.3499999999999999E-5</v>
      </c>
      <c r="I56" s="1138">
        <f t="shared" ref="I56:J58" si="89">H89/1000</f>
        <v>-3.9999999999999998E-6</v>
      </c>
      <c r="J56" s="1138">
        <f t="shared" si="89"/>
        <v>7.8999999999999996E-5</v>
      </c>
    </row>
    <row r="57" spans="1:26" s="226" customFormat="1" x14ac:dyDescent="0.2">
      <c r="A57" s="1132" t="str">
        <f>A93</f>
        <v>NIST</v>
      </c>
      <c r="B57" s="1132"/>
      <c r="C57" s="1133" t="str">
        <f>B93</f>
        <v>APE1145321</v>
      </c>
      <c r="D57" s="1133" t="str">
        <f>C93</f>
        <v>α-Pinene</v>
      </c>
      <c r="E57" s="1133">
        <f>D90/1000</f>
        <v>2.6019999999999997E-3</v>
      </c>
      <c r="F57" s="1133">
        <f>E90/2000</f>
        <v>4.9500000000000004E-5</v>
      </c>
      <c r="G57" s="1133">
        <f>F90/1000</f>
        <v>2.6179999999999997E-3</v>
      </c>
      <c r="H57" s="1133">
        <f>G90/2000</f>
        <v>3.4E-5</v>
      </c>
      <c r="I57" s="1133">
        <f t="shared" si="89"/>
        <v>1.5999999999999999E-5</v>
      </c>
      <c r="J57" s="1133">
        <f t="shared" si="89"/>
        <v>1.1999999999999999E-4</v>
      </c>
    </row>
    <row r="58" spans="1:26" s="226" customFormat="1" x14ac:dyDescent="0.2">
      <c r="A58" s="1139" t="str">
        <f>A97</f>
        <v>NPL</v>
      </c>
      <c r="B58" s="1139"/>
      <c r="C58" s="1140" t="str">
        <f>B97</f>
        <v>APE1145315</v>
      </c>
      <c r="D58" s="1140" t="str">
        <f>C97</f>
        <v>α-Pinene</v>
      </c>
      <c r="E58" s="1140">
        <f>D91/1000</f>
        <v>2.506E-3</v>
      </c>
      <c r="F58" s="1140">
        <f>E91/2000</f>
        <v>7.0499999999999992E-5</v>
      </c>
      <c r="G58" s="1140">
        <f>F91/1000</f>
        <v>2.5850000000000001E-3</v>
      </c>
      <c r="H58" s="1140">
        <f>G91/2000</f>
        <v>3.6999999999999998E-5</v>
      </c>
      <c r="I58" s="1140">
        <f t="shared" si="89"/>
        <v>7.8999999999999996E-5</v>
      </c>
      <c r="J58" s="1140">
        <f t="shared" si="89"/>
        <v>1.5900000000000002E-4</v>
      </c>
    </row>
    <row r="59" spans="1:26" s="226" customFormat="1" x14ac:dyDescent="0.2">
      <c r="A59" s="1143"/>
      <c r="B59" s="1143"/>
      <c r="C59" s="1144"/>
      <c r="D59" s="1144"/>
      <c r="E59" s="1144"/>
      <c r="F59" s="1144"/>
      <c r="G59" s="1144"/>
      <c r="H59" s="1144"/>
      <c r="I59" s="1144"/>
      <c r="J59" s="1144"/>
    </row>
    <row r="60" spans="1:26" s="226" customFormat="1" x14ac:dyDescent="0.2">
      <c r="A60" s="1143"/>
      <c r="B60" s="1143"/>
      <c r="C60" s="1144"/>
      <c r="D60" s="1144"/>
      <c r="E60" s="1144"/>
      <c r="F60" s="1144"/>
      <c r="G60" s="1144"/>
      <c r="H60" s="1144"/>
      <c r="I60" s="1144"/>
      <c r="J60" s="1144"/>
    </row>
    <row r="61" spans="1:26" s="226" customFormat="1" x14ac:dyDescent="0.2">
      <c r="A61" s="1143"/>
      <c r="B61" s="1143"/>
      <c r="C61" s="1144"/>
      <c r="D61" s="1144"/>
      <c r="E61" s="1144"/>
      <c r="F61" s="1144"/>
      <c r="G61" s="1144"/>
      <c r="H61" s="1144"/>
      <c r="I61" s="1144"/>
      <c r="J61" s="1144"/>
    </row>
    <row r="62" spans="1:26" s="226" customFormat="1" x14ac:dyDescent="0.2">
      <c r="A62" s="1137" t="str">
        <f>A90</f>
        <v>KRISS</v>
      </c>
      <c r="B62" s="1137"/>
      <c r="C62" s="1138" t="str">
        <f>B90</f>
        <v>APE1145320</v>
      </c>
      <c r="D62" s="1138" t="str">
        <f>C90</f>
        <v>3-Carene</v>
      </c>
      <c r="E62" s="1138">
        <f>D92/1000</f>
        <v>2.6829999999999996E-3</v>
      </c>
      <c r="F62" s="1138">
        <f>E92/2000</f>
        <v>8.599999999999999E-5</v>
      </c>
      <c r="G62" s="1138">
        <f>F92/1000</f>
        <v>2.7170000000000002E-3</v>
      </c>
      <c r="H62" s="1138">
        <f>G92/2000</f>
        <v>4.35E-5</v>
      </c>
      <c r="I62" s="1138">
        <f t="shared" ref="I62:J64" si="90">H92/1000</f>
        <v>3.4E-5</v>
      </c>
      <c r="J62" s="1138">
        <f t="shared" si="90"/>
        <v>1.93E-4</v>
      </c>
    </row>
    <row r="63" spans="1:26" s="226" customFormat="1" x14ac:dyDescent="0.2">
      <c r="A63" s="1132" t="str">
        <f>A94</f>
        <v>NIST</v>
      </c>
      <c r="B63" s="1132"/>
      <c r="C63" s="1133" t="str">
        <f>B94</f>
        <v>APE1145321</v>
      </c>
      <c r="D63" s="1133" t="str">
        <f>C94</f>
        <v>3-Carene</v>
      </c>
      <c r="E63" s="1133">
        <f>D93/1000</f>
        <v>2.5330000000000001E-3</v>
      </c>
      <c r="F63" s="1133">
        <f>E93/2000</f>
        <v>3.0499999999999999E-5</v>
      </c>
      <c r="G63" s="1133">
        <f>F93/1000</f>
        <v>2.513E-3</v>
      </c>
      <c r="H63" s="1133">
        <f>G93/2000</f>
        <v>2.7500000000000001E-5</v>
      </c>
      <c r="I63" s="1133">
        <f t="shared" si="90"/>
        <v>-2.0000000000000002E-5</v>
      </c>
      <c r="J63" s="1133">
        <f t="shared" si="90"/>
        <v>8.2000000000000001E-5</v>
      </c>
    </row>
    <row r="64" spans="1:26" s="226" customFormat="1" x14ac:dyDescent="0.2">
      <c r="A64" s="1139" t="str">
        <f>A98</f>
        <v>NPL</v>
      </c>
      <c r="B64" s="1139"/>
      <c r="C64" s="1140" t="str">
        <f>B98</f>
        <v>APE1145315</v>
      </c>
      <c r="D64" s="1140" t="str">
        <f>C98</f>
        <v>3-Carene</v>
      </c>
      <c r="E64" s="1140">
        <f>D94/1000</f>
        <v>2.6160000000000003E-3</v>
      </c>
      <c r="F64" s="1140">
        <f>E94/2000</f>
        <v>5.7500000000000002E-5</v>
      </c>
      <c r="G64" s="1140">
        <f>F94/1000</f>
        <v>2.5729999999999998E-3</v>
      </c>
      <c r="H64" s="1140">
        <f>G94/2000</f>
        <v>2.3E-5</v>
      </c>
      <c r="I64" s="1140">
        <f t="shared" si="90"/>
        <v>-4.2999999999999995E-5</v>
      </c>
      <c r="J64" s="1140">
        <f t="shared" si="90"/>
        <v>1.2400000000000001E-4</v>
      </c>
    </row>
    <row r="65" spans="1:10" s="226" customFormat="1" x14ac:dyDescent="0.2">
      <c r="A65" s="1143"/>
      <c r="B65" s="1143"/>
      <c r="C65" s="1144"/>
      <c r="D65" s="1144"/>
      <c r="E65" s="1144"/>
      <c r="F65" s="1144"/>
      <c r="G65" s="1144"/>
      <c r="H65" s="1144"/>
      <c r="I65" s="1144"/>
      <c r="J65" s="1144"/>
    </row>
    <row r="66" spans="1:10" s="226" customFormat="1" x14ac:dyDescent="0.2">
      <c r="A66" s="1143"/>
      <c r="B66" s="1143"/>
      <c r="C66" s="1144"/>
      <c r="D66" s="1144"/>
      <c r="E66" s="1144"/>
      <c r="F66" s="1144"/>
      <c r="G66" s="1144"/>
      <c r="H66" s="1144"/>
      <c r="I66" s="1144"/>
      <c r="J66" s="1144"/>
    </row>
    <row r="67" spans="1:10" s="226" customFormat="1" x14ac:dyDescent="0.2">
      <c r="A67" s="1143"/>
      <c r="B67" s="1143"/>
      <c r="C67" s="1144"/>
      <c r="D67" s="1144"/>
      <c r="E67" s="1144"/>
      <c r="F67" s="1144"/>
      <c r="G67" s="1144"/>
      <c r="H67" s="1144"/>
      <c r="I67" s="1144"/>
      <c r="J67" s="1144"/>
    </row>
    <row r="68" spans="1:10" s="227" customFormat="1" x14ac:dyDescent="0.2">
      <c r="A68" s="1137" t="str">
        <f>A91</f>
        <v>KRISS</v>
      </c>
      <c r="B68" s="1137"/>
      <c r="C68" s="1138" t="str">
        <f>B91</f>
        <v>APE1145320</v>
      </c>
      <c r="D68" s="1138" t="str">
        <f>C91</f>
        <v>R-Limonene</v>
      </c>
      <c r="E68" s="1138">
        <f>D95/1000</f>
        <v>2.519E-3</v>
      </c>
      <c r="F68" s="1138">
        <f>E95/2000</f>
        <v>9.1500000000000001E-5</v>
      </c>
      <c r="G68" s="1138">
        <f>F95/1000</f>
        <v>2.5049999999999998E-3</v>
      </c>
      <c r="H68" s="1138">
        <f>G95/2000</f>
        <v>2.5999999999999998E-5</v>
      </c>
      <c r="I68" s="1138">
        <f t="shared" ref="I68:J70" si="91">H95/1000</f>
        <v>-1.4E-5</v>
      </c>
      <c r="J68" s="1138">
        <f t="shared" si="91"/>
        <v>1.9000000000000001E-4</v>
      </c>
    </row>
    <row r="69" spans="1:10" s="227" customFormat="1" x14ac:dyDescent="0.2">
      <c r="A69" s="1132" t="str">
        <f>A95</f>
        <v>NIST</v>
      </c>
      <c r="B69" s="1132"/>
      <c r="C69" s="1133" t="str">
        <f>B95</f>
        <v>APE1145321</v>
      </c>
      <c r="D69" s="1133" t="str">
        <f>C95</f>
        <v>R-Limonene</v>
      </c>
      <c r="E69" s="1133">
        <f>D96/1000</f>
        <v>2.6970000000000002E-3</v>
      </c>
      <c r="F69" s="1133">
        <f>E96/2000</f>
        <v>9.9000000000000008E-5</v>
      </c>
      <c r="G69" s="1133">
        <f>F96/1000</f>
        <v>2.689E-3</v>
      </c>
      <c r="H69" s="1133">
        <f>G96/2000</f>
        <v>1.3499999999999999E-5</v>
      </c>
      <c r="I69" s="1133">
        <f t="shared" si="91"/>
        <v>-7.9999999999999996E-6</v>
      </c>
      <c r="J69" s="1133">
        <f t="shared" si="91"/>
        <v>2.0000000000000001E-4</v>
      </c>
    </row>
    <row r="70" spans="1:10" s="227" customFormat="1" x14ac:dyDescent="0.2">
      <c r="A70" s="1139" t="str">
        <f>A99</f>
        <v>NPL</v>
      </c>
      <c r="B70" s="1139"/>
      <c r="C70" s="1140" t="str">
        <f>B99</f>
        <v>APE1145315</v>
      </c>
      <c r="D70" s="1140" t="str">
        <f>C99</f>
        <v>R-Limonene</v>
      </c>
      <c r="E70" s="1140">
        <f>D97/1000</f>
        <v>2.5310000000000003E-3</v>
      </c>
      <c r="F70" s="1140">
        <f>E97/2000</f>
        <v>3.1000000000000001E-5</v>
      </c>
      <c r="G70" s="1140">
        <f>F97/1000</f>
        <v>2.5499999999999997E-3</v>
      </c>
      <c r="H70" s="1140">
        <f>G97/2000</f>
        <v>4.0000000000000003E-5</v>
      </c>
      <c r="I70" s="1140">
        <f t="shared" si="91"/>
        <v>2.0000000000000002E-5</v>
      </c>
      <c r="J70" s="1140">
        <f t="shared" si="91"/>
        <v>1E-4</v>
      </c>
    </row>
    <row r="71" spans="1:10" s="227" customFormat="1" x14ac:dyDescent="0.2">
      <c r="A71" s="1143"/>
      <c r="B71" s="1143"/>
      <c r="C71" s="1144"/>
      <c r="D71" s="1144"/>
      <c r="E71" s="1144"/>
      <c r="F71" s="1144"/>
      <c r="G71" s="1144"/>
      <c r="H71" s="1144"/>
      <c r="I71" s="1144"/>
      <c r="J71" s="1144"/>
    </row>
    <row r="72" spans="1:10" s="227" customFormat="1" x14ac:dyDescent="0.2">
      <c r="A72" s="1143"/>
      <c r="B72" s="1143"/>
      <c r="C72" s="1144"/>
      <c r="D72" s="1144"/>
      <c r="E72" s="1144"/>
      <c r="F72" s="1144"/>
      <c r="G72" s="1144"/>
      <c r="H72" s="1144"/>
      <c r="I72" s="1144"/>
      <c r="J72" s="1144"/>
    </row>
    <row r="73" spans="1:10" s="227" customFormat="1" x14ac:dyDescent="0.2">
      <c r="A73" s="1143"/>
      <c r="B73" s="1143"/>
      <c r="C73" s="1144"/>
      <c r="D73" s="1144"/>
      <c r="E73" s="1144"/>
      <c r="F73" s="1144"/>
      <c r="G73" s="1144"/>
      <c r="H73" s="1144"/>
      <c r="I73" s="1144"/>
      <c r="J73" s="1144"/>
    </row>
    <row r="74" spans="1:10" s="227" customFormat="1" x14ac:dyDescent="0.2">
      <c r="A74" s="1137" t="str">
        <f>A92</f>
        <v>KRISS</v>
      </c>
      <c r="B74" s="1137"/>
      <c r="C74" s="1138" t="str">
        <f>B92</f>
        <v>APE1145320</v>
      </c>
      <c r="D74" s="1138" t="str">
        <f>C92</f>
        <v>1,8-Cineole</v>
      </c>
      <c r="E74" s="1138">
        <f t="shared" ref="E74:E76" si="92">D98/1000</f>
        <v>2.614E-3</v>
      </c>
      <c r="F74" s="1138">
        <f t="shared" ref="F74:F76" si="93">E98/2000</f>
        <v>5.5000000000000002E-5</v>
      </c>
      <c r="G74" s="1138">
        <f t="shared" ref="G74:G76" si="94">F98/1000</f>
        <v>2.5400000000000002E-3</v>
      </c>
      <c r="H74" s="1138">
        <f t="shared" ref="H74:H76" si="95">G98/2000</f>
        <v>2.5000000000000001E-5</v>
      </c>
      <c r="I74" s="1138">
        <f t="shared" ref="I74:J76" si="96">H98/1000</f>
        <v>-7.0000000000000007E-5</v>
      </c>
      <c r="J74" s="1138">
        <f t="shared" si="96"/>
        <v>1.1999999999999999E-4</v>
      </c>
    </row>
    <row r="75" spans="1:10" s="227" customFormat="1" x14ac:dyDescent="0.2">
      <c r="A75" s="1132" t="str">
        <f>A96</f>
        <v>NIST</v>
      </c>
      <c r="B75" s="1132"/>
      <c r="C75" s="1133" t="str">
        <f>B96</f>
        <v>APE1145321</v>
      </c>
      <c r="D75" s="1133" t="str">
        <f>C96</f>
        <v>1,8-Cineole</v>
      </c>
      <c r="E75" s="1133">
        <f t="shared" si="92"/>
        <v>2.5169999999999997E-3</v>
      </c>
      <c r="F75" s="1133">
        <f t="shared" si="93"/>
        <v>5.1E-5</v>
      </c>
      <c r="G75" s="1133">
        <f t="shared" si="94"/>
        <v>2.48E-3</v>
      </c>
      <c r="H75" s="1133">
        <f t="shared" si="95"/>
        <v>2.5000000000000001E-5</v>
      </c>
      <c r="I75" s="1133">
        <f t="shared" si="96"/>
        <v>-4.0000000000000003E-5</v>
      </c>
      <c r="J75" s="1133">
        <f t="shared" si="96"/>
        <v>1.1E-4</v>
      </c>
    </row>
    <row r="76" spans="1:10" s="227" customFormat="1" x14ac:dyDescent="0.2">
      <c r="A76" s="1139" t="str">
        <f>A100</f>
        <v>NPL</v>
      </c>
      <c r="B76" s="1139"/>
      <c r="C76" s="1140" t="str">
        <f>B100</f>
        <v>APE1145315</v>
      </c>
      <c r="D76" s="1140" t="str">
        <f>C100</f>
        <v>1,8-Cineole</v>
      </c>
      <c r="E76" s="1140">
        <f t="shared" si="92"/>
        <v>2.6949999999999999E-3</v>
      </c>
      <c r="F76" s="1140">
        <f t="shared" si="93"/>
        <v>7.6500000000000003E-5</v>
      </c>
      <c r="G76" s="1140">
        <f t="shared" si="94"/>
        <v>2.5800000000000003E-3</v>
      </c>
      <c r="H76" s="1140">
        <f t="shared" si="95"/>
        <v>6.5000000000000008E-5</v>
      </c>
      <c r="I76" s="1140">
        <f t="shared" si="96"/>
        <v>-1.1999999999999999E-4</v>
      </c>
      <c r="J76" s="1140">
        <f t="shared" si="96"/>
        <v>2.0000000000000001E-4</v>
      </c>
    </row>
    <row r="77" spans="1:10" s="227" customFormat="1" x14ac:dyDescent="0.2"/>
    <row r="78" spans="1:10" s="227" customFormat="1" x14ac:dyDescent="0.2"/>
    <row r="79" spans="1:10" s="227" customFormat="1" x14ac:dyDescent="0.2"/>
    <row r="80" spans="1:10" s="227" customFormat="1" x14ac:dyDescent="0.2"/>
    <row r="81" spans="1:9" s="227" customFormat="1" x14ac:dyDescent="0.2"/>
    <row r="82" spans="1:9" s="227" customFormat="1" x14ac:dyDescent="0.2"/>
    <row r="83" spans="1:9" s="227" customFormat="1" x14ac:dyDescent="0.2"/>
    <row r="84" spans="1:9" s="227" customFormat="1" x14ac:dyDescent="0.2"/>
    <row r="85" spans="1:9" s="227" customFormat="1" x14ac:dyDescent="0.2"/>
    <row r="86" spans="1:9" s="227" customFormat="1" ht="14.25" customHeight="1" thickBot="1" x14ac:dyDescent="0.25">
      <c r="A86" s="226" t="s">
        <v>1293</v>
      </c>
    </row>
    <row r="87" spans="1:9" s="227" customFormat="1" ht="12.75" customHeight="1" x14ac:dyDescent="0.2">
      <c r="A87" s="1141"/>
      <c r="B87" s="1141"/>
      <c r="C87" s="1141"/>
      <c r="D87" s="1141" t="s">
        <v>1294</v>
      </c>
      <c r="E87" s="1141"/>
      <c r="F87" s="1141" t="s">
        <v>1295</v>
      </c>
      <c r="G87" s="1141"/>
      <c r="H87" s="1141" t="s">
        <v>1296</v>
      </c>
      <c r="I87" s="1141"/>
    </row>
    <row r="88" spans="1:9" s="227" customFormat="1" ht="15" customHeight="1" thickBot="1" x14ac:dyDescent="0.25">
      <c r="A88" s="1136" t="s">
        <v>1257</v>
      </c>
      <c r="B88" s="1136" t="s">
        <v>1259</v>
      </c>
      <c r="C88" s="1142"/>
      <c r="D88" s="1142" t="s">
        <v>673</v>
      </c>
      <c r="E88" s="1142" t="s">
        <v>1297</v>
      </c>
      <c r="F88" s="1142" t="s">
        <v>1298</v>
      </c>
      <c r="G88" s="1142" t="s">
        <v>1299</v>
      </c>
      <c r="H88" s="1142" t="s">
        <v>415</v>
      </c>
      <c r="I88" s="1142" t="s">
        <v>1300</v>
      </c>
    </row>
    <row r="89" spans="1:9" s="227" customFormat="1" x14ac:dyDescent="0.2">
      <c r="A89" s="226" t="s">
        <v>1029</v>
      </c>
      <c r="B89" s="226" t="s">
        <v>1301</v>
      </c>
      <c r="C89" s="227" t="s">
        <v>1281</v>
      </c>
      <c r="D89" s="227">
        <v>2.52</v>
      </c>
      <c r="E89" s="227">
        <v>6.3E-2</v>
      </c>
      <c r="F89" s="227">
        <v>2.516</v>
      </c>
      <c r="G89" s="227">
        <v>4.7E-2</v>
      </c>
      <c r="H89" s="227">
        <v>-4.0000000000000001E-3</v>
      </c>
      <c r="I89" s="227">
        <v>7.9000000000000001E-2</v>
      </c>
    </row>
    <row r="90" spans="1:9" s="227" customFormat="1" x14ac:dyDescent="0.2">
      <c r="A90" s="226" t="s">
        <v>1029</v>
      </c>
      <c r="B90" s="226" t="s">
        <v>1301</v>
      </c>
      <c r="C90" s="227" t="s">
        <v>1283</v>
      </c>
      <c r="D90" s="227">
        <v>2.6019999999999999</v>
      </c>
      <c r="E90" s="227">
        <v>9.9000000000000005E-2</v>
      </c>
      <c r="F90" s="227">
        <v>2.6179999999999999</v>
      </c>
      <c r="G90" s="227">
        <v>6.8000000000000005E-2</v>
      </c>
      <c r="H90" s="227">
        <v>1.6E-2</v>
      </c>
      <c r="I90" s="227">
        <v>0.12</v>
      </c>
    </row>
    <row r="91" spans="1:9" s="227" customFormat="1" x14ac:dyDescent="0.2">
      <c r="A91" s="226" t="s">
        <v>1029</v>
      </c>
      <c r="B91" s="226" t="s">
        <v>1301</v>
      </c>
      <c r="C91" s="227" t="s">
        <v>1284</v>
      </c>
      <c r="D91" s="227">
        <v>2.5059999999999998</v>
      </c>
      <c r="E91" s="227">
        <v>0.14099999999999999</v>
      </c>
      <c r="F91" s="227">
        <v>2.585</v>
      </c>
      <c r="G91" s="227">
        <v>7.3999999999999996E-2</v>
      </c>
      <c r="H91" s="227">
        <v>7.9000000000000001E-2</v>
      </c>
      <c r="I91" s="227">
        <v>0.159</v>
      </c>
    </row>
    <row r="92" spans="1:9" s="227" customFormat="1" ht="13.5" thickBot="1" x14ac:dyDescent="0.25">
      <c r="A92" s="226" t="s">
        <v>1029</v>
      </c>
      <c r="B92" s="226" t="s">
        <v>1301</v>
      </c>
      <c r="C92" s="227" t="s">
        <v>1285</v>
      </c>
      <c r="D92" s="227">
        <v>2.6829999999999998</v>
      </c>
      <c r="E92" s="227">
        <v>0.17199999999999999</v>
      </c>
      <c r="F92" s="227">
        <v>2.7170000000000001</v>
      </c>
      <c r="G92" s="227">
        <v>8.6999999999999994E-2</v>
      </c>
      <c r="H92" s="227">
        <v>3.4000000000000002E-2</v>
      </c>
      <c r="I92" s="227">
        <v>0.193</v>
      </c>
    </row>
    <row r="93" spans="1:9" s="227" customFormat="1" x14ac:dyDescent="0.2">
      <c r="A93" s="1135" t="s">
        <v>1302</v>
      </c>
      <c r="B93" s="1141" t="s">
        <v>1303</v>
      </c>
      <c r="C93" s="1141" t="s">
        <v>1281</v>
      </c>
      <c r="D93" s="1141">
        <v>2.5329999999999999</v>
      </c>
      <c r="E93" s="1141">
        <v>6.0999999999999999E-2</v>
      </c>
      <c r="F93" s="1141">
        <v>2.5129999999999999</v>
      </c>
      <c r="G93" s="1141">
        <v>5.5E-2</v>
      </c>
      <c r="H93" s="1141">
        <v>-0.02</v>
      </c>
      <c r="I93" s="1141">
        <v>8.2000000000000003E-2</v>
      </c>
    </row>
    <row r="94" spans="1:9" s="227" customFormat="1" x14ac:dyDescent="0.2">
      <c r="A94" s="226" t="s">
        <v>1302</v>
      </c>
      <c r="B94" s="227" t="s">
        <v>1303</v>
      </c>
      <c r="C94" s="227" t="s">
        <v>1283</v>
      </c>
      <c r="D94" s="227">
        <v>2.6160000000000001</v>
      </c>
      <c r="E94" s="227">
        <v>0.115</v>
      </c>
      <c r="F94" s="227">
        <v>2.573</v>
      </c>
      <c r="G94" s="227">
        <v>4.5999999999999999E-2</v>
      </c>
      <c r="H94" s="227">
        <v>-4.2999999999999997E-2</v>
      </c>
      <c r="I94" s="227">
        <v>0.124</v>
      </c>
    </row>
    <row r="95" spans="1:9" s="227" customFormat="1" x14ac:dyDescent="0.2">
      <c r="A95" s="226" t="s">
        <v>1302</v>
      </c>
      <c r="B95" s="227" t="s">
        <v>1303</v>
      </c>
      <c r="C95" s="227" t="s">
        <v>1284</v>
      </c>
      <c r="D95" s="227">
        <v>2.5190000000000001</v>
      </c>
      <c r="E95" s="227">
        <v>0.183</v>
      </c>
      <c r="F95" s="227">
        <v>2.5049999999999999</v>
      </c>
      <c r="G95" s="227">
        <v>5.1999999999999998E-2</v>
      </c>
      <c r="H95" s="227">
        <v>-1.4E-2</v>
      </c>
      <c r="I95" s="227">
        <v>0.19</v>
      </c>
    </row>
    <row r="96" spans="1:9" s="227" customFormat="1" ht="13.5" thickBot="1" x14ac:dyDescent="0.25">
      <c r="A96" s="1136" t="s">
        <v>1302</v>
      </c>
      <c r="B96" s="1142" t="s">
        <v>1303</v>
      </c>
      <c r="C96" s="1142" t="s">
        <v>1285</v>
      </c>
      <c r="D96" s="1142">
        <v>2.6970000000000001</v>
      </c>
      <c r="E96" s="1142">
        <v>0.19800000000000001</v>
      </c>
      <c r="F96" s="1142">
        <v>2.6890000000000001</v>
      </c>
      <c r="G96" s="1142">
        <v>2.7E-2</v>
      </c>
      <c r="H96" s="1142">
        <v>-8.0000000000000002E-3</v>
      </c>
      <c r="I96" s="1142">
        <v>0.2</v>
      </c>
    </row>
    <row r="97" spans="1:26" s="227" customFormat="1" x14ac:dyDescent="0.2">
      <c r="A97" s="1135" t="s">
        <v>1304</v>
      </c>
      <c r="B97" s="1135" t="s">
        <v>1305</v>
      </c>
      <c r="C97" s="1141" t="s">
        <v>1281</v>
      </c>
      <c r="D97" s="1141">
        <v>2.5310000000000001</v>
      </c>
      <c r="E97" s="1141">
        <v>6.2E-2</v>
      </c>
      <c r="F97" s="1141">
        <v>2.5499999999999998</v>
      </c>
      <c r="G97" s="1141">
        <v>0.08</v>
      </c>
      <c r="H97" s="1141">
        <v>0.02</v>
      </c>
      <c r="I97" s="1141">
        <v>0.1</v>
      </c>
    </row>
    <row r="98" spans="1:26" s="227" customFormat="1" x14ac:dyDescent="0.2">
      <c r="A98" s="226" t="s">
        <v>1304</v>
      </c>
      <c r="B98" s="226" t="s">
        <v>1305</v>
      </c>
      <c r="C98" s="227" t="s">
        <v>1283</v>
      </c>
      <c r="D98" s="227">
        <v>2.6139999999999999</v>
      </c>
      <c r="E98" s="227">
        <v>0.11</v>
      </c>
      <c r="F98" s="227">
        <v>2.54</v>
      </c>
      <c r="G98" s="227">
        <v>0.05</v>
      </c>
      <c r="H98" s="227">
        <v>-7.0000000000000007E-2</v>
      </c>
      <c r="I98" s="227">
        <v>0.12</v>
      </c>
    </row>
    <row r="99" spans="1:26" s="227" customFormat="1" x14ac:dyDescent="0.2">
      <c r="A99" s="226" t="s">
        <v>1304</v>
      </c>
      <c r="B99" s="226" t="s">
        <v>1305</v>
      </c>
      <c r="C99" s="227" t="s">
        <v>1284</v>
      </c>
      <c r="D99" s="227">
        <v>2.5169999999999999</v>
      </c>
      <c r="E99" s="227">
        <v>0.10199999999999999</v>
      </c>
      <c r="F99" s="227">
        <v>2.48</v>
      </c>
      <c r="G99" s="227">
        <v>0.05</v>
      </c>
      <c r="H99" s="227">
        <v>-0.04</v>
      </c>
      <c r="I99" s="227">
        <v>0.11</v>
      </c>
    </row>
    <row r="100" spans="1:26" s="227" customFormat="1" ht="13.5" thickBot="1" x14ac:dyDescent="0.25">
      <c r="A100" s="1136" t="s">
        <v>1304</v>
      </c>
      <c r="B100" s="1136" t="s">
        <v>1305</v>
      </c>
      <c r="C100" s="1142" t="s">
        <v>1285</v>
      </c>
      <c r="D100" s="1142">
        <v>2.6949999999999998</v>
      </c>
      <c r="E100" s="1142">
        <v>0.153</v>
      </c>
      <c r="F100" s="1142">
        <v>2.58</v>
      </c>
      <c r="G100" s="1142">
        <v>0.13</v>
      </c>
      <c r="H100" s="1142">
        <v>-0.12</v>
      </c>
      <c r="I100" s="1142">
        <v>0.2</v>
      </c>
    </row>
    <row r="101" spans="1:26" ht="14.25" x14ac:dyDescent="0.2">
      <c r="H101" s="9"/>
      <c r="U101" s="152"/>
      <c r="V101" s="21"/>
      <c r="W101" s="21"/>
      <c r="X101" s="21"/>
      <c r="Y101" s="21"/>
      <c r="Z101" s="21"/>
    </row>
    <row r="102" spans="1:26" ht="14.25" x14ac:dyDescent="0.2">
      <c r="H102" s="9"/>
      <c r="U102" s="152"/>
      <c r="V102" s="21"/>
      <c r="W102" s="21"/>
      <c r="X102" s="21"/>
      <c r="Y102" s="21"/>
      <c r="Z102" s="21"/>
    </row>
    <row r="103" spans="1:26" ht="14.25" x14ac:dyDescent="0.2">
      <c r="H103" s="9"/>
      <c r="U103" s="152"/>
      <c r="V103" s="21"/>
      <c r="W103" s="21"/>
      <c r="X103" s="21"/>
      <c r="Y103" s="21"/>
      <c r="Z103" s="21"/>
    </row>
    <row r="104" spans="1:26" ht="14.25" x14ac:dyDescent="0.2">
      <c r="H104" s="9"/>
      <c r="U104" s="152"/>
      <c r="V104" s="21"/>
      <c r="W104" s="21"/>
      <c r="X104" s="21"/>
      <c r="Y104" s="21"/>
      <c r="Z104" s="21"/>
    </row>
    <row r="105" spans="1:26" ht="14.25" x14ac:dyDescent="0.2">
      <c r="U105" s="152"/>
      <c r="V105" s="21"/>
      <c r="W105" s="21"/>
      <c r="X105" s="21"/>
      <c r="Y105" s="21"/>
      <c r="Z105" s="21"/>
    </row>
    <row r="106" spans="1:26" ht="14.25" x14ac:dyDescent="0.2">
      <c r="H106" s="9"/>
      <c r="U106" s="152"/>
      <c r="V106" s="21"/>
      <c r="W106" s="21"/>
      <c r="X106" s="21"/>
      <c r="Y106" s="21"/>
      <c r="Z106" s="21"/>
    </row>
    <row r="107" spans="1:26" ht="14.25" x14ac:dyDescent="0.2">
      <c r="H107" s="9"/>
      <c r="U107" s="152"/>
      <c r="V107" s="21"/>
      <c r="W107" s="21"/>
      <c r="X107" s="21"/>
      <c r="Y107" s="21"/>
      <c r="Z107" s="21"/>
    </row>
    <row r="108" spans="1:26" ht="14.25" x14ac:dyDescent="0.2">
      <c r="H108" s="9"/>
      <c r="U108" s="152"/>
      <c r="V108" s="21"/>
      <c r="W108" s="21"/>
      <c r="X108" s="21"/>
      <c r="Y108" s="21"/>
      <c r="Z108" s="21"/>
    </row>
    <row r="109" spans="1:26" ht="14.25" x14ac:dyDescent="0.2">
      <c r="H109" s="9"/>
      <c r="U109" s="152"/>
      <c r="V109" s="21"/>
      <c r="W109" s="21"/>
      <c r="X109" s="21"/>
      <c r="Y109" s="21"/>
      <c r="Z109" s="21"/>
    </row>
    <row r="110" spans="1:26" ht="14.25" x14ac:dyDescent="0.2">
      <c r="H110" s="9"/>
      <c r="U110" s="152"/>
      <c r="V110" s="21"/>
      <c r="W110" s="21"/>
      <c r="X110" s="21"/>
      <c r="Y110" s="21"/>
      <c r="Z110" s="21"/>
    </row>
    <row r="111" spans="1:26" ht="14.25" x14ac:dyDescent="0.2">
      <c r="H111" s="9"/>
      <c r="U111" s="152"/>
      <c r="V111" s="21"/>
      <c r="W111" s="21"/>
      <c r="X111" s="21"/>
      <c r="Y111" s="21"/>
      <c r="Z111" s="21"/>
    </row>
    <row r="112" spans="1:26" ht="14.25" x14ac:dyDescent="0.2">
      <c r="U112" s="152"/>
      <c r="V112" s="21"/>
      <c r="W112" s="21"/>
      <c r="X112" s="21"/>
      <c r="Y112" s="21"/>
      <c r="Z112" s="21"/>
    </row>
    <row r="113" spans="1:26" ht="14.25" x14ac:dyDescent="0.2">
      <c r="U113" s="152"/>
      <c r="V113" s="21"/>
      <c r="W113" s="21"/>
      <c r="X113" s="21"/>
      <c r="Y113" s="21"/>
      <c r="Z113" s="21"/>
    </row>
    <row r="114" spans="1:26" ht="14.25" x14ac:dyDescent="0.2">
      <c r="U114" s="152"/>
      <c r="V114" s="21"/>
      <c r="W114" s="21"/>
      <c r="X114" s="21"/>
      <c r="Y114" s="21"/>
      <c r="Z114" s="21"/>
    </row>
    <row r="115" spans="1:26" ht="14.25" x14ac:dyDescent="0.2">
      <c r="U115" s="152"/>
      <c r="V115" s="21"/>
      <c r="W115" s="21"/>
      <c r="X115" s="21"/>
      <c r="Y115" s="21"/>
      <c r="Z115" s="21"/>
    </row>
    <row r="116" spans="1:26" ht="14.25" x14ac:dyDescent="0.2">
      <c r="U116" s="152"/>
      <c r="V116" s="21"/>
      <c r="W116" s="21"/>
      <c r="X116" s="21"/>
      <c r="Y116" s="21"/>
      <c r="Z116" s="21"/>
    </row>
    <row r="117" spans="1:26" ht="14.25" x14ac:dyDescent="0.2">
      <c r="U117" s="152"/>
      <c r="V117" s="21"/>
      <c r="W117" s="21"/>
      <c r="X117" s="21"/>
      <c r="Y117" s="21"/>
      <c r="Z117" s="21"/>
    </row>
    <row r="118" spans="1:26" ht="14.25" x14ac:dyDescent="0.2">
      <c r="A118" s="23"/>
      <c r="B118" s="23"/>
      <c r="C118" s="23"/>
      <c r="D118" s="23"/>
      <c r="T118" s="151"/>
      <c r="U118" s="152"/>
      <c r="V118" s="21"/>
      <c r="W118" s="21"/>
      <c r="X118" s="21"/>
      <c r="Y118" s="21"/>
      <c r="Z118" s="21"/>
    </row>
    <row r="119" spans="1:26" ht="14.25" x14ac:dyDescent="0.2">
      <c r="T119" s="151"/>
      <c r="U119" s="152"/>
      <c r="V119" s="21"/>
      <c r="W119" s="21"/>
      <c r="X119" s="21"/>
      <c r="Y119" s="21"/>
      <c r="Z119" s="21"/>
    </row>
    <row r="120" spans="1:26" ht="14.25" x14ac:dyDescent="0.2">
      <c r="T120" s="151"/>
      <c r="U120" s="152"/>
      <c r="V120" s="21"/>
      <c r="W120" s="21"/>
      <c r="X120" s="21"/>
      <c r="Y120" s="21"/>
      <c r="Z120" s="21"/>
    </row>
    <row r="121" spans="1:26" ht="14.25" x14ac:dyDescent="0.2">
      <c r="T121" s="151"/>
      <c r="U121" s="152"/>
      <c r="V121" s="21"/>
      <c r="W121" s="21"/>
      <c r="X121" s="21"/>
      <c r="Y121" s="21"/>
      <c r="Z121" s="21"/>
    </row>
    <row r="122" spans="1:26" ht="14.25" x14ac:dyDescent="0.2">
      <c r="T122" s="151"/>
      <c r="U122" s="152"/>
      <c r="V122" s="21"/>
      <c r="W122" s="21"/>
      <c r="X122" s="21"/>
      <c r="Y122" s="21"/>
      <c r="Z122" s="21"/>
    </row>
    <row r="123" spans="1:26" ht="14.25" x14ac:dyDescent="0.2">
      <c r="T123" s="151"/>
      <c r="U123" s="152"/>
      <c r="V123" s="21"/>
      <c r="W123" s="21"/>
      <c r="X123" s="21"/>
      <c r="Y123" s="21"/>
      <c r="Z123" s="21"/>
    </row>
    <row r="124" spans="1:26" ht="14.25" x14ac:dyDescent="0.2">
      <c r="T124" s="151"/>
      <c r="U124" s="152"/>
      <c r="V124" s="21"/>
      <c r="W124" s="21"/>
      <c r="X124" s="21"/>
      <c r="Y124" s="21"/>
      <c r="Z124" s="21"/>
    </row>
    <row r="125" spans="1:26" ht="14.25" x14ac:dyDescent="0.2">
      <c r="T125" s="151"/>
      <c r="U125" s="152"/>
      <c r="V125" s="21"/>
      <c r="W125" s="21"/>
      <c r="X125" s="21"/>
      <c r="Y125" s="21"/>
      <c r="Z125" s="21"/>
    </row>
    <row r="126" spans="1:26" ht="14.25" x14ac:dyDescent="0.2">
      <c r="T126" s="151"/>
      <c r="U126" s="152"/>
      <c r="V126" s="21"/>
      <c r="W126" s="21"/>
      <c r="X126" s="21"/>
      <c r="Y126" s="21"/>
      <c r="Z126" s="21"/>
    </row>
    <row r="127" spans="1:26" ht="14.25" x14ac:dyDescent="0.2">
      <c r="T127" s="151"/>
      <c r="U127" s="152"/>
      <c r="V127" s="21"/>
      <c r="W127" s="21"/>
      <c r="X127" s="21"/>
      <c r="Y127" s="21"/>
      <c r="Z127" s="21"/>
    </row>
    <row r="128" spans="1:26" ht="14.25" x14ac:dyDescent="0.2">
      <c r="T128" s="151"/>
      <c r="U128" s="152"/>
      <c r="V128" s="21"/>
      <c r="W128" s="21"/>
      <c r="X128" s="21"/>
      <c r="Y128" s="21"/>
      <c r="Z128" s="21"/>
    </row>
    <row r="129" spans="1:26" ht="14.25" x14ac:dyDescent="0.2">
      <c r="T129" s="151"/>
      <c r="U129" s="152"/>
      <c r="V129" s="21"/>
      <c r="W129" s="21"/>
      <c r="X129" s="21"/>
      <c r="Y129" s="21"/>
      <c r="Z129" s="21"/>
    </row>
    <row r="130" spans="1:26" ht="14.25" x14ac:dyDescent="0.2">
      <c r="T130" s="151"/>
      <c r="U130" s="152"/>
      <c r="V130" s="21"/>
      <c r="W130" s="21"/>
      <c r="X130" s="21"/>
      <c r="Y130" s="21"/>
      <c r="Z130" s="21"/>
    </row>
    <row r="131" spans="1:26" ht="14.25" x14ac:dyDescent="0.2">
      <c r="A131" s="23"/>
      <c r="B131" s="23"/>
      <c r="C131" s="23"/>
      <c r="D131" s="23"/>
      <c r="T131" s="151"/>
      <c r="U131" s="152"/>
      <c r="V131" s="21"/>
      <c r="W131" s="21"/>
      <c r="X131" s="21"/>
      <c r="Y131" s="21"/>
      <c r="Z131" s="21"/>
    </row>
    <row r="132" spans="1:26" ht="14.25" x14ac:dyDescent="0.2">
      <c r="A132" s="23"/>
      <c r="B132" s="23"/>
      <c r="C132" s="23"/>
      <c r="D132" s="23"/>
      <c r="T132" s="151"/>
      <c r="U132" s="152"/>
      <c r="V132" s="21"/>
      <c r="W132" s="21"/>
      <c r="X132" s="21"/>
      <c r="Y132" s="21"/>
      <c r="Z132" s="21"/>
    </row>
    <row r="133" spans="1:26" ht="14.25" x14ac:dyDescent="0.2">
      <c r="A133" s="23"/>
      <c r="B133" s="23"/>
      <c r="C133" s="23"/>
      <c r="D133" s="23"/>
      <c r="T133" s="151"/>
      <c r="U133" s="152"/>
      <c r="V133" s="21"/>
      <c r="W133" s="21"/>
      <c r="X133" s="21"/>
      <c r="Y133" s="21"/>
      <c r="Z133" s="21"/>
    </row>
    <row r="134" spans="1:26" ht="14.25" x14ac:dyDescent="0.2">
      <c r="A134" s="23"/>
      <c r="B134" s="23"/>
      <c r="C134" s="23"/>
      <c r="D134" s="23"/>
      <c r="T134" s="151"/>
      <c r="U134" s="152"/>
      <c r="V134" s="21"/>
      <c r="W134" s="21"/>
      <c r="X134" s="21"/>
      <c r="Y134" s="21"/>
      <c r="Z134" s="21"/>
    </row>
    <row r="135" spans="1:26" ht="14.25" x14ac:dyDescent="0.2">
      <c r="A135" s="23"/>
      <c r="B135" s="23"/>
      <c r="C135" s="23"/>
      <c r="D135" s="23"/>
      <c r="T135" s="151"/>
      <c r="U135" s="152"/>
      <c r="V135" s="21"/>
      <c r="W135" s="21"/>
      <c r="X135" s="21"/>
      <c r="Y135" s="21"/>
      <c r="Z135" s="21"/>
    </row>
    <row r="136" spans="1:26" ht="14.25" x14ac:dyDescent="0.2">
      <c r="A136" s="23"/>
      <c r="B136" s="23"/>
      <c r="C136" s="23"/>
      <c r="D136" s="23"/>
      <c r="T136" s="151"/>
      <c r="U136" s="152"/>
      <c r="V136" s="21"/>
      <c r="W136" s="21"/>
      <c r="X136" s="21"/>
      <c r="Y136" s="21"/>
      <c r="Z136" s="21"/>
    </row>
    <row r="137" spans="1:26" ht="14.25" x14ac:dyDescent="0.2">
      <c r="A137" s="23"/>
      <c r="B137" s="23"/>
      <c r="C137" s="23"/>
      <c r="D137" s="23"/>
      <c r="T137" s="151"/>
      <c r="U137" s="152"/>
      <c r="V137" s="21"/>
      <c r="W137" s="21"/>
      <c r="X137" s="21"/>
      <c r="Y137" s="21"/>
      <c r="Z137" s="21"/>
    </row>
    <row r="138" spans="1:26" ht="14.25" x14ac:dyDescent="0.2">
      <c r="A138" s="23"/>
      <c r="B138" s="23"/>
      <c r="C138" s="23"/>
      <c r="D138" s="23"/>
      <c r="T138" s="151"/>
      <c r="U138" s="152"/>
      <c r="V138" s="21"/>
      <c r="W138" s="21"/>
      <c r="X138" s="21"/>
      <c r="Y138" s="21"/>
      <c r="Z138" s="21"/>
    </row>
    <row r="139" spans="1:26" ht="14.25" x14ac:dyDescent="0.2">
      <c r="A139" s="23"/>
      <c r="B139" s="23"/>
      <c r="C139" s="23"/>
      <c r="D139" s="23"/>
      <c r="T139" s="151"/>
      <c r="U139" s="152"/>
      <c r="V139" s="21"/>
      <c r="W139" s="21"/>
      <c r="X139" s="21"/>
      <c r="Y139" s="21"/>
      <c r="Z139" s="21"/>
    </row>
    <row r="140" spans="1:26" ht="14.25" x14ac:dyDescent="0.2">
      <c r="A140" s="23"/>
      <c r="B140" s="23"/>
      <c r="C140" s="23"/>
      <c r="D140" s="23"/>
      <c r="T140" s="151"/>
      <c r="U140" s="152"/>
      <c r="V140" s="21"/>
      <c r="W140" s="21"/>
      <c r="X140" s="21"/>
      <c r="Y140" s="21"/>
      <c r="Z140" s="21"/>
    </row>
    <row r="141" spans="1:26" ht="14.25" x14ac:dyDescent="0.2">
      <c r="A141" s="23"/>
      <c r="B141" s="23"/>
      <c r="C141" s="23"/>
      <c r="D141" s="23"/>
      <c r="T141" s="151"/>
      <c r="U141" s="152"/>
      <c r="V141" s="21"/>
      <c r="W141" s="21"/>
      <c r="X141" s="21"/>
      <c r="Y141" s="21"/>
      <c r="Z141" s="21"/>
    </row>
    <row r="142" spans="1:26" ht="14.25" x14ac:dyDescent="0.2">
      <c r="A142" s="23"/>
      <c r="B142" s="23"/>
      <c r="C142" s="23"/>
      <c r="D142" s="23"/>
      <c r="T142" s="151"/>
      <c r="U142" s="152"/>
      <c r="V142" s="21"/>
      <c r="W142" s="21"/>
      <c r="X142" s="21"/>
      <c r="Y142" s="21"/>
      <c r="Z142" s="21"/>
    </row>
    <row r="143" spans="1:26" ht="14.25" x14ac:dyDescent="0.2">
      <c r="A143" s="23"/>
      <c r="B143" s="23"/>
      <c r="C143" s="23"/>
      <c r="D143" s="23"/>
      <c r="T143" s="151"/>
      <c r="U143" s="152"/>
      <c r="V143" s="21"/>
      <c r="W143" s="21"/>
      <c r="X143" s="21"/>
      <c r="Y143" s="21"/>
      <c r="Z143" s="21"/>
    </row>
    <row r="144" spans="1:26" ht="14.25" x14ac:dyDescent="0.2">
      <c r="A144" s="23"/>
      <c r="B144" s="23"/>
      <c r="C144" s="23"/>
      <c r="D144" s="23"/>
      <c r="T144" s="151"/>
      <c r="U144" s="152"/>
      <c r="V144" s="21"/>
      <c r="W144" s="21"/>
      <c r="X144" s="21"/>
      <c r="Y144" s="21"/>
      <c r="Z144" s="21"/>
    </row>
    <row r="145" spans="1:26" ht="13.5" x14ac:dyDescent="0.2">
      <c r="A145" s="24"/>
      <c r="B145" s="24"/>
      <c r="T145" s="153"/>
      <c r="V145" s="21"/>
      <c r="W145" s="21"/>
      <c r="X145" s="21"/>
      <c r="Y145" s="21"/>
      <c r="Z145" s="21"/>
    </row>
    <row r="159" spans="1:26" ht="16.899999999999999" customHeight="1" x14ac:dyDescent="0.2">
      <c r="A159" s="25"/>
    </row>
    <row r="160" spans="1:26" ht="12" customHeight="1" x14ac:dyDescent="0.2">
      <c r="A160" s="4"/>
    </row>
    <row r="161" spans="1:26" ht="13.15" customHeight="1" x14ac:dyDescent="0.2"/>
    <row r="162" spans="1:26" ht="13.15" customHeight="1" x14ac:dyDescent="0.2"/>
    <row r="163" spans="1:26" ht="13.15" customHeight="1" x14ac:dyDescent="0.2"/>
    <row r="164" spans="1:26" s="149" customFormat="1" ht="13.15" customHeight="1" x14ac:dyDescent="0.2">
      <c r="A164" s="1"/>
      <c r="B164" s="1"/>
      <c r="C164" s="1"/>
      <c r="D164" s="1"/>
      <c r="E164" s="1"/>
      <c r="F164" s="1"/>
      <c r="G164" s="1"/>
      <c r="H164" s="1"/>
      <c r="P164" s="1"/>
      <c r="Q164" s="1"/>
      <c r="T164" s="150"/>
      <c r="U164" s="150"/>
      <c r="V164" s="1"/>
      <c r="W164" s="1"/>
      <c r="X164" s="1"/>
      <c r="Y164" s="1"/>
      <c r="Z164" s="1"/>
    </row>
    <row r="165" spans="1:26" s="149" customFormat="1" ht="13.15" customHeight="1" x14ac:dyDescent="0.2">
      <c r="A165" s="1"/>
      <c r="B165" s="1"/>
      <c r="C165" s="1"/>
      <c r="D165" s="1"/>
      <c r="E165" s="1"/>
      <c r="F165" s="1"/>
      <c r="G165" s="1"/>
      <c r="H165" s="1"/>
      <c r="P165" s="1"/>
      <c r="Q165" s="1"/>
      <c r="T165" s="150"/>
      <c r="U165" s="150"/>
      <c r="V165" s="1"/>
      <c r="W165" s="1"/>
      <c r="X165" s="1"/>
      <c r="Y165" s="1"/>
      <c r="Z165" s="1"/>
    </row>
    <row r="166" spans="1:26" s="149" customFormat="1" ht="13.15" customHeight="1" x14ac:dyDescent="0.2">
      <c r="A166" s="1"/>
      <c r="B166" s="1"/>
      <c r="C166" s="1"/>
      <c r="D166" s="1"/>
      <c r="E166" s="1"/>
      <c r="F166" s="1"/>
      <c r="G166" s="1"/>
      <c r="H166" s="1"/>
      <c r="P166" s="1"/>
      <c r="Q166" s="1"/>
      <c r="T166" s="150"/>
      <c r="U166" s="150"/>
      <c r="V166" s="1"/>
      <c r="W166" s="1"/>
      <c r="X166" s="1"/>
      <c r="Y166" s="1"/>
      <c r="Z166" s="1"/>
    </row>
    <row r="167" spans="1:26" s="149" customFormat="1" ht="12" customHeight="1" x14ac:dyDescent="0.2">
      <c r="A167" s="1"/>
      <c r="B167" s="1"/>
      <c r="C167" s="1"/>
      <c r="D167" s="1"/>
      <c r="E167" s="1"/>
      <c r="F167" s="1"/>
      <c r="G167" s="1"/>
      <c r="H167" s="1"/>
      <c r="P167" s="1"/>
      <c r="Q167" s="1"/>
      <c r="T167" s="150"/>
      <c r="U167" s="150"/>
      <c r="V167" s="1"/>
      <c r="W167" s="1"/>
      <c r="X167" s="1"/>
      <c r="Y167" s="1"/>
      <c r="Z167" s="1"/>
    </row>
    <row r="168" spans="1:26" s="149" customFormat="1" ht="12" customHeight="1" x14ac:dyDescent="0.2">
      <c r="A168" s="1"/>
      <c r="B168" s="1"/>
      <c r="C168" s="1"/>
      <c r="D168" s="1"/>
      <c r="E168" s="1"/>
      <c r="F168" s="1"/>
      <c r="G168" s="1"/>
      <c r="H168" s="1"/>
      <c r="P168" s="1"/>
      <c r="Q168" s="1"/>
      <c r="T168" s="150"/>
      <c r="U168" s="150"/>
      <c r="V168" s="1"/>
      <c r="W168" s="1"/>
      <c r="X168" s="1"/>
      <c r="Y168" s="1"/>
      <c r="Z168" s="1"/>
    </row>
    <row r="169" spans="1:26" s="149" customFormat="1" ht="15" customHeight="1" x14ac:dyDescent="0.2">
      <c r="A169" s="1"/>
      <c r="B169" s="1"/>
      <c r="C169" s="1"/>
      <c r="D169" s="1"/>
      <c r="E169" s="1"/>
      <c r="F169" s="1"/>
      <c r="G169" s="1"/>
      <c r="H169" s="1"/>
      <c r="P169" s="1"/>
      <c r="Q169" s="1"/>
      <c r="T169" s="150"/>
      <c r="U169" s="150"/>
      <c r="V169" s="1"/>
      <c r="W169" s="1"/>
      <c r="X169" s="1"/>
      <c r="Y169" s="1"/>
      <c r="Z169" s="1"/>
    </row>
    <row r="170" spans="1:26" s="149" customFormat="1" ht="15" customHeight="1" x14ac:dyDescent="0.2">
      <c r="A170" s="1"/>
      <c r="B170" s="1"/>
      <c r="C170" s="1"/>
      <c r="D170" s="1"/>
      <c r="E170" s="1"/>
      <c r="F170" s="1"/>
      <c r="G170" s="1"/>
      <c r="H170" s="1"/>
      <c r="P170" s="1"/>
      <c r="Q170" s="1"/>
      <c r="T170" s="150"/>
      <c r="U170" s="150"/>
      <c r="V170" s="1"/>
      <c r="W170" s="1"/>
      <c r="X170" s="1"/>
      <c r="Y170" s="1"/>
      <c r="Z170" s="1"/>
    </row>
  </sheetData>
  <sheetProtection sheet="1" formatCells="0" formatColumns="0" formatRows="0"/>
  <phoneticPr fontId="4"/>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B1180-104B-4D12-8E84-F0E6E149B304}">
  <dimension ref="A1:Z138"/>
  <sheetViews>
    <sheetView zoomScale="160" zoomScaleNormal="160" workbookViewId="0">
      <selection activeCell="P25" sqref="P25 L25:M25"/>
    </sheetView>
  </sheetViews>
  <sheetFormatPr defaultColWidth="9.33203125" defaultRowHeight="12.75" x14ac:dyDescent="0.2"/>
  <cols>
    <col min="1" max="1" width="13.1640625" style="1" customWidth="1"/>
    <col min="2" max="2" width="9.33203125" style="1"/>
    <col min="3" max="7" width="10.1640625" style="1" customWidth="1"/>
    <col min="8" max="8" width="9.33203125" style="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1460</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1037</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 customFormat="1" x14ac:dyDescent="0.2">
      <c r="A6" s="113" t="s">
        <v>1461</v>
      </c>
      <c r="B6" s="99"/>
      <c r="C6" s="99"/>
      <c r="D6" s="99"/>
      <c r="E6" s="99"/>
      <c r="F6" s="99"/>
      <c r="G6" s="99"/>
      <c r="H6" s="99"/>
      <c r="I6" s="113"/>
      <c r="J6" s="113"/>
      <c r="K6" s="113"/>
      <c r="L6" s="113"/>
      <c r="M6" s="113"/>
      <c r="N6" s="113"/>
      <c r="O6" s="113"/>
      <c r="R6" s="113"/>
      <c r="S6" s="113"/>
      <c r="T6" s="146"/>
      <c r="U6" s="146"/>
    </row>
    <row r="7" spans="1:25" s="2" customFormat="1" x14ac:dyDescent="0.2">
      <c r="A7" s="113"/>
      <c r="B7" s="99"/>
      <c r="C7" s="99"/>
      <c r="D7" s="99"/>
      <c r="E7" s="99"/>
      <c r="F7" s="99"/>
      <c r="G7" s="99"/>
      <c r="H7" s="99"/>
      <c r="I7" s="113"/>
      <c r="J7" s="113"/>
      <c r="K7" s="113"/>
      <c r="L7" s="113"/>
      <c r="M7" s="113"/>
      <c r="N7" s="113"/>
      <c r="O7" s="113"/>
      <c r="R7" s="113"/>
      <c r="S7" s="113"/>
      <c r="T7" s="146"/>
      <c r="U7" s="146"/>
    </row>
    <row r="8" spans="1:25" s="2" customFormat="1" x14ac:dyDescent="0.2">
      <c r="A8" s="99"/>
      <c r="B8" s="99"/>
      <c r="C8" s="99"/>
      <c r="D8" s="99"/>
      <c r="E8" s="99"/>
      <c r="F8" s="99"/>
      <c r="G8" s="99"/>
      <c r="H8" s="99"/>
      <c r="I8" s="113"/>
      <c r="J8" s="113"/>
      <c r="K8" s="113"/>
      <c r="L8" s="113"/>
      <c r="M8" s="113"/>
      <c r="N8" s="113"/>
      <c r="O8" s="113"/>
      <c r="R8" s="113"/>
      <c r="S8" s="113"/>
      <c r="T8" s="146"/>
      <c r="U8" s="146"/>
    </row>
    <row r="9" spans="1:25" s="2" customFormat="1" x14ac:dyDescent="0.2">
      <c r="A9" s="113"/>
      <c r="B9" s="99"/>
      <c r="C9" s="99"/>
      <c r="D9" s="99"/>
      <c r="E9" s="99"/>
      <c r="F9" s="99"/>
      <c r="G9" s="99"/>
      <c r="H9" s="99"/>
      <c r="I9" s="113"/>
      <c r="J9" s="113"/>
      <c r="K9" s="113"/>
      <c r="L9" s="113"/>
      <c r="M9" s="113"/>
      <c r="N9" s="113"/>
      <c r="O9" s="113"/>
      <c r="R9" s="113"/>
      <c r="S9" s="113"/>
      <c r="T9" s="146"/>
      <c r="U9" s="146"/>
    </row>
    <row r="10" spans="1:25" x14ac:dyDescent="0.2">
      <c r="A10" s="102"/>
      <c r="B10" s="97"/>
      <c r="C10" s="97"/>
      <c r="D10" s="97"/>
      <c r="E10" s="97"/>
      <c r="F10" s="97"/>
      <c r="G10" s="97"/>
      <c r="H10" s="97"/>
      <c r="I10" s="113"/>
      <c r="J10" s="113"/>
      <c r="K10" s="113"/>
      <c r="L10" s="113"/>
      <c r="M10" s="113"/>
      <c r="N10" s="113"/>
      <c r="O10" s="113"/>
      <c r="R10" s="113"/>
      <c r="S10" s="113"/>
      <c r="T10" s="146"/>
      <c r="U10" s="146"/>
    </row>
    <row r="11" spans="1:25" x14ac:dyDescent="0.2">
      <c r="A11" s="97"/>
      <c r="B11" s="97"/>
      <c r="C11" s="97"/>
      <c r="D11" s="97"/>
      <c r="E11" s="97"/>
      <c r="F11" s="97"/>
      <c r="G11" s="97"/>
      <c r="H11" s="97"/>
      <c r="I11" s="113"/>
      <c r="J11" s="113"/>
      <c r="K11" s="113"/>
      <c r="L11" s="113"/>
      <c r="M11" s="113"/>
      <c r="N11" s="113"/>
      <c r="O11" s="113"/>
      <c r="R11" s="113"/>
      <c r="S11" s="113"/>
      <c r="T11" s="146"/>
      <c r="U11" s="146"/>
    </row>
    <row r="12" spans="1:25" x14ac:dyDescent="0.2">
      <c r="A12" s="97"/>
      <c r="B12" s="97"/>
      <c r="C12" s="97"/>
      <c r="D12" s="97"/>
      <c r="E12" s="97"/>
      <c r="F12" s="97"/>
      <c r="G12" s="97"/>
      <c r="H12" s="97"/>
      <c r="I12" s="113"/>
      <c r="J12" s="113"/>
      <c r="K12" s="113"/>
      <c r="L12" s="113"/>
      <c r="M12" s="113"/>
      <c r="N12" s="113"/>
      <c r="O12" s="113"/>
      <c r="R12" s="113"/>
      <c r="S12" s="113"/>
      <c r="T12" s="146"/>
      <c r="U12" s="146"/>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
        <v>197</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1057</v>
      </c>
      <c r="N16" s="104" t="s">
        <v>1058</v>
      </c>
      <c r="O16" s="104" t="s">
        <v>100</v>
      </c>
      <c r="P16" s="6" t="s">
        <v>105</v>
      </c>
      <c r="Q16" s="6" t="s">
        <v>106</v>
      </c>
      <c r="R16" s="104" t="s">
        <v>1051</v>
      </c>
      <c r="S16" s="104" t="s">
        <v>1052</v>
      </c>
      <c r="T16" s="147" t="s">
        <v>1053</v>
      </c>
      <c r="U16" s="147" t="s">
        <v>1054</v>
      </c>
      <c r="V16" s="5" t="s">
        <v>101</v>
      </c>
      <c r="W16" s="5" t="s">
        <v>102</v>
      </c>
      <c r="X16" s="112" t="s">
        <v>1055</v>
      </c>
      <c r="Y16" s="112" t="s">
        <v>1056</v>
      </c>
    </row>
    <row r="17" spans="1:26" x14ac:dyDescent="0.2">
      <c r="A17" s="213" t="str">
        <f>A35</f>
        <v>NIM</v>
      </c>
      <c r="B17" s="213" t="str">
        <f>B35</f>
        <v>CPB20810</v>
      </c>
      <c r="C17" s="217">
        <f>C35</f>
        <v>995.1</v>
      </c>
      <c r="D17" s="217">
        <f>F35</f>
        <v>0.38</v>
      </c>
      <c r="E17" s="217">
        <f>G35</f>
        <v>993.81</v>
      </c>
      <c r="F17" s="219">
        <f t="shared" ref="F17:F25" si="0">H35/I35</f>
        <v>0.495</v>
      </c>
      <c r="G17" s="1275">
        <f t="shared" ref="G17:G25" si="1">J35</f>
        <v>-1.3</v>
      </c>
      <c r="H17" s="1275">
        <f t="shared" ref="H17:H25" si="2">L35</f>
        <v>1.3</v>
      </c>
      <c r="I17" s="155">
        <f t="shared" ref="I17:I25" si="3">IF(ABS(G17)&gt;ABS(H17), 1, 0)</f>
        <v>0</v>
      </c>
      <c r="J17" s="155">
        <f t="shared" ref="J17:J25" si="4">I17*ABS(C17-E17)</f>
        <v>0</v>
      </c>
      <c r="K17" s="155">
        <f t="shared" ref="K17:K25" si="5">SQRT(SUMSQ(F17,J17))*2</f>
        <v>0.99</v>
      </c>
      <c r="L17" s="155">
        <f t="shared" ref="L17:L25" si="6">IF(C17&lt;$K$2, C17, $K$1)</f>
        <v>10</v>
      </c>
      <c r="M17" s="156">
        <f t="shared" ref="M17:M25" si="7">IF(AND(C17&lt;$K$1,C17&gt; $K$2), K17/L17*100, K17/C17*100)</f>
        <v>9.9487488694603554E-2</v>
      </c>
      <c r="N17" s="157">
        <f t="shared" ref="N17:N25" si="8">M17*L17/100</f>
        <v>9.9487488694603547E-3</v>
      </c>
      <c r="O17" s="155">
        <f t="shared" ref="O17:O25" si="9">N17/(M17*L17/100)*100</f>
        <v>100</v>
      </c>
      <c r="P17" s="250">
        <v>1</v>
      </c>
      <c r="Q17" s="250">
        <v>1000</v>
      </c>
      <c r="R17" s="148">
        <f>IF( IF(P17&lt;L17, M17*L17/P17, M17)&gt;100, "ERROR",  IF(P17&lt;L17, M17*L17/P17, M17))</f>
        <v>0.99487488694603554</v>
      </c>
      <c r="S17" s="148">
        <f>IF(IF(Q17&lt;L17, M17*L17/Q17, M17)&gt;100, "ERROR", IF(Q17&lt;L17, M17*L17/Q17, M17))</f>
        <v>9.9487488694603554E-2</v>
      </c>
      <c r="T17" s="148">
        <f>R17*P17*0.01</f>
        <v>9.9487488694603565E-3</v>
      </c>
      <c r="U17" s="148">
        <f>S17*Q17*0.01</f>
        <v>0.99487488694603554</v>
      </c>
      <c r="V17" s="7">
        <f>P17*1000</f>
        <v>1000</v>
      </c>
      <c r="W17" s="7">
        <f>Q17*1000</f>
        <v>1000000</v>
      </c>
      <c r="X17" s="1345">
        <f>T17*1000</f>
        <v>9.9487488694603563</v>
      </c>
      <c r="Y17" s="1345">
        <f>U17*1000</f>
        <v>994.87488694603553</v>
      </c>
    </row>
    <row r="18" spans="1:26" x14ac:dyDescent="0.2">
      <c r="A18" s="213" t="str">
        <f t="shared" ref="A18:C18" si="10">A36</f>
        <v>NMC A*STAR</v>
      </c>
      <c r="B18" s="213" t="str">
        <f t="shared" si="10"/>
        <v>CPB21192</v>
      </c>
      <c r="C18" s="217">
        <f t="shared" si="10"/>
        <v>998.52</v>
      </c>
      <c r="D18" s="217">
        <f t="shared" ref="D18:E18" si="11">F36</f>
        <v>0.38</v>
      </c>
      <c r="E18" s="217">
        <f t="shared" si="11"/>
        <v>1000.6</v>
      </c>
      <c r="F18" s="219">
        <f t="shared" si="0"/>
        <v>2.25</v>
      </c>
      <c r="G18" s="1275">
        <f t="shared" si="1"/>
        <v>2.1</v>
      </c>
      <c r="H18" s="1275">
        <f t="shared" si="2"/>
        <v>4.5999999999999996</v>
      </c>
      <c r="I18" s="155">
        <f t="shared" si="3"/>
        <v>0</v>
      </c>
      <c r="J18" s="155">
        <f t="shared" si="4"/>
        <v>0</v>
      </c>
      <c r="K18" s="155">
        <f t="shared" si="5"/>
        <v>4.5</v>
      </c>
      <c r="L18" s="155">
        <f t="shared" si="6"/>
        <v>10</v>
      </c>
      <c r="M18" s="156">
        <f t="shared" si="7"/>
        <v>0.45066698714096864</v>
      </c>
      <c r="N18" s="157">
        <f t="shared" si="8"/>
        <v>4.506669871409686E-2</v>
      </c>
      <c r="O18" s="155">
        <f t="shared" si="9"/>
        <v>100</v>
      </c>
      <c r="P18" s="250">
        <v>1</v>
      </c>
      <c r="Q18" s="250">
        <v>1000</v>
      </c>
      <c r="R18" s="148">
        <f t="shared" ref="R18:R25" si="12">IF( IF(P18&lt;L18, M18*L18/P18, M18)&gt;100, "ERROR",  IF(P18&lt;L18, M18*L18/P18, M18))</f>
        <v>4.5066698714096862</v>
      </c>
      <c r="S18" s="148">
        <f t="shared" ref="S18:S25" si="13">IF(IF(Q18&lt;L18, M18*L18/Q18, M18)&gt;100, "ERROR", IF(Q18&lt;L18, M18*L18/Q18, M18))</f>
        <v>0.45066698714096864</v>
      </c>
      <c r="T18" s="148">
        <f t="shared" ref="T18:U25" si="14">R18*P18*0.01</f>
        <v>4.506669871409686E-2</v>
      </c>
      <c r="U18" s="148">
        <f t="shared" si="14"/>
        <v>4.5066698714096871</v>
      </c>
      <c r="V18" s="7">
        <f t="shared" ref="V18:W25" si="15">P18*1000</f>
        <v>1000</v>
      </c>
      <c r="W18" s="7">
        <f t="shared" si="15"/>
        <v>1000000</v>
      </c>
      <c r="X18" s="1345">
        <f t="shared" ref="X18:Y25" si="16">T18*1000</f>
        <v>45.066698714096859</v>
      </c>
      <c r="Y18" s="1345">
        <f t="shared" si="16"/>
        <v>4506.6698714096874</v>
      </c>
    </row>
    <row r="19" spans="1:26" x14ac:dyDescent="0.2">
      <c r="A19" s="213" t="str">
        <f t="shared" ref="A19:C19" si="17">A37</f>
        <v>NIMT</v>
      </c>
      <c r="B19" s="213" t="str">
        <f t="shared" si="17"/>
        <v>CPB25989</v>
      </c>
      <c r="C19" s="217">
        <f t="shared" si="17"/>
        <v>999.09</v>
      </c>
      <c r="D19" s="217">
        <f t="shared" ref="D19:E19" si="18">F37</f>
        <v>0.38</v>
      </c>
      <c r="E19" s="217">
        <f t="shared" si="18"/>
        <v>1001</v>
      </c>
      <c r="F19" s="219">
        <f t="shared" si="0"/>
        <v>1.75</v>
      </c>
      <c r="G19" s="1275">
        <f t="shared" si="1"/>
        <v>1.9</v>
      </c>
      <c r="H19" s="1275">
        <f t="shared" si="2"/>
        <v>3.6</v>
      </c>
      <c r="I19" s="155">
        <f t="shared" si="3"/>
        <v>0</v>
      </c>
      <c r="J19" s="155">
        <f t="shared" si="4"/>
        <v>0</v>
      </c>
      <c r="K19" s="155">
        <f t="shared" si="5"/>
        <v>3.5</v>
      </c>
      <c r="L19" s="155">
        <f t="shared" si="6"/>
        <v>10</v>
      </c>
      <c r="M19" s="156">
        <f t="shared" si="7"/>
        <v>0.35031879009899008</v>
      </c>
      <c r="N19" s="157">
        <f t="shared" si="8"/>
        <v>3.5031879009899007E-2</v>
      </c>
      <c r="O19" s="155">
        <f t="shared" si="9"/>
        <v>100</v>
      </c>
      <c r="P19" s="250">
        <v>1</v>
      </c>
      <c r="Q19" s="250">
        <v>1000</v>
      </c>
      <c r="R19" s="148">
        <f t="shared" si="12"/>
        <v>3.503187900989901</v>
      </c>
      <c r="S19" s="148">
        <f t="shared" si="13"/>
        <v>0.35031879009899008</v>
      </c>
      <c r="T19" s="148">
        <f t="shared" si="14"/>
        <v>3.5031879009899007E-2</v>
      </c>
      <c r="U19" s="148">
        <f t="shared" si="14"/>
        <v>3.5031879009899005</v>
      </c>
      <c r="V19" s="7">
        <f t="shared" si="15"/>
        <v>1000</v>
      </c>
      <c r="W19" s="7">
        <f t="shared" si="15"/>
        <v>1000000</v>
      </c>
      <c r="X19" s="1345">
        <f t="shared" si="16"/>
        <v>35.031879009899008</v>
      </c>
      <c r="Y19" s="1345">
        <f t="shared" si="16"/>
        <v>3503.1879009899003</v>
      </c>
    </row>
    <row r="20" spans="1:26" x14ac:dyDescent="0.2">
      <c r="A20" s="213" t="str">
        <f t="shared" ref="A20:C20" si="19">A38</f>
        <v>KRISS</v>
      </c>
      <c r="B20" s="213" t="str">
        <f t="shared" si="19"/>
        <v>CPB25963</v>
      </c>
      <c r="C20" s="217">
        <f t="shared" si="19"/>
        <v>1000.38</v>
      </c>
      <c r="D20" s="217">
        <f t="shared" ref="D20:E20" si="20">F38</f>
        <v>0.38</v>
      </c>
      <c r="E20" s="217">
        <f t="shared" si="20"/>
        <v>1001.1</v>
      </c>
      <c r="F20" s="219">
        <f t="shared" si="0"/>
        <v>0.5</v>
      </c>
      <c r="G20" s="1275">
        <f t="shared" si="1"/>
        <v>0.7</v>
      </c>
      <c r="H20" s="1275">
        <f t="shared" si="2"/>
        <v>1.3</v>
      </c>
      <c r="I20" s="155">
        <f t="shared" si="3"/>
        <v>0</v>
      </c>
      <c r="J20" s="155">
        <f t="shared" si="4"/>
        <v>0</v>
      </c>
      <c r="K20" s="155">
        <f t="shared" si="5"/>
        <v>1</v>
      </c>
      <c r="L20" s="155">
        <f t="shared" si="6"/>
        <v>10</v>
      </c>
      <c r="M20" s="156">
        <f t="shared" si="7"/>
        <v>9.9962014434514884E-2</v>
      </c>
      <c r="N20" s="157">
        <f t="shared" si="8"/>
        <v>9.9962014434514888E-3</v>
      </c>
      <c r="O20" s="155">
        <f t="shared" si="9"/>
        <v>100</v>
      </c>
      <c r="P20" s="250">
        <v>1</v>
      </c>
      <c r="Q20" s="250">
        <v>1000</v>
      </c>
      <c r="R20" s="148">
        <f t="shared" si="12"/>
        <v>0.9996201443451489</v>
      </c>
      <c r="S20" s="148">
        <f t="shared" si="13"/>
        <v>9.9962014434514884E-2</v>
      </c>
      <c r="T20" s="148">
        <f t="shared" si="14"/>
        <v>9.9962014434514888E-3</v>
      </c>
      <c r="U20" s="148">
        <f t="shared" si="14"/>
        <v>0.9996201443451489</v>
      </c>
      <c r="V20" s="7">
        <f t="shared" si="15"/>
        <v>1000</v>
      </c>
      <c r="W20" s="7">
        <f t="shared" si="15"/>
        <v>1000000</v>
      </c>
      <c r="X20" s="1345">
        <f t="shared" si="16"/>
        <v>9.9962014434514881</v>
      </c>
      <c r="Y20" s="1345">
        <f t="shared" si="16"/>
        <v>999.6201443451489</v>
      </c>
    </row>
    <row r="21" spans="1:26" x14ac:dyDescent="0.2">
      <c r="A21" s="213" t="str">
        <f t="shared" ref="A21:C21" si="21">A39</f>
        <v>NMIA</v>
      </c>
      <c r="B21" s="213" t="str">
        <f t="shared" si="21"/>
        <v>CPB25966</v>
      </c>
      <c r="C21" s="217">
        <f t="shared" si="21"/>
        <v>999.41</v>
      </c>
      <c r="D21" s="217">
        <f t="shared" ref="D21:E21" si="22">F39</f>
        <v>0.38</v>
      </c>
      <c r="E21" s="217">
        <f t="shared" si="22"/>
        <v>1000</v>
      </c>
      <c r="F21" s="219">
        <f t="shared" si="0"/>
        <v>0.75</v>
      </c>
      <c r="G21" s="1275">
        <f t="shared" si="1"/>
        <v>0.6</v>
      </c>
      <c r="H21" s="1275">
        <f t="shared" si="2"/>
        <v>1.7</v>
      </c>
      <c r="I21" s="155">
        <f t="shared" si="3"/>
        <v>0</v>
      </c>
      <c r="J21" s="155">
        <f t="shared" si="4"/>
        <v>0</v>
      </c>
      <c r="K21" s="155">
        <f t="shared" si="5"/>
        <v>1.5</v>
      </c>
      <c r="L21" s="155">
        <f t="shared" si="6"/>
        <v>10</v>
      </c>
      <c r="M21" s="156">
        <f t="shared" si="7"/>
        <v>0.15008855224582504</v>
      </c>
      <c r="N21" s="157">
        <f t="shared" si="8"/>
        <v>1.5008855224582505E-2</v>
      </c>
      <c r="O21" s="155">
        <f t="shared" si="9"/>
        <v>100</v>
      </c>
      <c r="P21" s="250">
        <v>1</v>
      </c>
      <c r="Q21" s="250">
        <v>1000</v>
      </c>
      <c r="R21" s="148">
        <f t="shared" si="12"/>
        <v>1.5008855224582505</v>
      </c>
      <c r="S21" s="148">
        <f t="shared" si="13"/>
        <v>0.15008855224582504</v>
      </c>
      <c r="T21" s="148">
        <f t="shared" si="14"/>
        <v>1.5008855224582505E-2</v>
      </c>
      <c r="U21" s="148">
        <f t="shared" si="14"/>
        <v>1.5008855224582505</v>
      </c>
      <c r="V21" s="7">
        <f t="shared" si="15"/>
        <v>1000</v>
      </c>
      <c r="W21" s="7">
        <f t="shared" si="15"/>
        <v>1000000</v>
      </c>
      <c r="X21" s="1345">
        <f t="shared" si="16"/>
        <v>15.008855224582506</v>
      </c>
      <c r="Y21" s="1345">
        <f t="shared" si="16"/>
        <v>1500.8855224582505</v>
      </c>
    </row>
    <row r="22" spans="1:26" x14ac:dyDescent="0.2">
      <c r="A22" s="213" t="str">
        <f t="shared" ref="A22:C22" si="23">A40</f>
        <v>NMIJ</v>
      </c>
      <c r="B22" s="213" t="str">
        <f t="shared" si="23"/>
        <v>CPB25981</v>
      </c>
      <c r="C22" s="217">
        <f t="shared" si="23"/>
        <v>996.77</v>
      </c>
      <c r="D22" s="217">
        <f t="shared" ref="D22:E22" si="24">F40</f>
        <v>0.38</v>
      </c>
      <c r="E22" s="217">
        <f t="shared" si="24"/>
        <v>996.5</v>
      </c>
      <c r="F22" s="219">
        <f t="shared" si="0"/>
        <v>0.55000000000000004</v>
      </c>
      <c r="G22" s="1275">
        <f t="shared" si="1"/>
        <v>-0.3</v>
      </c>
      <c r="H22" s="1275">
        <f t="shared" si="2"/>
        <v>1.3</v>
      </c>
      <c r="I22" s="155">
        <f t="shared" si="3"/>
        <v>0</v>
      </c>
      <c r="J22" s="155">
        <f t="shared" si="4"/>
        <v>0</v>
      </c>
      <c r="K22" s="155">
        <f t="shared" si="5"/>
        <v>1.1000000000000001</v>
      </c>
      <c r="L22" s="155">
        <f t="shared" si="6"/>
        <v>10</v>
      </c>
      <c r="M22" s="156">
        <f t="shared" si="7"/>
        <v>0.11035645133782117</v>
      </c>
      <c r="N22" s="157">
        <f t="shared" si="8"/>
        <v>1.1035645133782118E-2</v>
      </c>
      <c r="O22" s="155">
        <f t="shared" si="9"/>
        <v>100</v>
      </c>
      <c r="P22" s="250">
        <v>1</v>
      </c>
      <c r="Q22" s="250">
        <v>1000</v>
      </c>
      <c r="R22" s="148">
        <f t="shared" si="12"/>
        <v>1.1035645133782117</v>
      </c>
      <c r="S22" s="148">
        <f t="shared" si="13"/>
        <v>0.11035645133782117</v>
      </c>
      <c r="T22" s="148">
        <f t="shared" si="14"/>
        <v>1.1035645133782118E-2</v>
      </c>
      <c r="U22" s="148">
        <f t="shared" si="14"/>
        <v>1.1035645133782117</v>
      </c>
      <c r="V22" s="7">
        <f t="shared" si="15"/>
        <v>1000</v>
      </c>
      <c r="W22" s="7">
        <f t="shared" si="15"/>
        <v>1000000</v>
      </c>
      <c r="X22" s="1345">
        <f t="shared" si="16"/>
        <v>11.035645133782117</v>
      </c>
      <c r="Y22" s="1345">
        <f t="shared" si="16"/>
        <v>1103.5645133782118</v>
      </c>
    </row>
    <row r="23" spans="1:26" x14ac:dyDescent="0.2">
      <c r="A23" s="213" t="str">
        <f t="shared" ref="A23:C23" si="25">A41</f>
        <v>CMS/ITRI</v>
      </c>
      <c r="B23" s="213" t="str">
        <f t="shared" si="25"/>
        <v>CPB25984</v>
      </c>
      <c r="C23" s="217">
        <f t="shared" si="25"/>
        <v>994.27</v>
      </c>
      <c r="D23" s="217">
        <f t="shared" ref="D23:E23" si="26">F41</f>
        <v>0.38</v>
      </c>
      <c r="E23" s="217">
        <f t="shared" si="26"/>
        <v>994.9</v>
      </c>
      <c r="F23" s="219">
        <f t="shared" si="0"/>
        <v>1</v>
      </c>
      <c r="G23" s="1275">
        <f t="shared" si="1"/>
        <v>0.6</v>
      </c>
      <c r="H23" s="1275">
        <f t="shared" si="2"/>
        <v>2.1</v>
      </c>
      <c r="I23" s="155">
        <f t="shared" si="3"/>
        <v>0</v>
      </c>
      <c r="J23" s="155">
        <f t="shared" si="4"/>
        <v>0</v>
      </c>
      <c r="K23" s="155">
        <f t="shared" si="5"/>
        <v>2</v>
      </c>
      <c r="L23" s="155">
        <f t="shared" si="6"/>
        <v>10</v>
      </c>
      <c r="M23" s="156">
        <f t="shared" si="7"/>
        <v>0.20115260442334576</v>
      </c>
      <c r="N23" s="157">
        <f t="shared" si="8"/>
        <v>2.0115260442334578E-2</v>
      </c>
      <c r="O23" s="155">
        <f t="shared" si="9"/>
        <v>100</v>
      </c>
      <c r="P23" s="250">
        <v>1</v>
      </c>
      <c r="Q23" s="250">
        <v>1000</v>
      </c>
      <c r="R23" s="148">
        <f t="shared" si="12"/>
        <v>2.0115260442334577</v>
      </c>
      <c r="S23" s="148">
        <f t="shared" si="13"/>
        <v>0.20115260442334576</v>
      </c>
      <c r="T23" s="148">
        <f t="shared" si="14"/>
        <v>2.0115260442334578E-2</v>
      </c>
      <c r="U23" s="148">
        <f t="shared" si="14"/>
        <v>2.0115260442334577</v>
      </c>
      <c r="V23" s="7">
        <f t="shared" si="15"/>
        <v>1000</v>
      </c>
      <c r="W23" s="7">
        <f t="shared" si="15"/>
        <v>1000000</v>
      </c>
      <c r="X23" s="1345">
        <f t="shared" si="16"/>
        <v>20.115260442334577</v>
      </c>
      <c r="Y23" s="1345">
        <f t="shared" si="16"/>
        <v>2011.5260442334577</v>
      </c>
    </row>
    <row r="24" spans="1:26" x14ac:dyDescent="0.2">
      <c r="A24" s="213" t="str">
        <f t="shared" ref="A24:C24" si="27">A42</f>
        <v>NML SIRIM</v>
      </c>
      <c r="B24" s="213" t="str">
        <f t="shared" si="27"/>
        <v>CPB25987</v>
      </c>
      <c r="C24" s="217">
        <f t="shared" si="27"/>
        <v>998.59</v>
      </c>
      <c r="D24" s="217">
        <f t="shared" ref="D24:E24" si="28">F42</f>
        <v>0.38</v>
      </c>
      <c r="E24" s="217">
        <f t="shared" si="28"/>
        <v>960.41</v>
      </c>
      <c r="F24" s="219">
        <f t="shared" si="0"/>
        <v>0.75</v>
      </c>
      <c r="G24" s="1275">
        <f t="shared" si="1"/>
        <v>-38.200000000000003</v>
      </c>
      <c r="H24" s="1275">
        <f t="shared" si="2"/>
        <v>1.7</v>
      </c>
      <c r="I24" s="155">
        <f t="shared" si="3"/>
        <v>1</v>
      </c>
      <c r="J24" s="155">
        <f t="shared" si="4"/>
        <v>38.180000000000064</v>
      </c>
      <c r="K24" s="155">
        <f t="shared" si="5"/>
        <v>76.374731423423157</v>
      </c>
      <c r="L24" s="155">
        <f t="shared" si="6"/>
        <v>10</v>
      </c>
      <c r="M24" s="156">
        <f t="shared" si="7"/>
        <v>7.6482571849731267</v>
      </c>
      <c r="N24" s="157">
        <f t="shared" si="8"/>
        <v>0.76482571849731273</v>
      </c>
      <c r="O24" s="155">
        <f t="shared" si="9"/>
        <v>100</v>
      </c>
      <c r="P24" s="250">
        <v>1</v>
      </c>
      <c r="Q24" s="250">
        <v>1000</v>
      </c>
      <c r="R24" s="148">
        <f t="shared" si="12"/>
        <v>76.482571849731272</v>
      </c>
      <c r="S24" s="148">
        <f t="shared" si="13"/>
        <v>7.6482571849731267</v>
      </c>
      <c r="T24" s="148">
        <f t="shared" si="14"/>
        <v>0.76482571849731273</v>
      </c>
      <c r="U24" s="148">
        <f t="shared" si="14"/>
        <v>76.482571849731272</v>
      </c>
      <c r="V24" s="7">
        <f t="shared" si="15"/>
        <v>1000</v>
      </c>
      <c r="W24" s="7">
        <f t="shared" si="15"/>
        <v>1000000</v>
      </c>
      <c r="X24" s="1345">
        <f t="shared" si="16"/>
        <v>764.82571849731278</v>
      </c>
      <c r="Y24" s="1345">
        <f t="shared" si="16"/>
        <v>76482.571849731277</v>
      </c>
    </row>
    <row r="25" spans="1:26" x14ac:dyDescent="0.2">
      <c r="A25" s="213" t="str">
        <f t="shared" ref="A25:C25" si="29">A43</f>
        <v>CERI</v>
      </c>
      <c r="B25" s="213" t="str">
        <f t="shared" si="29"/>
        <v>CPB25989</v>
      </c>
      <c r="C25" s="217">
        <f t="shared" si="29"/>
        <v>999.09</v>
      </c>
      <c r="D25" s="217">
        <f t="shared" ref="D25:E25" si="30">F43</f>
        <v>0.38</v>
      </c>
      <c r="E25" s="217">
        <f t="shared" si="30"/>
        <v>999.84</v>
      </c>
      <c r="F25" s="219">
        <f t="shared" si="0"/>
        <v>0.38</v>
      </c>
      <c r="G25" s="1275">
        <f t="shared" si="1"/>
        <v>0.8</v>
      </c>
      <c r="H25" s="1275">
        <f t="shared" si="2"/>
        <v>1.1000000000000001</v>
      </c>
      <c r="I25" s="155">
        <f t="shared" si="3"/>
        <v>0</v>
      </c>
      <c r="J25" s="155">
        <f t="shared" si="4"/>
        <v>0</v>
      </c>
      <c r="K25" s="155">
        <f t="shared" si="5"/>
        <v>0.76</v>
      </c>
      <c r="L25" s="155">
        <f t="shared" si="6"/>
        <v>10</v>
      </c>
      <c r="M25" s="156">
        <f t="shared" si="7"/>
        <v>7.6069222992923555E-2</v>
      </c>
      <c r="N25" s="157">
        <f t="shared" si="8"/>
        <v>7.606922299292356E-3</v>
      </c>
      <c r="O25" s="155">
        <f t="shared" si="9"/>
        <v>100</v>
      </c>
      <c r="P25" s="250">
        <v>1</v>
      </c>
      <c r="Q25" s="250">
        <v>1000</v>
      </c>
      <c r="R25" s="148">
        <f t="shared" si="12"/>
        <v>0.76069222992923557</v>
      </c>
      <c r="S25" s="148">
        <f t="shared" si="13"/>
        <v>7.6069222992923555E-2</v>
      </c>
      <c r="T25" s="148">
        <f t="shared" si="14"/>
        <v>7.606922299292356E-3</v>
      </c>
      <c r="U25" s="148">
        <f t="shared" si="14"/>
        <v>0.76069222992923557</v>
      </c>
      <c r="V25" s="7">
        <f t="shared" si="15"/>
        <v>1000</v>
      </c>
      <c r="W25" s="7">
        <f t="shared" si="15"/>
        <v>1000000</v>
      </c>
      <c r="X25" s="1345">
        <f t="shared" si="16"/>
        <v>7.6069222992923562</v>
      </c>
      <c r="Y25" s="1345">
        <f t="shared" si="16"/>
        <v>760.69222992923562</v>
      </c>
    </row>
    <row r="26" spans="1:26" ht="14.25" x14ac:dyDescent="0.2">
      <c r="H26" s="9"/>
      <c r="U26" s="152"/>
      <c r="V26" s="21"/>
      <c r="W26" s="21"/>
      <c r="X26" s="21"/>
      <c r="Y26" s="21"/>
      <c r="Z26" s="21"/>
    </row>
    <row r="27" spans="1:26" s="1362" customFormat="1" ht="14.25" x14ac:dyDescent="0.2">
      <c r="H27" s="1363"/>
      <c r="I27" s="1364"/>
      <c r="J27" s="1364"/>
      <c r="K27" s="1364"/>
      <c r="L27" s="1364"/>
      <c r="M27" s="1364"/>
      <c r="N27" s="1364"/>
      <c r="O27" s="1364"/>
      <c r="R27" s="1364"/>
      <c r="S27" s="1364"/>
      <c r="T27" s="1364"/>
      <c r="U27" s="1361"/>
    </row>
    <row r="28" spans="1:26" s="1362" customFormat="1" ht="14.25" x14ac:dyDescent="0.2">
      <c r="H28" s="1363"/>
      <c r="I28" s="1364"/>
      <c r="J28" s="1364"/>
      <c r="K28" s="1364"/>
      <c r="L28" s="1364"/>
      <c r="M28" s="1364"/>
      <c r="N28" s="1364"/>
      <c r="O28" s="1364"/>
      <c r="R28" s="1364"/>
      <c r="S28" s="1364"/>
      <c r="T28" s="1364"/>
      <c r="U28" s="1364"/>
    </row>
    <row r="29" spans="1:26" s="1362" customFormat="1" ht="14.25" x14ac:dyDescent="0.2">
      <c r="H29" s="1363"/>
      <c r="I29" s="1364"/>
      <c r="J29" s="1364"/>
      <c r="K29" s="1364"/>
      <c r="L29" s="1364"/>
      <c r="M29" s="1364"/>
      <c r="N29" s="1364"/>
      <c r="O29" s="1364"/>
      <c r="R29" s="1364"/>
      <c r="S29" s="1364"/>
      <c r="T29" s="1364"/>
      <c r="U29" s="1364"/>
    </row>
    <row r="30" spans="1:26" s="1362" customFormat="1" ht="14.25" x14ac:dyDescent="0.2">
      <c r="H30" s="1363"/>
      <c r="I30" s="1364"/>
      <c r="J30" s="1364"/>
      <c r="K30" s="1364"/>
      <c r="L30" s="1364"/>
      <c r="M30" s="1364"/>
      <c r="N30" s="1364"/>
      <c r="O30" s="1364"/>
      <c r="R30" s="1364"/>
      <c r="S30" s="1364"/>
      <c r="T30" s="1364"/>
      <c r="U30" s="1364"/>
    </row>
    <row r="31" spans="1:26" s="1362" customFormat="1" ht="14.25" x14ac:dyDescent="0.2">
      <c r="H31" s="1363"/>
      <c r="I31" s="1364"/>
      <c r="J31" s="1364"/>
      <c r="K31" s="1364"/>
      <c r="L31" s="1364"/>
      <c r="M31" s="1364"/>
      <c r="N31" s="1364"/>
      <c r="O31" s="1364"/>
      <c r="R31" s="1364"/>
      <c r="S31" s="1364"/>
      <c r="T31" s="1364"/>
      <c r="U31" s="1364"/>
    </row>
    <row r="32" spans="1:26" s="1362" customFormat="1" ht="14.25" x14ac:dyDescent="0.2">
      <c r="H32" s="1363"/>
      <c r="I32" s="1364"/>
      <c r="J32" s="1364"/>
      <c r="K32" s="1364"/>
      <c r="L32" s="1364"/>
      <c r="M32" s="1364"/>
      <c r="N32" s="1364"/>
      <c r="O32" s="1364"/>
      <c r="R32" s="1364"/>
      <c r="S32" s="1364"/>
      <c r="T32" s="1364"/>
      <c r="U32" s="1364"/>
    </row>
    <row r="33" spans="1:26" ht="14.25" x14ac:dyDescent="0.2">
      <c r="H33" s="9"/>
      <c r="U33" s="152"/>
      <c r="V33" s="21"/>
      <c r="W33" s="21"/>
      <c r="X33" s="21"/>
      <c r="Y33" s="21"/>
      <c r="Z33" s="21"/>
    </row>
    <row r="34" spans="1:26" ht="28.5" x14ac:dyDescent="0.2">
      <c r="A34" s="1355" t="s">
        <v>1039</v>
      </c>
      <c r="B34" s="1355" t="s">
        <v>1040</v>
      </c>
      <c r="C34" s="575" t="s">
        <v>1462</v>
      </c>
      <c r="D34" s="576" t="s">
        <v>1463</v>
      </c>
      <c r="E34" s="576" t="s">
        <v>1464</v>
      </c>
      <c r="F34" s="581" t="s">
        <v>1465</v>
      </c>
      <c r="G34" s="575" t="s">
        <v>1466</v>
      </c>
      <c r="H34" s="576" t="s">
        <v>1467</v>
      </c>
      <c r="I34" s="581" t="s">
        <v>1468</v>
      </c>
      <c r="J34" s="575" t="s">
        <v>1469</v>
      </c>
      <c r="K34" s="1356" t="s">
        <v>1049</v>
      </c>
      <c r="L34" s="581" t="s">
        <v>1470</v>
      </c>
      <c r="U34" s="152"/>
      <c r="V34" s="21"/>
      <c r="W34" s="21"/>
      <c r="X34" s="21"/>
      <c r="Y34" s="21"/>
      <c r="Z34" s="21"/>
    </row>
    <row r="35" spans="1:26" ht="30" x14ac:dyDescent="0.2">
      <c r="A35" s="1357" t="s">
        <v>572</v>
      </c>
      <c r="B35" s="1357" t="s">
        <v>1471</v>
      </c>
      <c r="C35" s="1365">
        <v>995.1</v>
      </c>
      <c r="D35" s="1366">
        <v>0.28000000000000003</v>
      </c>
      <c r="E35" s="1366">
        <v>0.26</v>
      </c>
      <c r="F35" s="1367">
        <v>0.38</v>
      </c>
      <c r="G35" s="1365">
        <v>993.81</v>
      </c>
      <c r="H35" s="1366">
        <v>0.99</v>
      </c>
      <c r="I35" s="1367">
        <v>2</v>
      </c>
      <c r="J35" s="1365">
        <v>-1.3</v>
      </c>
      <c r="K35" s="1366">
        <v>2</v>
      </c>
      <c r="L35" s="1367">
        <v>1.3</v>
      </c>
      <c r="U35" s="152"/>
      <c r="V35" s="21"/>
      <c r="W35" s="21"/>
      <c r="X35" s="21"/>
      <c r="Y35" s="21"/>
      <c r="Z35" s="21"/>
    </row>
    <row r="36" spans="1:26" ht="30" x14ac:dyDescent="0.2">
      <c r="A36" s="1358" t="s">
        <v>1472</v>
      </c>
      <c r="B36" s="1359" t="s">
        <v>1473</v>
      </c>
      <c r="C36" s="1368">
        <v>998.52</v>
      </c>
      <c r="D36" s="1369">
        <v>0.28000000000000003</v>
      </c>
      <c r="E36" s="1369">
        <v>0.26</v>
      </c>
      <c r="F36" s="1370">
        <v>0.38</v>
      </c>
      <c r="G36" s="1368">
        <v>1000.6</v>
      </c>
      <c r="H36" s="1369">
        <v>4.5</v>
      </c>
      <c r="I36" s="1370">
        <v>2</v>
      </c>
      <c r="J36" s="1368">
        <v>2.1</v>
      </c>
      <c r="K36" s="1369">
        <v>2</v>
      </c>
      <c r="L36" s="1370">
        <v>4.5999999999999996</v>
      </c>
      <c r="U36" s="152"/>
      <c r="V36" s="21"/>
      <c r="W36" s="21"/>
      <c r="X36" s="21"/>
      <c r="Y36" s="21"/>
      <c r="Z36" s="21"/>
    </row>
    <row r="37" spans="1:26" ht="30" x14ac:dyDescent="0.2">
      <c r="A37" s="1359" t="s">
        <v>324</v>
      </c>
      <c r="B37" s="1359" t="s">
        <v>1474</v>
      </c>
      <c r="C37" s="1368">
        <v>999.09</v>
      </c>
      <c r="D37" s="1369">
        <v>0.28000000000000003</v>
      </c>
      <c r="E37" s="1369">
        <v>0.26</v>
      </c>
      <c r="F37" s="1370">
        <v>0.38</v>
      </c>
      <c r="G37" s="1368">
        <v>1001</v>
      </c>
      <c r="H37" s="1369">
        <v>3.5</v>
      </c>
      <c r="I37" s="1370">
        <v>2</v>
      </c>
      <c r="J37" s="1368">
        <v>1.9</v>
      </c>
      <c r="K37" s="1369">
        <v>2</v>
      </c>
      <c r="L37" s="1370">
        <v>3.6</v>
      </c>
      <c r="U37" s="152"/>
      <c r="V37" s="21"/>
      <c r="W37" s="21"/>
      <c r="X37" s="21"/>
      <c r="Y37" s="21"/>
      <c r="Z37" s="21"/>
    </row>
    <row r="38" spans="1:26" ht="30" x14ac:dyDescent="0.2">
      <c r="A38" s="1359" t="s">
        <v>609</v>
      </c>
      <c r="B38" s="1359" t="s">
        <v>1475</v>
      </c>
      <c r="C38" s="1368">
        <v>1000.38</v>
      </c>
      <c r="D38" s="1369">
        <v>0.28000000000000003</v>
      </c>
      <c r="E38" s="1369">
        <v>0.26</v>
      </c>
      <c r="F38" s="1370">
        <v>0.38</v>
      </c>
      <c r="G38" s="1368">
        <v>1001.1</v>
      </c>
      <c r="H38" s="1369">
        <v>1</v>
      </c>
      <c r="I38" s="1370">
        <v>2</v>
      </c>
      <c r="J38" s="1368">
        <v>0.7</v>
      </c>
      <c r="K38" s="1369">
        <v>2</v>
      </c>
      <c r="L38" s="1370">
        <v>1.3</v>
      </c>
      <c r="U38" s="152"/>
      <c r="V38" s="21"/>
      <c r="W38" s="21"/>
      <c r="X38" s="21"/>
      <c r="Y38" s="21"/>
      <c r="Z38" s="21"/>
    </row>
    <row r="39" spans="1:26" ht="30" x14ac:dyDescent="0.2">
      <c r="A39" s="1359" t="s">
        <v>563</v>
      </c>
      <c r="B39" s="1359" t="s">
        <v>1476</v>
      </c>
      <c r="C39" s="1368">
        <v>999.41</v>
      </c>
      <c r="D39" s="1369">
        <v>0.28000000000000003</v>
      </c>
      <c r="E39" s="1369">
        <v>0.26</v>
      </c>
      <c r="F39" s="1370">
        <v>0.38</v>
      </c>
      <c r="G39" s="1368">
        <v>1000</v>
      </c>
      <c r="H39" s="1369">
        <v>1.5</v>
      </c>
      <c r="I39" s="1370">
        <v>2</v>
      </c>
      <c r="J39" s="1368">
        <v>0.6</v>
      </c>
      <c r="K39" s="1369">
        <v>2</v>
      </c>
      <c r="L39" s="1370">
        <v>1.7</v>
      </c>
      <c r="U39" s="152"/>
      <c r="V39" s="21"/>
      <c r="W39" s="21"/>
      <c r="X39" s="21"/>
      <c r="Y39" s="21"/>
      <c r="Z39" s="21"/>
    </row>
    <row r="40" spans="1:26" ht="30" x14ac:dyDescent="0.2">
      <c r="A40" s="1359" t="s">
        <v>325</v>
      </c>
      <c r="B40" s="1359" t="s">
        <v>1477</v>
      </c>
      <c r="C40" s="1368">
        <v>996.77</v>
      </c>
      <c r="D40" s="1369">
        <v>0.28000000000000003</v>
      </c>
      <c r="E40" s="1369">
        <v>0.26</v>
      </c>
      <c r="F40" s="1370">
        <v>0.38</v>
      </c>
      <c r="G40" s="1368">
        <v>996.5</v>
      </c>
      <c r="H40" s="1369">
        <v>1.1000000000000001</v>
      </c>
      <c r="I40" s="1370">
        <v>2</v>
      </c>
      <c r="J40" s="1368">
        <v>-0.3</v>
      </c>
      <c r="K40" s="1369">
        <v>2</v>
      </c>
      <c r="L40" s="1370">
        <v>1.3</v>
      </c>
      <c r="X40" s="21"/>
      <c r="Y40" s="21"/>
      <c r="Z40" s="21"/>
    </row>
    <row r="41" spans="1:26" ht="30" x14ac:dyDescent="0.2">
      <c r="A41" s="1359" t="s">
        <v>323</v>
      </c>
      <c r="B41" s="1359" t="s">
        <v>1478</v>
      </c>
      <c r="C41" s="1368">
        <v>994.27</v>
      </c>
      <c r="D41" s="1369">
        <v>0.28000000000000003</v>
      </c>
      <c r="E41" s="1369">
        <v>0.26</v>
      </c>
      <c r="F41" s="1370">
        <v>0.38</v>
      </c>
      <c r="G41" s="1368">
        <v>994.9</v>
      </c>
      <c r="H41" s="1369">
        <v>2</v>
      </c>
      <c r="I41" s="1370">
        <v>2</v>
      </c>
      <c r="J41" s="1368">
        <v>0.6</v>
      </c>
      <c r="K41" s="1369">
        <v>2</v>
      </c>
      <c r="L41" s="1370">
        <v>2.1</v>
      </c>
      <c r="X41" s="21"/>
      <c r="Y41" s="21"/>
      <c r="Z41" s="21"/>
    </row>
    <row r="42" spans="1:26" ht="30" x14ac:dyDescent="0.2">
      <c r="A42" s="1359" t="s">
        <v>1479</v>
      </c>
      <c r="B42" s="1359" t="s">
        <v>1480</v>
      </c>
      <c r="C42" s="1368">
        <v>998.59</v>
      </c>
      <c r="D42" s="1369">
        <v>0.28000000000000003</v>
      </c>
      <c r="E42" s="1369">
        <v>0.26</v>
      </c>
      <c r="F42" s="1370">
        <v>0.38</v>
      </c>
      <c r="G42" s="1368">
        <v>960.41</v>
      </c>
      <c r="H42" s="1369">
        <v>1.5</v>
      </c>
      <c r="I42" s="1370">
        <v>2</v>
      </c>
      <c r="J42" s="1368">
        <v>-38.200000000000003</v>
      </c>
      <c r="K42" s="1369">
        <v>2</v>
      </c>
      <c r="L42" s="1370">
        <v>1.7</v>
      </c>
      <c r="X42" s="21"/>
      <c r="Y42" s="21"/>
      <c r="Z42" s="21"/>
    </row>
    <row r="43" spans="1:26" ht="30" x14ac:dyDescent="0.2">
      <c r="A43" s="1360" t="s">
        <v>322</v>
      </c>
      <c r="B43" s="1360" t="s">
        <v>1474</v>
      </c>
      <c r="C43" s="1371">
        <v>999.09</v>
      </c>
      <c r="D43" s="1372">
        <v>0.28000000000000003</v>
      </c>
      <c r="E43" s="1372">
        <v>0.26</v>
      </c>
      <c r="F43" s="1373">
        <v>0.38</v>
      </c>
      <c r="G43" s="1371">
        <v>999.84</v>
      </c>
      <c r="H43" s="1372">
        <v>0.76</v>
      </c>
      <c r="I43" s="1373">
        <v>2</v>
      </c>
      <c r="J43" s="1371">
        <v>0.8</v>
      </c>
      <c r="K43" s="1372">
        <v>2</v>
      </c>
      <c r="L43" s="1373">
        <v>1.1000000000000001</v>
      </c>
      <c r="X43" s="21"/>
      <c r="Y43" s="21"/>
      <c r="Z43" s="21"/>
    </row>
    <row r="44" spans="1:26" ht="14.25" x14ac:dyDescent="0.2">
      <c r="H44" s="9"/>
      <c r="X44" s="21"/>
      <c r="Y44" s="21"/>
      <c r="Z44" s="21"/>
    </row>
    <row r="45" spans="1:26" ht="14.25" x14ac:dyDescent="0.2">
      <c r="H45" s="9"/>
      <c r="X45" s="21"/>
      <c r="Y45" s="21"/>
      <c r="Z45" s="21"/>
    </row>
    <row r="46" spans="1:26" ht="14.25" x14ac:dyDescent="0.2">
      <c r="H46" s="9"/>
      <c r="X46" s="21"/>
      <c r="Y46" s="21"/>
      <c r="Z46" s="21"/>
    </row>
    <row r="47" spans="1:26" ht="14.25" x14ac:dyDescent="0.2">
      <c r="H47" s="9"/>
      <c r="X47" s="21"/>
      <c r="Y47" s="21"/>
      <c r="Z47" s="21"/>
    </row>
    <row r="48" spans="1:26" ht="14.25" x14ac:dyDescent="0.2">
      <c r="H48" s="9"/>
      <c r="X48" s="21"/>
      <c r="Y48" s="21"/>
      <c r="Z48" s="21"/>
    </row>
    <row r="49" spans="8:26" ht="14.25" x14ac:dyDescent="0.2">
      <c r="H49" s="9"/>
      <c r="X49" s="21"/>
      <c r="Y49" s="21"/>
      <c r="Z49" s="21"/>
    </row>
    <row r="50" spans="8:26" ht="14.25" x14ac:dyDescent="0.2">
      <c r="H50" s="9"/>
      <c r="X50" s="21"/>
      <c r="Y50" s="21"/>
      <c r="Z50" s="21"/>
    </row>
    <row r="51" spans="8:26" ht="14.25" x14ac:dyDescent="0.2">
      <c r="H51" s="9"/>
      <c r="X51" s="21"/>
      <c r="Y51" s="21"/>
      <c r="Z51" s="21"/>
    </row>
    <row r="52" spans="8:26" ht="14.25" x14ac:dyDescent="0.2">
      <c r="H52" s="9"/>
      <c r="X52" s="21"/>
      <c r="Y52" s="21"/>
      <c r="Z52" s="21"/>
    </row>
    <row r="53" spans="8:26" ht="14.25" x14ac:dyDescent="0.2">
      <c r="H53" s="9"/>
      <c r="X53" s="21"/>
      <c r="Y53" s="21"/>
      <c r="Z53" s="21"/>
    </row>
    <row r="54" spans="8:26" ht="14.25" x14ac:dyDescent="0.2">
      <c r="H54" s="9"/>
      <c r="X54" s="21"/>
      <c r="Y54" s="21"/>
      <c r="Z54" s="21"/>
    </row>
    <row r="55" spans="8:26" ht="14.25" x14ac:dyDescent="0.2">
      <c r="H55" s="9"/>
      <c r="U55" s="152"/>
      <c r="V55" s="21"/>
      <c r="W55" s="21"/>
      <c r="X55" s="21"/>
      <c r="Y55" s="21"/>
      <c r="Z55" s="21"/>
    </row>
    <row r="56" spans="8:26" ht="14.25" x14ac:dyDescent="0.2">
      <c r="H56" s="9"/>
      <c r="U56" s="152"/>
      <c r="V56" s="21"/>
      <c r="W56" s="21"/>
      <c r="X56" s="21"/>
      <c r="Y56" s="21"/>
      <c r="Z56" s="21"/>
    </row>
    <row r="57" spans="8:26" ht="14.25" x14ac:dyDescent="0.2">
      <c r="H57" s="9"/>
      <c r="U57" s="152"/>
      <c r="V57" s="21"/>
      <c r="W57" s="21"/>
      <c r="X57" s="21"/>
      <c r="Y57" s="21"/>
      <c r="Z57" s="21"/>
    </row>
    <row r="58" spans="8:26" ht="14.25" x14ac:dyDescent="0.2">
      <c r="H58" s="9"/>
      <c r="U58" s="152"/>
      <c r="V58" s="21"/>
      <c r="W58" s="21"/>
      <c r="X58" s="21"/>
      <c r="Y58" s="21"/>
      <c r="Z58" s="21"/>
    </row>
    <row r="59" spans="8:26" ht="14.25" x14ac:dyDescent="0.2">
      <c r="H59" s="9"/>
      <c r="U59" s="152"/>
      <c r="V59" s="21"/>
      <c r="W59" s="21"/>
      <c r="X59" s="21"/>
      <c r="Y59" s="21"/>
      <c r="Z59" s="21"/>
    </row>
    <row r="60" spans="8:26" ht="14.25" x14ac:dyDescent="0.2">
      <c r="H60" s="9"/>
      <c r="U60" s="152"/>
      <c r="V60" s="21"/>
      <c r="W60" s="21"/>
      <c r="X60" s="21"/>
      <c r="Y60" s="21"/>
      <c r="Z60" s="21"/>
    </row>
    <row r="61" spans="8:26" ht="14.25" x14ac:dyDescent="0.2">
      <c r="H61" s="9"/>
      <c r="U61" s="152"/>
      <c r="V61" s="21"/>
      <c r="W61" s="21"/>
      <c r="X61" s="21"/>
      <c r="Y61" s="21"/>
      <c r="Z61" s="21"/>
    </row>
    <row r="62" spans="8:26" ht="14.25" x14ac:dyDescent="0.2">
      <c r="H62" s="9"/>
      <c r="U62" s="152"/>
      <c r="V62" s="21"/>
      <c r="W62" s="21"/>
      <c r="X62" s="21"/>
      <c r="Y62" s="21"/>
      <c r="Z62" s="21"/>
    </row>
    <row r="63" spans="8:26" ht="14.25" x14ac:dyDescent="0.2">
      <c r="H63" s="9"/>
      <c r="U63" s="152"/>
      <c r="V63" s="21"/>
      <c r="W63" s="21"/>
      <c r="X63" s="21"/>
      <c r="Y63" s="21"/>
      <c r="Z63" s="21"/>
    </row>
    <row r="64" spans="8:26" ht="14.25" x14ac:dyDescent="0.2">
      <c r="H64" s="9"/>
      <c r="U64" s="152"/>
      <c r="V64" s="21"/>
      <c r="W64" s="21"/>
      <c r="X64" s="21"/>
      <c r="Y64" s="21"/>
      <c r="Z64" s="21"/>
    </row>
    <row r="65" spans="8:26" ht="14.25" x14ac:dyDescent="0.2">
      <c r="H65" s="9"/>
      <c r="U65" s="152"/>
      <c r="V65" s="21"/>
      <c r="W65" s="21"/>
      <c r="X65" s="21"/>
      <c r="Y65" s="21"/>
      <c r="Z65" s="21"/>
    </row>
    <row r="66" spans="8:26" ht="14.25" x14ac:dyDescent="0.2">
      <c r="H66" s="9"/>
      <c r="U66" s="152"/>
      <c r="V66" s="21"/>
      <c r="W66" s="21"/>
      <c r="X66" s="21"/>
      <c r="Y66" s="21"/>
      <c r="Z66" s="21"/>
    </row>
    <row r="67" spans="8:26" ht="14.25" x14ac:dyDescent="0.2">
      <c r="H67" s="9"/>
      <c r="U67" s="152"/>
      <c r="V67" s="21"/>
      <c r="W67" s="21"/>
      <c r="X67" s="21"/>
      <c r="Y67" s="21"/>
      <c r="Z67" s="21"/>
    </row>
    <row r="68" spans="8:26" ht="14.25" x14ac:dyDescent="0.2">
      <c r="H68" s="9"/>
      <c r="U68" s="152"/>
      <c r="V68" s="21"/>
      <c r="W68" s="21"/>
      <c r="X68" s="21"/>
      <c r="Y68" s="21"/>
      <c r="Z68" s="21"/>
    </row>
    <row r="69" spans="8:26" ht="14.25" x14ac:dyDescent="0.2">
      <c r="H69" s="9"/>
      <c r="U69" s="152"/>
      <c r="V69" s="21"/>
      <c r="W69" s="21"/>
      <c r="X69" s="21"/>
      <c r="Y69" s="21"/>
      <c r="Z69" s="21"/>
    </row>
    <row r="70" spans="8:26" ht="14.25" x14ac:dyDescent="0.2">
      <c r="H70" s="9"/>
      <c r="U70" s="152"/>
      <c r="V70" s="21"/>
      <c r="W70" s="21"/>
      <c r="X70" s="21"/>
      <c r="Y70" s="21"/>
      <c r="Z70" s="21"/>
    </row>
    <row r="71" spans="8:26" ht="14.25" x14ac:dyDescent="0.2">
      <c r="H71" s="9"/>
      <c r="U71" s="152"/>
      <c r="V71" s="21"/>
      <c r="W71" s="21"/>
      <c r="X71" s="21"/>
      <c r="Y71" s="21"/>
      <c r="Z71" s="21"/>
    </row>
    <row r="72" spans="8:26" ht="14.25" x14ac:dyDescent="0.2">
      <c r="H72" s="9"/>
      <c r="U72" s="152"/>
      <c r="V72" s="21"/>
      <c r="W72" s="21"/>
      <c r="X72" s="21"/>
      <c r="Y72" s="21"/>
      <c r="Z72" s="21"/>
    </row>
    <row r="73" spans="8:26" ht="14.25" x14ac:dyDescent="0.2">
      <c r="U73" s="152"/>
      <c r="V73" s="21"/>
      <c r="W73" s="21"/>
      <c r="X73" s="21"/>
      <c r="Y73" s="21"/>
      <c r="Z73" s="21"/>
    </row>
    <row r="74" spans="8:26" ht="14.25" x14ac:dyDescent="0.2">
      <c r="H74" s="9"/>
      <c r="U74" s="152"/>
      <c r="V74" s="21"/>
      <c r="W74" s="21"/>
      <c r="X74" s="21"/>
      <c r="Y74" s="21"/>
      <c r="Z74" s="21"/>
    </row>
    <row r="75" spans="8:26" ht="14.25" x14ac:dyDescent="0.2">
      <c r="H75" s="9"/>
      <c r="U75" s="152"/>
      <c r="V75" s="21"/>
      <c r="W75" s="21"/>
      <c r="X75" s="21"/>
      <c r="Y75" s="21"/>
      <c r="Z75" s="21"/>
    </row>
    <row r="76" spans="8:26" ht="14.25" x14ac:dyDescent="0.2">
      <c r="H76" s="9"/>
      <c r="U76" s="152"/>
      <c r="V76" s="21"/>
      <c r="W76" s="21"/>
      <c r="X76" s="21"/>
      <c r="Y76" s="21"/>
      <c r="Z76" s="21"/>
    </row>
    <row r="77" spans="8:26" ht="14.25" x14ac:dyDescent="0.2">
      <c r="H77" s="9"/>
      <c r="U77" s="152"/>
      <c r="V77" s="21"/>
      <c r="W77" s="21"/>
      <c r="X77" s="21"/>
      <c r="Y77" s="21"/>
      <c r="Z77" s="21"/>
    </row>
    <row r="78" spans="8:26" ht="14.25" x14ac:dyDescent="0.2">
      <c r="H78" s="9"/>
      <c r="U78" s="152"/>
      <c r="V78" s="21"/>
      <c r="W78" s="21"/>
      <c r="X78" s="21"/>
      <c r="Y78" s="21"/>
      <c r="Z78" s="21"/>
    </row>
    <row r="79" spans="8:26" ht="14.25" x14ac:dyDescent="0.2">
      <c r="H79" s="9"/>
      <c r="U79" s="152"/>
      <c r="V79" s="21"/>
      <c r="W79" s="21"/>
      <c r="X79" s="21"/>
      <c r="Y79" s="21"/>
      <c r="Z79" s="21"/>
    </row>
    <row r="80" spans="8:26" ht="14.25" x14ac:dyDescent="0.2">
      <c r="U80" s="152"/>
      <c r="V80" s="21"/>
      <c r="W80" s="21"/>
      <c r="X80" s="21"/>
      <c r="Y80" s="21"/>
      <c r="Z80" s="21"/>
    </row>
    <row r="81" spans="1:26" ht="14.25" x14ac:dyDescent="0.2">
      <c r="U81" s="152"/>
      <c r="V81" s="21"/>
      <c r="W81" s="21"/>
      <c r="X81" s="21"/>
      <c r="Y81" s="21"/>
      <c r="Z81" s="21"/>
    </row>
    <row r="82" spans="1:26" ht="14.25" x14ac:dyDescent="0.2">
      <c r="U82" s="152"/>
      <c r="V82" s="21"/>
      <c r="W82" s="21"/>
      <c r="X82" s="21"/>
      <c r="Y82" s="21"/>
      <c r="Z82" s="21"/>
    </row>
    <row r="83" spans="1:26" ht="14.25" x14ac:dyDescent="0.2">
      <c r="U83" s="152"/>
      <c r="V83" s="21"/>
      <c r="W83" s="21"/>
      <c r="X83" s="21"/>
      <c r="Y83" s="21"/>
      <c r="Z83" s="21"/>
    </row>
    <row r="84" spans="1:26" ht="14.25" x14ac:dyDescent="0.2">
      <c r="U84" s="152"/>
      <c r="V84" s="21"/>
      <c r="W84" s="21"/>
      <c r="X84" s="21"/>
      <c r="Y84" s="21"/>
      <c r="Z84" s="21"/>
    </row>
    <row r="85" spans="1:26" ht="14.25" x14ac:dyDescent="0.2">
      <c r="U85" s="152"/>
      <c r="V85" s="21"/>
      <c r="W85" s="21"/>
      <c r="X85" s="21"/>
      <c r="Y85" s="21"/>
      <c r="Z85" s="21"/>
    </row>
    <row r="86" spans="1:26" ht="14.25" x14ac:dyDescent="0.2">
      <c r="A86" s="23"/>
      <c r="B86" s="23"/>
      <c r="C86" s="23"/>
      <c r="D86" s="23"/>
      <c r="T86" s="151"/>
      <c r="U86" s="152"/>
      <c r="V86" s="21"/>
      <c r="W86" s="21"/>
      <c r="X86" s="21"/>
      <c r="Y86" s="21"/>
      <c r="Z86" s="21"/>
    </row>
    <row r="87" spans="1:26" ht="14.25" x14ac:dyDescent="0.2">
      <c r="T87" s="151"/>
      <c r="U87" s="152"/>
      <c r="V87" s="21"/>
      <c r="W87" s="21"/>
      <c r="X87" s="21"/>
      <c r="Y87" s="21"/>
      <c r="Z87" s="21"/>
    </row>
    <row r="88" spans="1:26" ht="14.25" x14ac:dyDescent="0.2">
      <c r="T88" s="151"/>
      <c r="U88" s="152"/>
      <c r="V88" s="21"/>
      <c r="W88" s="21"/>
      <c r="X88" s="21"/>
      <c r="Y88" s="21"/>
      <c r="Z88" s="21"/>
    </row>
    <row r="89" spans="1:26" ht="14.25" x14ac:dyDescent="0.2">
      <c r="T89" s="151"/>
      <c r="U89" s="152"/>
      <c r="V89" s="21"/>
      <c r="W89" s="21"/>
      <c r="X89" s="21"/>
      <c r="Y89" s="21"/>
      <c r="Z89" s="21"/>
    </row>
    <row r="90" spans="1:26" ht="14.25" x14ac:dyDescent="0.2">
      <c r="T90" s="151"/>
      <c r="U90" s="152"/>
      <c r="V90" s="21"/>
      <c r="W90" s="21"/>
      <c r="X90" s="21"/>
      <c r="Y90" s="21"/>
      <c r="Z90" s="21"/>
    </row>
    <row r="91" spans="1:26" ht="14.25" x14ac:dyDescent="0.2">
      <c r="T91" s="151"/>
      <c r="U91" s="152"/>
      <c r="V91" s="21"/>
      <c r="W91" s="21"/>
      <c r="X91" s="21"/>
      <c r="Y91" s="21"/>
      <c r="Z91" s="21"/>
    </row>
    <row r="92" spans="1:26" ht="14.25" x14ac:dyDescent="0.2">
      <c r="T92" s="151"/>
      <c r="U92" s="152"/>
      <c r="V92" s="21"/>
      <c r="W92" s="21"/>
      <c r="X92" s="21"/>
      <c r="Y92" s="21"/>
      <c r="Z92" s="21"/>
    </row>
    <row r="93" spans="1:26" ht="14.25" x14ac:dyDescent="0.2">
      <c r="T93" s="151"/>
      <c r="U93" s="152"/>
      <c r="V93" s="21"/>
      <c r="W93" s="21"/>
      <c r="X93" s="21"/>
      <c r="Y93" s="21"/>
      <c r="Z93" s="21"/>
    </row>
    <row r="94" spans="1:26" ht="14.25" x14ac:dyDescent="0.2">
      <c r="T94" s="151"/>
      <c r="U94" s="152"/>
      <c r="V94" s="21"/>
      <c r="W94" s="21"/>
      <c r="X94" s="21"/>
      <c r="Y94" s="21"/>
      <c r="Z94" s="21"/>
    </row>
    <row r="95" spans="1:26" ht="14.25" x14ac:dyDescent="0.2">
      <c r="T95" s="151"/>
      <c r="U95" s="152"/>
      <c r="V95" s="21"/>
      <c r="W95" s="21"/>
      <c r="X95" s="21"/>
      <c r="Y95" s="21"/>
      <c r="Z95" s="21"/>
    </row>
    <row r="96" spans="1:26" ht="14.25" x14ac:dyDescent="0.2">
      <c r="T96" s="151"/>
      <c r="U96" s="152"/>
      <c r="V96" s="21"/>
      <c r="W96" s="21"/>
      <c r="X96" s="21"/>
      <c r="Y96" s="21"/>
      <c r="Z96" s="21"/>
    </row>
    <row r="97" spans="1:26" ht="14.25" x14ac:dyDescent="0.2">
      <c r="T97" s="151"/>
      <c r="U97" s="152"/>
      <c r="V97" s="21"/>
      <c r="W97" s="21"/>
      <c r="X97" s="21"/>
      <c r="Y97" s="21"/>
      <c r="Z97" s="21"/>
    </row>
    <row r="98" spans="1:26" ht="14.25" x14ac:dyDescent="0.2">
      <c r="T98" s="151"/>
      <c r="U98" s="152"/>
      <c r="V98" s="21"/>
      <c r="W98" s="21"/>
      <c r="X98" s="21"/>
      <c r="Y98" s="21"/>
      <c r="Z98" s="21"/>
    </row>
    <row r="99" spans="1:26" ht="14.25" x14ac:dyDescent="0.2">
      <c r="A99" s="23"/>
      <c r="B99" s="23"/>
      <c r="C99" s="23"/>
      <c r="D99" s="23"/>
      <c r="T99" s="151"/>
      <c r="U99" s="152"/>
      <c r="V99" s="21"/>
      <c r="W99" s="21"/>
      <c r="X99" s="21"/>
      <c r="Y99" s="21"/>
      <c r="Z99" s="21"/>
    </row>
    <row r="100" spans="1:26" ht="14.25" x14ac:dyDescent="0.2">
      <c r="A100" s="23"/>
      <c r="B100" s="23"/>
      <c r="C100" s="23"/>
      <c r="D100" s="23"/>
      <c r="T100" s="151"/>
      <c r="U100" s="152"/>
      <c r="V100" s="21"/>
      <c r="W100" s="21"/>
      <c r="X100" s="21"/>
      <c r="Y100" s="21"/>
      <c r="Z100" s="21"/>
    </row>
    <row r="101" spans="1:26" ht="14.25" x14ac:dyDescent="0.2">
      <c r="A101" s="23"/>
      <c r="B101" s="23"/>
      <c r="C101" s="23"/>
      <c r="D101" s="23"/>
      <c r="T101" s="151"/>
      <c r="U101" s="152"/>
      <c r="V101" s="21"/>
      <c r="W101" s="21"/>
      <c r="X101" s="21"/>
      <c r="Y101" s="21"/>
      <c r="Z101" s="21"/>
    </row>
    <row r="102" spans="1:26" ht="14.25" x14ac:dyDescent="0.2">
      <c r="A102" s="23"/>
      <c r="B102" s="23"/>
      <c r="C102" s="23"/>
      <c r="D102" s="23"/>
      <c r="T102" s="151"/>
      <c r="U102" s="152"/>
      <c r="V102" s="21"/>
      <c r="W102" s="21"/>
      <c r="X102" s="21"/>
      <c r="Y102" s="21"/>
      <c r="Z102" s="21"/>
    </row>
    <row r="103" spans="1:26" ht="14.25" x14ac:dyDescent="0.2">
      <c r="A103" s="23"/>
      <c r="B103" s="23"/>
      <c r="C103" s="23"/>
      <c r="D103" s="23"/>
      <c r="T103" s="151"/>
      <c r="U103" s="152"/>
      <c r="V103" s="21"/>
      <c r="W103" s="21"/>
      <c r="X103" s="21"/>
      <c r="Y103" s="21"/>
      <c r="Z103" s="21"/>
    </row>
    <row r="104" spans="1:26" ht="14.25" x14ac:dyDescent="0.2">
      <c r="A104" s="23"/>
      <c r="B104" s="23"/>
      <c r="C104" s="23"/>
      <c r="D104" s="23"/>
      <c r="T104" s="151"/>
      <c r="U104" s="152"/>
      <c r="V104" s="21"/>
      <c r="W104" s="21"/>
      <c r="X104" s="21"/>
      <c r="Y104" s="21"/>
      <c r="Z104" s="21"/>
    </row>
    <row r="105" spans="1:26" ht="14.25" x14ac:dyDescent="0.2">
      <c r="A105" s="23"/>
      <c r="B105" s="23"/>
      <c r="C105" s="23"/>
      <c r="D105" s="23"/>
      <c r="T105" s="151"/>
      <c r="U105" s="152"/>
      <c r="V105" s="21"/>
      <c r="W105" s="21"/>
      <c r="X105" s="21"/>
      <c r="Y105" s="21"/>
      <c r="Z105" s="21"/>
    </row>
    <row r="106" spans="1:26" ht="14.25" x14ac:dyDescent="0.2">
      <c r="A106" s="23"/>
      <c r="B106" s="23"/>
      <c r="C106" s="23"/>
      <c r="D106" s="23"/>
      <c r="T106" s="151"/>
      <c r="U106" s="152"/>
      <c r="V106" s="21"/>
      <c r="W106" s="21"/>
      <c r="X106" s="21"/>
      <c r="Y106" s="21"/>
      <c r="Z106" s="21"/>
    </row>
    <row r="107" spans="1:26" ht="14.25" x14ac:dyDescent="0.2">
      <c r="A107" s="23"/>
      <c r="B107" s="23"/>
      <c r="C107" s="23"/>
      <c r="D107" s="23"/>
      <c r="T107" s="151"/>
      <c r="U107" s="152"/>
      <c r="V107" s="21"/>
      <c r="W107" s="21"/>
      <c r="X107" s="21"/>
      <c r="Y107" s="21"/>
      <c r="Z107" s="21"/>
    </row>
    <row r="108" spans="1:26" ht="14.25" x14ac:dyDescent="0.2">
      <c r="A108" s="23"/>
      <c r="B108" s="23"/>
      <c r="C108" s="23"/>
      <c r="D108" s="23"/>
      <c r="T108" s="151"/>
      <c r="U108" s="152"/>
      <c r="V108" s="21"/>
      <c r="W108" s="21"/>
      <c r="X108" s="21"/>
      <c r="Y108" s="21"/>
      <c r="Z108" s="21"/>
    </row>
    <row r="109" spans="1:26" ht="14.25" x14ac:dyDescent="0.2">
      <c r="A109" s="23"/>
      <c r="B109" s="23"/>
      <c r="C109" s="23"/>
      <c r="D109" s="23"/>
      <c r="T109" s="151"/>
      <c r="U109" s="152"/>
      <c r="V109" s="21"/>
      <c r="W109" s="21"/>
      <c r="X109" s="21"/>
      <c r="Y109" s="21"/>
      <c r="Z109" s="21"/>
    </row>
    <row r="110" spans="1:26" ht="14.25" x14ac:dyDescent="0.2">
      <c r="A110" s="23"/>
      <c r="B110" s="23"/>
      <c r="C110" s="23"/>
      <c r="D110" s="23"/>
      <c r="T110" s="151"/>
      <c r="U110" s="152"/>
      <c r="V110" s="21"/>
      <c r="W110" s="21"/>
      <c r="X110" s="21"/>
      <c r="Y110" s="21"/>
      <c r="Z110" s="21"/>
    </row>
    <row r="111" spans="1:26" ht="14.25" x14ac:dyDescent="0.2">
      <c r="A111" s="23"/>
      <c r="B111" s="23"/>
      <c r="C111" s="23"/>
      <c r="D111" s="23"/>
      <c r="T111" s="151"/>
      <c r="U111" s="152"/>
      <c r="V111" s="21"/>
      <c r="W111" s="21"/>
      <c r="X111" s="21"/>
      <c r="Y111" s="21"/>
      <c r="Z111" s="21"/>
    </row>
    <row r="112" spans="1:26" ht="14.25" x14ac:dyDescent="0.2">
      <c r="A112" s="23"/>
      <c r="B112" s="23"/>
      <c r="C112" s="23"/>
      <c r="D112" s="23"/>
      <c r="T112" s="151"/>
      <c r="U112" s="152"/>
      <c r="V112" s="21"/>
      <c r="W112" s="21"/>
      <c r="X112" s="21"/>
      <c r="Y112" s="21"/>
      <c r="Z112" s="21"/>
    </row>
    <row r="113" spans="1:26" ht="13.5" x14ac:dyDescent="0.2">
      <c r="A113" s="24"/>
      <c r="B113" s="24"/>
      <c r="T113" s="153"/>
      <c r="V113" s="21"/>
      <c r="W113" s="21"/>
      <c r="X113" s="21"/>
      <c r="Y113" s="21"/>
      <c r="Z113" s="21"/>
    </row>
    <row r="127" spans="1:26" ht="16.899999999999999" customHeight="1" x14ac:dyDescent="0.2">
      <c r="A127" s="25"/>
    </row>
    <row r="128" spans="1:26" ht="12" customHeight="1" x14ac:dyDescent="0.2">
      <c r="A128" s="4"/>
    </row>
    <row r="129" spans="1:26" ht="13.15" customHeight="1" x14ac:dyDescent="0.2"/>
    <row r="130" spans="1:26" ht="13.15" customHeight="1" x14ac:dyDescent="0.2"/>
    <row r="131" spans="1:26" ht="13.15" customHeight="1" x14ac:dyDescent="0.2"/>
    <row r="132" spans="1:26" s="149" customFormat="1" ht="13.15" customHeight="1" x14ac:dyDescent="0.2">
      <c r="A132" s="1"/>
      <c r="B132" s="1"/>
      <c r="C132" s="1"/>
      <c r="D132" s="1"/>
      <c r="E132" s="1"/>
      <c r="F132" s="1"/>
      <c r="G132" s="1"/>
      <c r="H132" s="1"/>
      <c r="P132" s="1"/>
      <c r="Q132" s="1"/>
      <c r="T132" s="150"/>
      <c r="U132" s="150"/>
      <c r="V132" s="1"/>
      <c r="W132" s="1"/>
      <c r="X132" s="1"/>
      <c r="Y132" s="1"/>
      <c r="Z132" s="1"/>
    </row>
    <row r="133" spans="1:26" s="149" customFormat="1" ht="13.15" customHeight="1" x14ac:dyDescent="0.2">
      <c r="A133" s="1"/>
      <c r="B133" s="1"/>
      <c r="C133" s="1"/>
      <c r="D133" s="1"/>
      <c r="E133" s="1"/>
      <c r="F133" s="1"/>
      <c r="G133" s="1"/>
      <c r="H133" s="1"/>
      <c r="P133" s="1"/>
      <c r="Q133" s="1"/>
      <c r="T133" s="150"/>
      <c r="U133" s="150"/>
      <c r="V133" s="1"/>
      <c r="W133" s="1"/>
      <c r="X133" s="1"/>
      <c r="Y133" s="1"/>
      <c r="Z133" s="1"/>
    </row>
    <row r="134" spans="1:26" s="149" customFormat="1" ht="13.15" customHeight="1" x14ac:dyDescent="0.2">
      <c r="A134" s="1"/>
      <c r="B134" s="1"/>
      <c r="C134" s="1"/>
      <c r="D134" s="1"/>
      <c r="E134" s="1"/>
      <c r="F134" s="1"/>
      <c r="G134" s="1"/>
      <c r="H134" s="1"/>
      <c r="P134" s="1"/>
      <c r="Q134" s="1"/>
      <c r="T134" s="150"/>
      <c r="U134" s="150"/>
      <c r="V134" s="1"/>
      <c r="W134" s="1"/>
      <c r="X134" s="1"/>
      <c r="Y134" s="1"/>
      <c r="Z134" s="1"/>
    </row>
    <row r="135" spans="1:26" s="149" customFormat="1" ht="12" customHeight="1" x14ac:dyDescent="0.2">
      <c r="A135" s="1"/>
      <c r="B135" s="1"/>
      <c r="C135" s="1"/>
      <c r="D135" s="1"/>
      <c r="E135" s="1"/>
      <c r="F135" s="1"/>
      <c r="G135" s="1"/>
      <c r="H135" s="1"/>
      <c r="P135" s="1"/>
      <c r="Q135" s="1"/>
      <c r="T135" s="150"/>
      <c r="U135" s="150"/>
      <c r="V135" s="1"/>
      <c r="W135" s="1"/>
      <c r="X135" s="1"/>
      <c r="Y135" s="1"/>
      <c r="Z135" s="1"/>
    </row>
    <row r="136" spans="1:26" s="149" customFormat="1" ht="12" customHeight="1" x14ac:dyDescent="0.2">
      <c r="A136" s="1"/>
      <c r="B136" s="1"/>
      <c r="C136" s="1"/>
      <c r="D136" s="1"/>
      <c r="E136" s="1"/>
      <c r="F136" s="1"/>
      <c r="G136" s="1"/>
      <c r="H136" s="1"/>
      <c r="P136" s="1"/>
      <c r="Q136" s="1"/>
      <c r="T136" s="150"/>
      <c r="U136" s="150"/>
      <c r="V136" s="1"/>
      <c r="W136" s="1"/>
      <c r="X136" s="1"/>
      <c r="Y136" s="1"/>
      <c r="Z136" s="1"/>
    </row>
    <row r="137" spans="1:26" s="149" customFormat="1" ht="15" customHeight="1" x14ac:dyDescent="0.2">
      <c r="A137" s="1"/>
      <c r="B137" s="1"/>
      <c r="C137" s="1"/>
      <c r="D137" s="1"/>
      <c r="E137" s="1"/>
      <c r="F137" s="1"/>
      <c r="G137" s="1"/>
      <c r="H137" s="1"/>
      <c r="P137" s="1"/>
      <c r="Q137" s="1"/>
      <c r="T137" s="150"/>
      <c r="U137" s="150"/>
      <c r="V137" s="1"/>
      <c r="W137" s="1"/>
      <c r="X137" s="1"/>
      <c r="Y137" s="1"/>
      <c r="Z137" s="1"/>
    </row>
    <row r="138" spans="1:26" s="149" customFormat="1" ht="15" customHeight="1" x14ac:dyDescent="0.2">
      <c r="A138" s="1"/>
      <c r="B138" s="1"/>
      <c r="C138" s="1"/>
      <c r="D138" s="1"/>
      <c r="E138" s="1"/>
      <c r="F138" s="1"/>
      <c r="G138" s="1"/>
      <c r="H138" s="1"/>
      <c r="P138" s="1"/>
      <c r="Q138" s="1"/>
      <c r="T138" s="150"/>
      <c r="U138" s="150"/>
      <c r="V138" s="1"/>
      <c r="W138" s="1"/>
      <c r="X138" s="1"/>
      <c r="Y138" s="1"/>
      <c r="Z138" s="1"/>
    </row>
  </sheetData>
  <sheetProtection sheet="1" formatCells="0" formatColumns="0" formatRows="0"/>
  <phoneticPr fontId="4"/>
  <pageMargins left="0.7" right="0.7" top="0.75" bottom="0.75" header="0.3" footer="0.3"/>
  <pageSetup paperSize="9" orientation="portrait"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99050-F953-41BD-A5A5-53227F73AAFB}">
  <dimension ref="A1:Y105"/>
  <sheetViews>
    <sheetView topLeftCell="A10" zoomScale="145" zoomScaleNormal="145" workbookViewId="0">
      <selection activeCell="R17" sqref="R17"/>
    </sheetView>
  </sheetViews>
  <sheetFormatPr defaultColWidth="9.33203125" defaultRowHeight="12.75" x14ac:dyDescent="0.2"/>
  <cols>
    <col min="1" max="1" width="13.83203125" style="117" customWidth="1"/>
    <col min="2" max="8" width="10.33203125" style="117" customWidth="1"/>
    <col min="9" max="10" width="9.33203125" style="117"/>
    <col min="11" max="11" width="12.1640625" style="117" customWidth="1"/>
    <col min="12" max="13" width="9.33203125" style="117"/>
    <col min="14" max="15" width="11.33203125" style="117" customWidth="1"/>
    <col min="17" max="17" width="9.33203125" style="117"/>
    <col min="18" max="19" width="12.6640625" style="117" customWidth="1"/>
    <col min="20" max="21" width="10.6640625" style="117" bestFit="1" customWidth="1"/>
    <col min="22" max="22" width="10.1640625" style="117" bestFit="1" customWidth="1"/>
    <col min="23" max="23" width="9.5" style="117" bestFit="1" customWidth="1"/>
    <col min="24" max="25" width="10.6640625" style="117" bestFit="1" customWidth="1"/>
    <col min="26" max="16384" width="9.33203125" style="117"/>
  </cols>
  <sheetData>
    <row r="1" spans="1:25" ht="20.25" x14ac:dyDescent="0.2">
      <c r="A1" s="116" t="s">
        <v>108</v>
      </c>
      <c r="J1" s="98" t="s">
        <v>3</v>
      </c>
      <c r="K1" s="105">
        <v>10</v>
      </c>
      <c r="L1" s="98" t="s">
        <v>129</v>
      </c>
      <c r="M1" s="97"/>
      <c r="N1" s="97"/>
      <c r="O1" s="2" t="s">
        <v>170</v>
      </c>
      <c r="Q1" s="1"/>
      <c r="R1" s="1"/>
    </row>
    <row r="2" spans="1:25" ht="17.25" customHeight="1" x14ac:dyDescent="0.2">
      <c r="A2" s="145" t="s">
        <v>122</v>
      </c>
      <c r="J2" s="98" t="s">
        <v>4</v>
      </c>
      <c r="K2" s="105">
        <v>1</v>
      </c>
      <c r="L2" s="98" t="s">
        <v>129</v>
      </c>
      <c r="M2" s="97"/>
      <c r="N2" s="97"/>
      <c r="O2" s="99" t="s">
        <v>79</v>
      </c>
      <c r="Q2" s="1"/>
      <c r="R2" s="1"/>
    </row>
    <row r="3" spans="1:25" ht="20.25" x14ac:dyDescent="0.2">
      <c r="A3" s="116"/>
      <c r="O3" s="113" t="s">
        <v>311</v>
      </c>
    </row>
    <row r="4" spans="1:25" ht="20.25" x14ac:dyDescent="0.2">
      <c r="A4" s="101" t="s">
        <v>139</v>
      </c>
    </row>
    <row r="5" spans="1:25" s="145" customFormat="1" x14ac:dyDescent="0.2">
      <c r="A5" s="145" t="s">
        <v>128</v>
      </c>
    </row>
    <row r="6" spans="1:25" s="145" customFormat="1" x14ac:dyDescent="0.2">
      <c r="A6" s="145" t="s">
        <v>123</v>
      </c>
    </row>
    <row r="7" spans="1:25" s="145" customFormat="1" x14ac:dyDescent="0.2">
      <c r="A7" s="145" t="s">
        <v>124</v>
      </c>
    </row>
    <row r="8" spans="1:25" s="145" customFormat="1" x14ac:dyDescent="0.2">
      <c r="A8" s="145" t="s">
        <v>125</v>
      </c>
    </row>
    <row r="9" spans="1:25" s="145" customFormat="1" x14ac:dyDescent="0.2">
      <c r="A9" s="145" t="s">
        <v>126</v>
      </c>
    </row>
    <row r="10" spans="1:25" s="145" customFormat="1" x14ac:dyDescent="0.2">
      <c r="A10" s="145" t="s">
        <v>127</v>
      </c>
    </row>
    <row r="11" spans="1:25" s="145" customFormat="1" x14ac:dyDescent="0.2"/>
    <row r="12" spans="1:25" s="145" customFormat="1" x14ac:dyDescent="0.2"/>
    <row r="13" spans="1:25" s="145" customFormat="1" x14ac:dyDescent="0.2"/>
    <row r="14" spans="1:25" s="145" customFormat="1" x14ac:dyDescent="0.2"/>
    <row r="15" spans="1:25" x14ac:dyDescent="0.2">
      <c r="A15" s="117" t="s">
        <v>168</v>
      </c>
    </row>
    <row r="16" spans="1:25" ht="63.75" x14ac:dyDescent="0.2">
      <c r="A16" s="119" t="s">
        <v>0</v>
      </c>
      <c r="B16" s="251" t="s">
        <v>1</v>
      </c>
      <c r="C16" s="251" t="s">
        <v>11</v>
      </c>
      <c r="D16" s="251" t="s">
        <v>13</v>
      </c>
      <c r="E16" s="251" t="s">
        <v>5</v>
      </c>
      <c r="F16" s="251" t="s">
        <v>6</v>
      </c>
      <c r="G16" s="251" t="s">
        <v>7</v>
      </c>
      <c r="H16" s="251" t="s">
        <v>169</v>
      </c>
      <c r="I16" s="104" t="s">
        <v>8</v>
      </c>
      <c r="J16" s="104" t="s">
        <v>9</v>
      </c>
      <c r="K16" s="104" t="s">
        <v>107</v>
      </c>
      <c r="L16" s="104" t="s">
        <v>14</v>
      </c>
      <c r="M16" s="104" t="s">
        <v>12</v>
      </c>
      <c r="N16" s="104" t="s">
        <v>10</v>
      </c>
      <c r="O16" s="104" t="s">
        <v>100</v>
      </c>
      <c r="P16" s="6" t="s">
        <v>105</v>
      </c>
      <c r="Q16" s="6" t="s">
        <v>106</v>
      </c>
      <c r="R16" s="104" t="s">
        <v>70</v>
      </c>
      <c r="S16" s="104" t="s">
        <v>71</v>
      </c>
      <c r="T16" s="147" t="s">
        <v>80</v>
      </c>
      <c r="U16" s="147" t="s">
        <v>81</v>
      </c>
      <c r="V16" s="5" t="s">
        <v>101</v>
      </c>
      <c r="W16" s="5" t="s">
        <v>102</v>
      </c>
      <c r="X16" s="112" t="s">
        <v>103</v>
      </c>
      <c r="Y16" s="112" t="s">
        <v>104</v>
      </c>
    </row>
    <row r="17" spans="1:25" x14ac:dyDescent="0.2">
      <c r="A17" s="120" t="str">
        <f>A51</f>
        <v>BFKH</v>
      </c>
      <c r="B17" s="120"/>
      <c r="C17" s="252">
        <f>C51</f>
        <v>70.62</v>
      </c>
      <c r="D17" s="252">
        <f t="shared" ref="D17:H17" si="0">D51</f>
        <v>0.123</v>
      </c>
      <c r="E17" s="252">
        <f t="shared" si="0"/>
        <v>70.05</v>
      </c>
      <c r="F17" s="252">
        <f t="shared" si="0"/>
        <v>0.24</v>
      </c>
      <c r="G17" s="252">
        <f t="shared" si="0"/>
        <v>-0.56999999999999995</v>
      </c>
      <c r="H17" s="252">
        <f t="shared" si="0"/>
        <v>0.53900000000000003</v>
      </c>
      <c r="I17" s="155"/>
      <c r="J17" s="155"/>
      <c r="K17" s="155"/>
      <c r="L17" s="155">
        <f>$K$1</f>
        <v>10</v>
      </c>
      <c r="M17" s="156">
        <f>M36</f>
        <v>4.5297783315370701</v>
      </c>
      <c r="N17" s="157"/>
      <c r="O17" s="155"/>
      <c r="P17" s="250">
        <v>10</v>
      </c>
      <c r="Q17" s="111">
        <v>100</v>
      </c>
      <c r="R17" s="1354">
        <f>IF(P17&lt;=$L17,$M17*$L17/P17,IF(P17&gt;=$C17, $R51, $R36-(P17-$K$1)/($C17-$K$1)*($R36-$R51)))</f>
        <v>4.5297783315370701</v>
      </c>
      <c r="S17" s="1354">
        <f>IF(Q17&lt;=$L17,$M17*$L17/Q17,IF(Q17&gt;=$C17, $R51, $R36-(Q17-$K$1)/($C17-$K$1)*($R36-$R51)))</f>
        <v>1.7515317016217953</v>
      </c>
      <c r="T17" s="1354">
        <f>P17*R17/100</f>
        <v>0.45297783315370699</v>
      </c>
      <c r="U17" s="1354">
        <f>Q17*S17/100</f>
        <v>1.7515317016217953</v>
      </c>
      <c r="V17" s="253">
        <f>P17*1000</f>
        <v>10000</v>
      </c>
      <c r="W17" s="253">
        <f t="shared" ref="W17" si="1">Q17*1000</f>
        <v>100000</v>
      </c>
      <c r="X17" s="1354">
        <f>T17*1000</f>
        <v>452.97783315370697</v>
      </c>
      <c r="Y17" s="1354">
        <f>U17*1000</f>
        <v>1751.5317016217953</v>
      </c>
    </row>
    <row r="18" spans="1:25" x14ac:dyDescent="0.2">
      <c r="A18" s="120" t="str">
        <f t="shared" ref="A18:A28" si="2">A52</f>
        <v>CERI</v>
      </c>
      <c r="B18" s="120"/>
      <c r="C18" s="252">
        <f t="shared" ref="C18:H18" si="3">C52</f>
        <v>68.771000000000001</v>
      </c>
      <c r="D18" s="252">
        <f t="shared" si="3"/>
        <v>0.14399999999999999</v>
      </c>
      <c r="E18" s="252">
        <f t="shared" si="3"/>
        <v>68.760000000000005</v>
      </c>
      <c r="F18" s="252">
        <f t="shared" si="3"/>
        <v>0.11</v>
      </c>
      <c r="G18" s="252">
        <f t="shared" si="3"/>
        <v>-1.0999999999999999E-2</v>
      </c>
      <c r="H18" s="252">
        <f t="shared" si="3"/>
        <v>0.36199999999999999</v>
      </c>
      <c r="I18" s="155"/>
      <c r="J18" s="155"/>
      <c r="K18" s="155"/>
      <c r="L18" s="155">
        <f t="shared" ref="L18:L28" si="4">$K$1</f>
        <v>10</v>
      </c>
      <c r="M18" s="156">
        <f t="shared" ref="M18:M28" si="5">M37</f>
        <v>0.31556802244039273</v>
      </c>
      <c r="N18" s="157"/>
      <c r="O18" s="155"/>
      <c r="P18" s="250">
        <v>10</v>
      </c>
      <c r="Q18" s="111">
        <v>71</v>
      </c>
      <c r="R18" s="1354">
        <f t="shared" ref="R18:S18" si="6">IF(P18&lt;=$L18,$M18*$L18/P18,IF(P18&gt;=$C18, $R52, $R37-(P18-$K$1)/($C18-$K$1)*($R37-$R52)))</f>
        <v>0.31556802244039273</v>
      </c>
      <c r="S18" s="1354">
        <f t="shared" si="6"/>
        <v>0.31990228439313084</v>
      </c>
      <c r="T18" s="1354">
        <f t="shared" ref="T18:T28" si="7">P18*R18/100</f>
        <v>3.155680224403927E-2</v>
      </c>
      <c r="U18" s="1354">
        <f t="shared" ref="U18:U28" si="8">Q18*S18/100</f>
        <v>0.22713062191912289</v>
      </c>
      <c r="V18" s="253">
        <f t="shared" ref="V18:V28" si="9">P18*1000</f>
        <v>10000</v>
      </c>
      <c r="W18" s="253">
        <f t="shared" ref="W18:W28" si="10">Q18*1000</f>
        <v>71000</v>
      </c>
      <c r="X18" s="1354">
        <f t="shared" ref="X18:X28" si="11">T18*1000</f>
        <v>31.556802244039268</v>
      </c>
      <c r="Y18" s="1354">
        <f t="shared" ref="Y18:Y28" si="12">U18*1000</f>
        <v>227.13062191912289</v>
      </c>
    </row>
    <row r="19" spans="1:25" x14ac:dyDescent="0.2">
      <c r="A19" s="120" t="str">
        <f t="shared" si="2"/>
        <v>GUM</v>
      </c>
      <c r="B19" s="120"/>
      <c r="C19" s="252">
        <f t="shared" ref="C19:H19" si="13">C53</f>
        <v>69.784999999999997</v>
      </c>
      <c r="D19" s="252">
        <f t="shared" si="13"/>
        <v>8.8999999999999996E-2</v>
      </c>
      <c r="E19" s="252">
        <f t="shared" si="13"/>
        <v>71.099999999999994</v>
      </c>
      <c r="F19" s="252">
        <f t="shared" si="13"/>
        <v>0.55000000000000004</v>
      </c>
      <c r="G19" s="252">
        <f t="shared" si="13"/>
        <v>1.3149999999999999</v>
      </c>
      <c r="H19" s="252">
        <f t="shared" si="13"/>
        <v>1.1140000000000001</v>
      </c>
      <c r="I19" s="155"/>
      <c r="J19" s="155"/>
      <c r="K19" s="155"/>
      <c r="L19" s="155">
        <f t="shared" si="4"/>
        <v>10</v>
      </c>
      <c r="M19" s="156">
        <f t="shared" si="5"/>
        <v>4.7841057634126232</v>
      </c>
      <c r="N19" s="157"/>
      <c r="O19" s="155"/>
      <c r="P19" s="250">
        <v>10</v>
      </c>
      <c r="Q19" s="111">
        <v>71</v>
      </c>
      <c r="R19" s="1354">
        <f t="shared" ref="R19:S19" si="14">IF(P19&lt;=$L19,$M19*$L19/P19,IF(P19&gt;=$C19, $R53, $R38-(P19-$K$1)/($C19-$K$1)*($R38-$R53)))</f>
        <v>4.7841057634126232</v>
      </c>
      <c r="S19" s="1354">
        <f t="shared" si="14"/>
        <v>4.0850782049341179</v>
      </c>
      <c r="T19" s="1354">
        <f t="shared" si="7"/>
        <v>0.47841057634126227</v>
      </c>
      <c r="U19" s="1354">
        <f t="shared" si="8"/>
        <v>2.9004055255032237</v>
      </c>
      <c r="V19" s="253">
        <f t="shared" si="9"/>
        <v>10000</v>
      </c>
      <c r="W19" s="253">
        <f t="shared" si="10"/>
        <v>71000</v>
      </c>
      <c r="X19" s="1354">
        <f t="shared" si="11"/>
        <v>478.4105763412623</v>
      </c>
      <c r="Y19" s="1354">
        <f t="shared" si="12"/>
        <v>2900.4055255032235</v>
      </c>
    </row>
    <row r="20" spans="1:25" x14ac:dyDescent="0.2">
      <c r="A20" s="120" t="str">
        <f t="shared" si="2"/>
        <v>KRISS</v>
      </c>
      <c r="B20" s="120"/>
      <c r="C20" s="252">
        <f t="shared" ref="C20:H20" si="15">C54</f>
        <v>69.864000000000004</v>
      </c>
      <c r="D20" s="252">
        <f t="shared" si="15"/>
        <v>6.9000000000000006E-2</v>
      </c>
      <c r="E20" s="252">
        <f t="shared" si="15"/>
        <v>70.084999999999994</v>
      </c>
      <c r="F20" s="252">
        <f t="shared" si="15"/>
        <v>0.161</v>
      </c>
      <c r="G20" s="252">
        <f t="shared" si="15"/>
        <v>0.221</v>
      </c>
      <c r="H20" s="252">
        <f t="shared" si="15"/>
        <v>0.35</v>
      </c>
      <c r="I20" s="155"/>
      <c r="J20" s="155"/>
      <c r="K20" s="155"/>
      <c r="L20" s="155">
        <f t="shared" si="4"/>
        <v>10</v>
      </c>
      <c r="M20" s="156">
        <f t="shared" si="5"/>
        <v>0.66742307949008883</v>
      </c>
      <c r="N20" s="157"/>
      <c r="O20" s="155"/>
      <c r="P20" s="250">
        <v>10</v>
      </c>
      <c r="Q20" s="111">
        <v>71</v>
      </c>
      <c r="R20" s="1354">
        <f t="shared" ref="R20:S20" si="16">IF(P20&lt;=$L20,$M20*$L20/P20,IF(P20&gt;=$C20, $R54, $R39-(P20-$K$1)/($C20-$K$1)*($R39-$R54)))</f>
        <v>0.66742307949008883</v>
      </c>
      <c r="S20" s="1354">
        <f t="shared" si="16"/>
        <v>0.46089545402496274</v>
      </c>
      <c r="T20" s="1354">
        <f t="shared" si="7"/>
        <v>6.6742307949008872E-2</v>
      </c>
      <c r="U20" s="1354">
        <f t="shared" si="8"/>
        <v>0.32723577235772355</v>
      </c>
      <c r="V20" s="253">
        <f t="shared" si="9"/>
        <v>10000</v>
      </c>
      <c r="W20" s="253">
        <f t="shared" si="10"/>
        <v>71000</v>
      </c>
      <c r="X20" s="1354">
        <f t="shared" si="11"/>
        <v>66.742307949008875</v>
      </c>
      <c r="Y20" s="1354">
        <f t="shared" si="12"/>
        <v>327.23577235772353</v>
      </c>
    </row>
    <row r="21" spans="1:25" x14ac:dyDescent="0.2">
      <c r="A21" s="120" t="str">
        <f t="shared" si="2"/>
        <v>LNE</v>
      </c>
      <c r="B21" s="120"/>
      <c r="C21" s="252">
        <f t="shared" ref="C21:H21" si="17">C55</f>
        <v>70.02</v>
      </c>
      <c r="D21" s="252">
        <f t="shared" si="17"/>
        <v>7.0000000000000007E-2</v>
      </c>
      <c r="E21" s="252">
        <f t="shared" si="17"/>
        <v>69.989999999999995</v>
      </c>
      <c r="F21" s="252">
        <f t="shared" si="17"/>
        <v>0.08</v>
      </c>
      <c r="G21" s="252">
        <f t="shared" si="17"/>
        <v>-0.03</v>
      </c>
      <c r="H21" s="252">
        <f t="shared" si="17"/>
        <v>0.21299999999999999</v>
      </c>
      <c r="I21" s="155"/>
      <c r="J21" s="155"/>
      <c r="K21" s="155"/>
      <c r="L21" s="155">
        <f t="shared" si="4"/>
        <v>10</v>
      </c>
      <c r="M21" s="156">
        <f t="shared" si="5"/>
        <v>0.22452618371524799</v>
      </c>
      <c r="N21" s="157"/>
      <c r="O21" s="155"/>
      <c r="P21" s="250">
        <v>10</v>
      </c>
      <c r="Q21" s="111">
        <v>71</v>
      </c>
      <c r="R21" s="1354">
        <f t="shared" ref="R21:S21" si="18">IF(P21&lt;=$L21,$M21*$L21/P21,IF(P21&gt;=$C21, $R55, $R40-(P21-$K$1)/($C21-$K$1)*($R40-$R55)))</f>
        <v>0.22452618371524799</v>
      </c>
      <c r="S21" s="1354">
        <f t="shared" si="18"/>
        <v>0.22850614110254214</v>
      </c>
      <c r="T21" s="1354">
        <f t="shared" si="7"/>
        <v>2.2452618371524801E-2</v>
      </c>
      <c r="U21" s="1354">
        <f t="shared" si="8"/>
        <v>0.16223936018280491</v>
      </c>
      <c r="V21" s="253">
        <f t="shared" si="9"/>
        <v>10000</v>
      </c>
      <c r="W21" s="253">
        <f t="shared" si="10"/>
        <v>71000</v>
      </c>
      <c r="X21" s="1354">
        <f t="shared" si="11"/>
        <v>22.4526183715248</v>
      </c>
      <c r="Y21" s="1354">
        <f t="shared" si="12"/>
        <v>162.23936018280492</v>
      </c>
    </row>
    <row r="22" spans="1:25" x14ac:dyDescent="0.2">
      <c r="A22" s="120" t="str">
        <f t="shared" si="2"/>
        <v>NIM</v>
      </c>
      <c r="B22" s="120"/>
      <c r="C22" s="252">
        <f t="shared" ref="C22:H22" si="19">C56</f>
        <v>69.905000000000001</v>
      </c>
      <c r="D22" s="252">
        <f t="shared" si="19"/>
        <v>6.4000000000000001E-2</v>
      </c>
      <c r="E22" s="252">
        <f t="shared" si="19"/>
        <v>69.900000000000006</v>
      </c>
      <c r="F22" s="252">
        <f t="shared" si="19"/>
        <v>0.17499999999999999</v>
      </c>
      <c r="G22" s="252">
        <f t="shared" si="19"/>
        <v>-5.0000000000000001E-3</v>
      </c>
      <c r="H22" s="252">
        <f t="shared" si="19"/>
        <v>0.372</v>
      </c>
      <c r="I22" s="155"/>
      <c r="J22" s="155"/>
      <c r="K22" s="155"/>
      <c r="L22" s="155">
        <f t="shared" si="4"/>
        <v>10</v>
      </c>
      <c r="M22" s="156">
        <f t="shared" si="5"/>
        <v>0.50133689839572182</v>
      </c>
      <c r="N22" s="157"/>
      <c r="O22" s="155"/>
      <c r="P22" s="250">
        <v>10</v>
      </c>
      <c r="Q22" s="111">
        <v>71</v>
      </c>
      <c r="R22" s="1354">
        <f t="shared" ref="R22:S22" si="20">IF(P22&lt;=$L22,$M22*$L22/P22,IF(P22&gt;=$C22, $R56, $R41-(P22-$K$1)/($C22-$K$1)*($R41-$R56)))</f>
        <v>0.50133689839572182</v>
      </c>
      <c r="S22" s="1354">
        <f t="shared" si="20"/>
        <v>0.50067949359845509</v>
      </c>
      <c r="T22" s="1354">
        <f t="shared" si="7"/>
        <v>5.0133689839572178E-2</v>
      </c>
      <c r="U22" s="1354">
        <f t="shared" si="8"/>
        <v>0.35548244045490313</v>
      </c>
      <c r="V22" s="253">
        <f t="shared" si="9"/>
        <v>10000</v>
      </c>
      <c r="W22" s="253">
        <f t="shared" si="10"/>
        <v>71000</v>
      </c>
      <c r="X22" s="1354">
        <f t="shared" si="11"/>
        <v>50.133689839572178</v>
      </c>
      <c r="Y22" s="1354">
        <f t="shared" si="12"/>
        <v>355.4824404549031</v>
      </c>
    </row>
    <row r="23" spans="1:25" x14ac:dyDescent="0.2">
      <c r="A23" s="120" t="str">
        <f t="shared" si="2"/>
        <v>NMIA</v>
      </c>
      <c r="B23" s="120"/>
      <c r="C23" s="252">
        <f t="shared" ref="C23:H23" si="21">C57</f>
        <v>69.953000000000003</v>
      </c>
      <c r="D23" s="252">
        <f t="shared" si="21"/>
        <v>5.1999999999999998E-2</v>
      </c>
      <c r="E23" s="252">
        <f t="shared" si="21"/>
        <v>69.98</v>
      </c>
      <c r="F23" s="252">
        <f t="shared" si="21"/>
        <v>0.155</v>
      </c>
      <c r="G23" s="252">
        <f t="shared" si="21"/>
        <v>2.7E-2</v>
      </c>
      <c r="H23" s="252">
        <f t="shared" si="21"/>
        <v>0.32700000000000001</v>
      </c>
      <c r="I23" s="155"/>
      <c r="J23" s="155"/>
      <c r="K23" s="155"/>
      <c r="L23" s="155">
        <f t="shared" si="4"/>
        <v>10</v>
      </c>
      <c r="M23" s="156">
        <f t="shared" si="5"/>
        <v>0.86574320724560483</v>
      </c>
      <c r="N23" s="157"/>
      <c r="O23" s="155"/>
      <c r="P23" s="250">
        <v>10</v>
      </c>
      <c r="Q23" s="111">
        <v>71</v>
      </c>
      <c r="R23" s="1354">
        <f t="shared" ref="R23:S23" si="22">IF(P23&lt;=$L23,$M23*$L23/P23,IF(P23&gt;=$C23, $R57, $R42-(P23-$K$1)/($C23-$K$1)*($R42-$R57)))</f>
        <v>0.86574320724560483</v>
      </c>
      <c r="S23" s="1354">
        <f t="shared" si="22"/>
        <v>0.4431546895772876</v>
      </c>
      <c r="T23" s="1354">
        <f t="shared" si="7"/>
        <v>8.6574320724560477E-2</v>
      </c>
      <c r="U23" s="1354">
        <f t="shared" si="8"/>
        <v>0.31463982959987419</v>
      </c>
      <c r="V23" s="253">
        <f t="shared" si="9"/>
        <v>10000</v>
      </c>
      <c r="W23" s="253">
        <f t="shared" si="10"/>
        <v>71000</v>
      </c>
      <c r="X23" s="1354">
        <f t="shared" si="11"/>
        <v>86.574320724560479</v>
      </c>
      <c r="Y23" s="1354">
        <f t="shared" si="12"/>
        <v>314.63982959987419</v>
      </c>
    </row>
    <row r="24" spans="1:25" x14ac:dyDescent="0.2">
      <c r="A24" s="120" t="str">
        <f t="shared" si="2"/>
        <v>NMISA</v>
      </c>
      <c r="B24" s="120"/>
      <c r="C24" s="252">
        <f t="shared" ref="C24:H24" si="23">C58</f>
        <v>69.930000000000007</v>
      </c>
      <c r="D24" s="252">
        <f t="shared" si="23"/>
        <v>6.6000000000000003E-2</v>
      </c>
      <c r="E24" s="252">
        <f t="shared" si="23"/>
        <v>70.09</v>
      </c>
      <c r="F24" s="252">
        <f t="shared" si="23"/>
        <v>0.105</v>
      </c>
      <c r="G24" s="252">
        <f t="shared" si="23"/>
        <v>0.16</v>
      </c>
      <c r="H24" s="252">
        <f t="shared" si="23"/>
        <v>0.249</v>
      </c>
      <c r="I24" s="155"/>
      <c r="J24" s="155"/>
      <c r="K24" s="155"/>
      <c r="L24" s="155">
        <f t="shared" si="4"/>
        <v>10</v>
      </c>
      <c r="M24" s="156">
        <f t="shared" si="5"/>
        <v>0.56226227881594182</v>
      </c>
      <c r="N24" s="157"/>
      <c r="O24" s="155"/>
      <c r="P24" s="250">
        <v>10</v>
      </c>
      <c r="Q24" s="111">
        <v>71</v>
      </c>
      <c r="R24" s="1354">
        <f t="shared" ref="R24:S24" si="24">IF(P24&lt;=$L24,$M24*$L24/P24,IF(P24&gt;=$C24, $R58, $R43-(P24-$K$1)/($C24-$K$1)*($R43-$R58)))</f>
        <v>0.56226227881594182</v>
      </c>
      <c r="S24" s="1354">
        <f t="shared" si="24"/>
        <v>0.30030030030030025</v>
      </c>
      <c r="T24" s="1354">
        <f t="shared" si="7"/>
        <v>5.6226227881594183E-2</v>
      </c>
      <c r="U24" s="1354">
        <f t="shared" si="8"/>
        <v>0.21321321321321318</v>
      </c>
      <c r="V24" s="253">
        <f t="shared" si="9"/>
        <v>10000</v>
      </c>
      <c r="W24" s="253">
        <f t="shared" si="10"/>
        <v>71000</v>
      </c>
      <c r="X24" s="1354">
        <f t="shared" si="11"/>
        <v>56.226227881594184</v>
      </c>
      <c r="Y24" s="1354">
        <f t="shared" si="12"/>
        <v>213.21321321321318</v>
      </c>
    </row>
    <row r="25" spans="1:25" x14ac:dyDescent="0.2">
      <c r="A25" s="120" t="str">
        <f t="shared" si="2"/>
        <v>NPL</v>
      </c>
      <c r="B25" s="120"/>
      <c r="C25" s="252">
        <f t="shared" ref="C25:H25" si="25">C59</f>
        <v>70.007000000000005</v>
      </c>
      <c r="D25" s="252">
        <f t="shared" si="25"/>
        <v>6.2E-2</v>
      </c>
      <c r="E25" s="252">
        <f t="shared" si="25"/>
        <v>69.863</v>
      </c>
      <c r="F25" s="252">
        <f t="shared" si="25"/>
        <v>8.6999999999999994E-2</v>
      </c>
      <c r="G25" s="252">
        <f t="shared" si="25"/>
        <v>-0.14399999999999999</v>
      </c>
      <c r="H25" s="252">
        <f t="shared" si="25"/>
        <v>0.214</v>
      </c>
      <c r="I25" s="155"/>
      <c r="J25" s="155"/>
      <c r="K25" s="155"/>
      <c r="L25" s="155">
        <f t="shared" si="4"/>
        <v>10</v>
      </c>
      <c r="M25" s="156">
        <f t="shared" si="5"/>
        <v>0.19967386601883588</v>
      </c>
      <c r="N25" s="157"/>
      <c r="O25" s="155"/>
      <c r="P25" s="250">
        <v>10</v>
      </c>
      <c r="Q25" s="111">
        <v>10</v>
      </c>
      <c r="R25" s="1354">
        <f t="shared" ref="R25:S25" si="26">IF(P25&lt;=$L25,$M25*$L25/P25,IF(P25&gt;=$C25, $R59, $R44-(P25-$K$1)/($C25-$K$1)*($R44-$R59)))</f>
        <v>0.19967386601883588</v>
      </c>
      <c r="S25" s="1354">
        <f t="shared" si="26"/>
        <v>0.19967386601883588</v>
      </c>
      <c r="T25" s="1354">
        <f t="shared" si="7"/>
        <v>1.9967386601883588E-2</v>
      </c>
      <c r="U25" s="1354">
        <f t="shared" si="8"/>
        <v>1.9967386601883588E-2</v>
      </c>
      <c r="V25" s="253">
        <f t="shared" si="9"/>
        <v>10000</v>
      </c>
      <c r="W25" s="253">
        <f t="shared" si="10"/>
        <v>10000</v>
      </c>
      <c r="X25" s="1354">
        <f t="shared" si="11"/>
        <v>19.967386601883589</v>
      </c>
      <c r="Y25" s="1354">
        <f t="shared" si="12"/>
        <v>19.967386601883589</v>
      </c>
    </row>
    <row r="26" spans="1:25" x14ac:dyDescent="0.2">
      <c r="A26" s="120" t="str">
        <f t="shared" si="2"/>
        <v>VNIMM</v>
      </c>
      <c r="B26" s="120"/>
      <c r="C26" s="252" t="str">
        <f t="shared" ref="C26:H26" si="27">C60</f>
        <v>NA</v>
      </c>
      <c r="D26" s="252" t="str">
        <f t="shared" si="27"/>
        <v>NA</v>
      </c>
      <c r="E26" s="252" t="str">
        <f t="shared" si="27"/>
        <v>NA</v>
      </c>
      <c r="F26" s="252" t="str">
        <f t="shared" si="27"/>
        <v>NA</v>
      </c>
      <c r="G26" s="252" t="str">
        <f t="shared" si="27"/>
        <v>NA</v>
      </c>
      <c r="H26" s="252" t="str">
        <f t="shared" si="27"/>
        <v>NA</v>
      </c>
      <c r="I26" s="155"/>
      <c r="J26" s="155"/>
      <c r="K26" s="155"/>
      <c r="L26" s="155">
        <f t="shared" si="4"/>
        <v>10</v>
      </c>
      <c r="M26" s="156">
        <f t="shared" si="5"/>
        <v>4.0033361134278564E-2</v>
      </c>
      <c r="N26" s="157"/>
      <c r="O26" s="155"/>
      <c r="P26" s="250">
        <v>10</v>
      </c>
      <c r="Q26" s="111">
        <v>11</v>
      </c>
      <c r="R26" s="1354">
        <f t="shared" ref="R26:S26" si="28">IF(P26&lt;=$L26,$M26*$L26/P26,IF(P26&gt;=$C26, $R60, $R45-(P26-$K$1)/($C26-$K$1)*($R45-$R60)))</f>
        <v>4.0033361134278564E-2</v>
      </c>
      <c r="S26" s="1354" t="e">
        <f t="shared" si="28"/>
        <v>#VALUE!</v>
      </c>
      <c r="T26" s="1354">
        <f t="shared" si="7"/>
        <v>4.0033361134278571E-3</v>
      </c>
      <c r="U26" s="1354" t="e">
        <f t="shared" si="8"/>
        <v>#VALUE!</v>
      </c>
      <c r="V26" s="253">
        <f t="shared" si="9"/>
        <v>10000</v>
      </c>
      <c r="W26" s="253">
        <f t="shared" si="10"/>
        <v>11000</v>
      </c>
      <c r="X26" s="1354">
        <f t="shared" si="11"/>
        <v>4.0033361134278573</v>
      </c>
      <c r="Y26" s="1354" t="e">
        <f t="shared" si="12"/>
        <v>#VALUE!</v>
      </c>
    </row>
    <row r="27" spans="1:25" x14ac:dyDescent="0.2">
      <c r="A27" s="120" t="str">
        <f t="shared" si="2"/>
        <v>NIST</v>
      </c>
      <c r="B27" s="120"/>
      <c r="C27" s="252">
        <f t="shared" ref="C27:H27" si="29">C61</f>
        <v>70.353999999999999</v>
      </c>
      <c r="D27" s="252">
        <f t="shared" si="29"/>
        <v>7.5999999999999998E-2</v>
      </c>
      <c r="E27" s="252">
        <f t="shared" si="29"/>
        <v>70.400999999999996</v>
      </c>
      <c r="F27" s="252">
        <f t="shared" si="29"/>
        <v>0.17599999999999999</v>
      </c>
      <c r="G27" s="252">
        <f t="shared" si="29"/>
        <v>4.7E-2</v>
      </c>
      <c r="H27" s="252">
        <f t="shared" si="29"/>
        <v>0.38300000000000001</v>
      </c>
      <c r="I27" s="155"/>
      <c r="J27" s="155"/>
      <c r="K27" s="155"/>
      <c r="L27" s="155">
        <f t="shared" si="4"/>
        <v>10</v>
      </c>
      <c r="M27" s="156">
        <f t="shared" si="5"/>
        <v>0.1210287443267776</v>
      </c>
      <c r="N27" s="157"/>
      <c r="O27" s="155"/>
      <c r="P27" s="250">
        <v>10</v>
      </c>
      <c r="Q27" s="111">
        <v>71</v>
      </c>
      <c r="R27" s="1354">
        <f t="shared" ref="R27:S27" si="30">IF(P27&lt;=$L27,$M27*$L27/P27,IF(P27&gt;=$C27, $R61, $R46-(P27-$K$1)/($C27-$K$1)*($R46-$R61)))</f>
        <v>0.1210287443267776</v>
      </c>
      <c r="S27" s="1354">
        <f t="shared" si="30"/>
        <v>0.50032691815675012</v>
      </c>
      <c r="T27" s="1354">
        <f t="shared" si="7"/>
        <v>1.210287443267776E-2</v>
      </c>
      <c r="U27" s="1354">
        <f t="shared" si="8"/>
        <v>0.35523211189129256</v>
      </c>
      <c r="V27" s="253">
        <f t="shared" si="9"/>
        <v>10000</v>
      </c>
      <c r="W27" s="253">
        <f t="shared" si="10"/>
        <v>71000</v>
      </c>
      <c r="X27" s="1354">
        <f t="shared" si="11"/>
        <v>12.10287443267776</v>
      </c>
      <c r="Y27" s="1354">
        <f t="shared" si="12"/>
        <v>355.23211189129256</v>
      </c>
    </row>
    <row r="28" spans="1:25" s="145" customFormat="1" x14ac:dyDescent="0.2">
      <c r="A28" s="120" t="str">
        <f t="shared" si="2"/>
        <v>VSL</v>
      </c>
      <c r="B28" s="120"/>
      <c r="C28" s="252">
        <f t="shared" ref="C28:H28" si="31">C62</f>
        <v>70.093999999999994</v>
      </c>
      <c r="D28" s="252">
        <f t="shared" si="31"/>
        <v>8.6999999999999994E-2</v>
      </c>
      <c r="E28" s="252">
        <f t="shared" si="31"/>
        <v>70.05</v>
      </c>
      <c r="F28" s="252">
        <f t="shared" si="31"/>
        <v>0.105</v>
      </c>
      <c r="G28" s="252">
        <f t="shared" si="31"/>
        <v>-4.3999999999999997E-2</v>
      </c>
      <c r="H28" s="252">
        <f t="shared" si="31"/>
        <v>0.27200000000000002</v>
      </c>
      <c r="I28" s="155"/>
      <c r="J28" s="155"/>
      <c r="K28" s="155"/>
      <c r="L28" s="155">
        <f t="shared" si="4"/>
        <v>10</v>
      </c>
      <c r="M28" s="156" t="e">
        <f t="shared" si="5"/>
        <v>#VALUE!</v>
      </c>
      <c r="N28" s="157"/>
      <c r="O28" s="155"/>
      <c r="P28" s="250">
        <v>1</v>
      </c>
      <c r="Q28" s="111">
        <v>1000</v>
      </c>
      <c r="R28" s="1354" t="e">
        <f t="shared" ref="R28:S28" si="32">IF(P28&lt;=$L28,$M28*$L28/P28,IF(P28&gt;=$C28, $R62, $R47-(P28-$K$1)/($C28-$K$1)*($R47-$R62)))</f>
        <v>#VALUE!</v>
      </c>
      <c r="S28" s="1354">
        <f t="shared" si="32"/>
        <v>0.29959768311125062</v>
      </c>
      <c r="T28" s="1354" t="e">
        <f t="shared" si="7"/>
        <v>#VALUE!</v>
      </c>
      <c r="U28" s="1354">
        <f t="shared" si="8"/>
        <v>2.9959768311125061</v>
      </c>
      <c r="V28" s="253">
        <f t="shared" si="9"/>
        <v>1000</v>
      </c>
      <c r="W28" s="253">
        <f t="shared" si="10"/>
        <v>1000000</v>
      </c>
      <c r="X28" s="1354" t="e">
        <f t="shared" si="11"/>
        <v>#VALUE!</v>
      </c>
      <c r="Y28" s="1354">
        <f t="shared" si="12"/>
        <v>2995.9768311125063</v>
      </c>
    </row>
    <row r="30" spans="1:25" x14ac:dyDescent="0.2">
      <c r="A30" s="118"/>
    </row>
    <row r="34" spans="1:25" x14ac:dyDescent="0.2">
      <c r="A34" s="117" t="s">
        <v>109</v>
      </c>
    </row>
    <row r="35" spans="1:25" s="1" customFormat="1" ht="63.75" x14ac:dyDescent="0.2">
      <c r="A35" s="211" t="s">
        <v>0</v>
      </c>
      <c r="B35" s="212" t="s">
        <v>1</v>
      </c>
      <c r="C35" s="212" t="s">
        <v>133</v>
      </c>
      <c r="D35" s="212" t="s">
        <v>134</v>
      </c>
      <c r="E35" s="212" t="s">
        <v>135</v>
      </c>
      <c r="F35" s="212" t="s">
        <v>136</v>
      </c>
      <c r="G35" s="212" t="s">
        <v>137</v>
      </c>
      <c r="H35" s="212" t="s">
        <v>138</v>
      </c>
      <c r="I35" s="104" t="s">
        <v>8</v>
      </c>
      <c r="J35" s="104" t="s">
        <v>9</v>
      </c>
      <c r="K35" s="104" t="s">
        <v>107</v>
      </c>
      <c r="L35" s="104" t="s">
        <v>14</v>
      </c>
      <c r="M35" s="104" t="s">
        <v>12</v>
      </c>
      <c r="N35" s="104" t="s">
        <v>10</v>
      </c>
      <c r="O35" s="104" t="s">
        <v>100</v>
      </c>
      <c r="P35" s="6" t="s">
        <v>105</v>
      </c>
      <c r="Q35" s="6" t="s">
        <v>106</v>
      </c>
      <c r="R35" s="104" t="s">
        <v>70</v>
      </c>
      <c r="S35" s="104" t="s">
        <v>71</v>
      </c>
      <c r="T35" s="147" t="s">
        <v>80</v>
      </c>
      <c r="U35" s="147" t="s">
        <v>81</v>
      </c>
      <c r="V35" s="5" t="s">
        <v>101</v>
      </c>
      <c r="W35" s="5" t="s">
        <v>102</v>
      </c>
      <c r="X35" s="112" t="s">
        <v>103</v>
      </c>
      <c r="Y35" s="112" t="s">
        <v>104</v>
      </c>
    </row>
    <row r="36" spans="1:25" s="1" customFormat="1" x14ac:dyDescent="0.2">
      <c r="A36" s="213" t="str">
        <f>A75</f>
        <v>BFKH</v>
      </c>
      <c r="B36" s="213"/>
      <c r="C36" s="214">
        <f>D75</f>
        <v>30.783000000000001</v>
      </c>
      <c r="D36" s="214">
        <f>E75</f>
        <v>6.6000000000000003E-2</v>
      </c>
      <c r="E36" s="214">
        <f>B75</f>
        <v>30.1</v>
      </c>
      <c r="F36" s="214">
        <f>C75</f>
        <v>0.14000000000000001</v>
      </c>
      <c r="G36" s="214">
        <f>F75</f>
        <v>-0.629</v>
      </c>
      <c r="H36" s="214">
        <f>G75</f>
        <v>0.314</v>
      </c>
      <c r="I36" s="155">
        <f t="shared" ref="I36:I45" si="33">IF(ABS(G36)&gt;ABS(H36), 1, 0)</f>
        <v>1</v>
      </c>
      <c r="J36" s="155">
        <f t="shared" ref="J36:J45" si="34">I36*ABS(C36-E36)</f>
        <v>0.68299999999999983</v>
      </c>
      <c r="K36" s="155">
        <f t="shared" ref="K36:K45" si="35">SQRT(SUMSQ(F36,J36))*2</f>
        <v>1.3944016637970564</v>
      </c>
      <c r="L36" s="155">
        <f t="shared" ref="L36:L45" si="36">IF(C36&lt;$K$2, C36, $K$1)</f>
        <v>10</v>
      </c>
      <c r="M36" s="156">
        <f t="shared" ref="M36:M45" si="37">IF(AND(C36&lt;$K$1,C36&gt; $K$2), K36/L36*100, K36/C36*100)</f>
        <v>4.5297783315370701</v>
      </c>
      <c r="N36" s="157">
        <f t="shared" ref="N36:N45" si="38">M36*L36/100</f>
        <v>0.45297783315370699</v>
      </c>
      <c r="O36" s="155">
        <f t="shared" ref="O36:O45" si="39">N36/(M36*L36/100)*100</f>
        <v>100</v>
      </c>
      <c r="P36" s="292">
        <v>30</v>
      </c>
      <c r="Q36" s="293">
        <v>30</v>
      </c>
      <c r="R36" s="148">
        <f>IF(P36&lt;L36, M36*L36/P36, M36)</f>
        <v>4.5297783315370701</v>
      </c>
      <c r="S36" s="148">
        <f>IF(Q36&lt;L36, M36*L36/Q36, M36)</f>
        <v>4.5297783315370701</v>
      </c>
      <c r="T36" s="148">
        <f>R36*P36*0.01</f>
        <v>1.3589334994611211</v>
      </c>
      <c r="U36" s="148">
        <f>S36*Q36*0.01</f>
        <v>1.3589334994611211</v>
      </c>
      <c r="V36" s="7">
        <f>P36*1000</f>
        <v>30000</v>
      </c>
      <c r="W36" s="7">
        <f>Q36*1000</f>
        <v>30000</v>
      </c>
      <c r="X36" s="1345">
        <f>T36*1000</f>
        <v>1358.9334994611211</v>
      </c>
      <c r="Y36" s="1345">
        <f>U36*1000</f>
        <v>1358.9334994611211</v>
      </c>
    </row>
    <row r="37" spans="1:25" s="1" customFormat="1" x14ac:dyDescent="0.2">
      <c r="A37" s="213" t="str">
        <f t="shared" ref="A37:A46" si="40">A76</f>
        <v>CERI</v>
      </c>
      <c r="B37" s="213"/>
      <c r="C37" s="214">
        <f t="shared" ref="C37:D37" si="41">D76</f>
        <v>28.52</v>
      </c>
      <c r="D37" s="214">
        <f t="shared" si="41"/>
        <v>8.2000000000000003E-2</v>
      </c>
      <c r="E37" s="214">
        <f t="shared" ref="E37:F37" si="42">B76</f>
        <v>28.51</v>
      </c>
      <c r="F37" s="214">
        <f t="shared" si="42"/>
        <v>4.4999999999999998E-2</v>
      </c>
      <c r="G37" s="214">
        <f t="shared" ref="G37:H37" si="43">F76</f>
        <v>-6.0000000000000001E-3</v>
      </c>
      <c r="H37" s="214">
        <f t="shared" si="43"/>
        <v>0.185</v>
      </c>
      <c r="I37" s="155">
        <f t="shared" si="33"/>
        <v>0</v>
      </c>
      <c r="J37" s="155">
        <f t="shared" si="34"/>
        <v>0</v>
      </c>
      <c r="K37" s="155">
        <f t="shared" si="35"/>
        <v>0.09</v>
      </c>
      <c r="L37" s="155">
        <f t="shared" si="36"/>
        <v>10</v>
      </c>
      <c r="M37" s="156">
        <f t="shared" si="37"/>
        <v>0.31556802244039273</v>
      </c>
      <c r="N37" s="157">
        <f t="shared" si="38"/>
        <v>3.155680224403927E-2</v>
      </c>
      <c r="O37" s="155">
        <f t="shared" si="39"/>
        <v>100</v>
      </c>
      <c r="P37" s="292">
        <v>30</v>
      </c>
      <c r="Q37" s="293">
        <v>30</v>
      </c>
      <c r="R37" s="148">
        <f t="shared" ref="R37:R45" si="44">IF(P37&lt;L37, M37*L37/P37, M37)</f>
        <v>0.31556802244039273</v>
      </c>
      <c r="S37" s="148">
        <f t="shared" ref="S37:S45" si="45">IF(Q37&lt;L37, M37*L37/Q37, M37)</f>
        <v>0.31556802244039273</v>
      </c>
      <c r="T37" s="148">
        <f t="shared" ref="T37:U45" si="46">R37*P37*0.01</f>
        <v>9.4670406732117823E-2</v>
      </c>
      <c r="U37" s="148">
        <f t="shared" si="46"/>
        <v>9.4670406732117823E-2</v>
      </c>
      <c r="V37" s="7">
        <f t="shared" ref="V37:W45" si="47">P37*1000</f>
        <v>30000</v>
      </c>
      <c r="W37" s="7">
        <f t="shared" si="47"/>
        <v>30000</v>
      </c>
      <c r="X37" s="1345">
        <f t="shared" ref="X37:Y45" si="48">T37*1000</f>
        <v>94.670406732117826</v>
      </c>
      <c r="Y37" s="1345">
        <f t="shared" si="48"/>
        <v>94.670406732117826</v>
      </c>
    </row>
    <row r="38" spans="1:25" s="1" customFormat="1" x14ac:dyDescent="0.2">
      <c r="A38" s="213" t="str">
        <f t="shared" si="40"/>
        <v>GUM</v>
      </c>
      <c r="B38" s="213"/>
      <c r="C38" s="214">
        <f t="shared" ref="C38:D38" si="49">D77</f>
        <v>29.852</v>
      </c>
      <c r="D38" s="214">
        <f t="shared" si="49"/>
        <v>9.6000000000000002E-2</v>
      </c>
      <c r="E38" s="214">
        <f t="shared" ref="E38:F38" si="50">B77</f>
        <v>30.5</v>
      </c>
      <c r="F38" s="214">
        <f t="shared" si="50"/>
        <v>0.3</v>
      </c>
      <c r="G38" s="214">
        <f t="shared" ref="G38:H38" si="51">F77</f>
        <v>0.68100000000000005</v>
      </c>
      <c r="H38" s="214">
        <f t="shared" si="51"/>
        <v>0.63</v>
      </c>
      <c r="I38" s="155">
        <f t="shared" si="33"/>
        <v>1</v>
      </c>
      <c r="J38" s="155">
        <f t="shared" si="34"/>
        <v>0.64799999999999969</v>
      </c>
      <c r="K38" s="155">
        <f t="shared" si="35"/>
        <v>1.4281512524939362</v>
      </c>
      <c r="L38" s="155">
        <f t="shared" si="36"/>
        <v>10</v>
      </c>
      <c r="M38" s="156">
        <f t="shared" si="37"/>
        <v>4.7841057634126232</v>
      </c>
      <c r="N38" s="157">
        <f t="shared" si="38"/>
        <v>0.47841057634126227</v>
      </c>
      <c r="O38" s="155">
        <f t="shared" si="39"/>
        <v>100</v>
      </c>
      <c r="P38" s="292">
        <v>30</v>
      </c>
      <c r="Q38" s="293">
        <v>30</v>
      </c>
      <c r="R38" s="148">
        <f t="shared" si="44"/>
        <v>4.7841057634126232</v>
      </c>
      <c r="S38" s="148">
        <f t="shared" si="45"/>
        <v>4.7841057634126232</v>
      </c>
      <c r="T38" s="148">
        <f t="shared" si="46"/>
        <v>1.4352317290237868</v>
      </c>
      <c r="U38" s="148">
        <f t="shared" si="46"/>
        <v>1.4352317290237868</v>
      </c>
      <c r="V38" s="7">
        <f t="shared" si="47"/>
        <v>30000</v>
      </c>
      <c r="W38" s="7">
        <f t="shared" si="47"/>
        <v>30000</v>
      </c>
      <c r="X38" s="1345">
        <f t="shared" si="48"/>
        <v>1435.2317290237868</v>
      </c>
      <c r="Y38" s="1345">
        <f t="shared" si="48"/>
        <v>1435.2317290237868</v>
      </c>
    </row>
    <row r="39" spans="1:25" s="1" customFormat="1" x14ac:dyDescent="0.2">
      <c r="A39" s="213" t="str">
        <f t="shared" si="40"/>
        <v>KRISS</v>
      </c>
      <c r="B39" s="213"/>
      <c r="C39" s="214">
        <f t="shared" ref="C39:D39" si="52">D78</f>
        <v>29.966000000000001</v>
      </c>
      <c r="D39" s="214">
        <f t="shared" si="52"/>
        <v>9.4E-2</v>
      </c>
      <c r="E39" s="214">
        <f t="shared" ref="E39:F39" si="53">B78</f>
        <v>30.013999999999999</v>
      </c>
      <c r="F39" s="214">
        <f t="shared" si="53"/>
        <v>0.1</v>
      </c>
      <c r="G39" s="214">
        <f t="shared" ref="G39:H39" si="54">F78</f>
        <v>8.3000000000000004E-2</v>
      </c>
      <c r="H39" s="214">
        <f t="shared" si="54"/>
        <v>0.27400000000000002</v>
      </c>
      <c r="I39" s="155">
        <f t="shared" si="33"/>
        <v>0</v>
      </c>
      <c r="J39" s="155">
        <f t="shared" si="34"/>
        <v>0</v>
      </c>
      <c r="K39" s="155">
        <f t="shared" si="35"/>
        <v>0.2</v>
      </c>
      <c r="L39" s="155">
        <f t="shared" si="36"/>
        <v>10</v>
      </c>
      <c r="M39" s="156">
        <f t="shared" si="37"/>
        <v>0.66742307949008883</v>
      </c>
      <c r="N39" s="157">
        <f t="shared" si="38"/>
        <v>6.6742307949008872E-2</v>
      </c>
      <c r="O39" s="155">
        <f t="shared" si="39"/>
        <v>100</v>
      </c>
      <c r="P39" s="292">
        <v>30</v>
      </c>
      <c r="Q39" s="293">
        <v>30</v>
      </c>
      <c r="R39" s="148">
        <f t="shared" si="44"/>
        <v>0.66742307949008883</v>
      </c>
      <c r="S39" s="148">
        <f t="shared" si="45"/>
        <v>0.66742307949008883</v>
      </c>
      <c r="T39" s="148">
        <f t="shared" si="46"/>
        <v>0.20022692384702667</v>
      </c>
      <c r="U39" s="148">
        <f t="shared" si="46"/>
        <v>0.20022692384702667</v>
      </c>
      <c r="V39" s="7">
        <f t="shared" si="47"/>
        <v>30000</v>
      </c>
      <c r="W39" s="7">
        <f t="shared" si="47"/>
        <v>30000</v>
      </c>
      <c r="X39" s="1345">
        <f t="shared" si="48"/>
        <v>200.22692384702668</v>
      </c>
      <c r="Y39" s="1345">
        <f t="shared" si="48"/>
        <v>200.22692384702668</v>
      </c>
    </row>
    <row r="40" spans="1:25" s="1" customFormat="1" x14ac:dyDescent="0.2">
      <c r="A40" s="213" t="str">
        <f t="shared" si="40"/>
        <v>LNE</v>
      </c>
      <c r="B40" s="213"/>
      <c r="C40" s="214">
        <f t="shared" ref="C40:D40" si="55">D79</f>
        <v>30.286000000000001</v>
      </c>
      <c r="D40" s="214">
        <f t="shared" si="55"/>
        <v>6.5000000000000002E-2</v>
      </c>
      <c r="E40" s="214">
        <f t="shared" ref="E40:F40" si="56">B79</f>
        <v>30.210999999999999</v>
      </c>
      <c r="F40" s="214">
        <f t="shared" si="56"/>
        <v>3.4000000000000002E-2</v>
      </c>
      <c r="G40" s="214">
        <f t="shared" ref="G40:H40" si="57">F79</f>
        <v>-3.2000000000000001E-2</v>
      </c>
      <c r="H40" s="214">
        <f t="shared" si="57"/>
        <v>0.152</v>
      </c>
      <c r="I40" s="155">
        <f t="shared" si="33"/>
        <v>0</v>
      </c>
      <c r="J40" s="155">
        <f t="shared" si="34"/>
        <v>0</v>
      </c>
      <c r="K40" s="155">
        <f t="shared" si="35"/>
        <v>6.8000000000000005E-2</v>
      </c>
      <c r="L40" s="155">
        <f t="shared" si="36"/>
        <v>10</v>
      </c>
      <c r="M40" s="156">
        <f t="shared" si="37"/>
        <v>0.22452618371524799</v>
      </c>
      <c r="N40" s="157">
        <f t="shared" si="38"/>
        <v>2.2452618371524801E-2</v>
      </c>
      <c r="O40" s="155">
        <f t="shared" si="39"/>
        <v>100</v>
      </c>
      <c r="P40" s="292">
        <v>30</v>
      </c>
      <c r="Q40" s="293">
        <v>30</v>
      </c>
      <c r="R40" s="148">
        <f t="shared" si="44"/>
        <v>0.22452618371524799</v>
      </c>
      <c r="S40" s="148">
        <f t="shared" si="45"/>
        <v>0.22452618371524799</v>
      </c>
      <c r="T40" s="148">
        <f t="shared" si="46"/>
        <v>6.73578551145744E-2</v>
      </c>
      <c r="U40" s="148">
        <f t="shared" si="46"/>
        <v>6.73578551145744E-2</v>
      </c>
      <c r="V40" s="7">
        <f t="shared" si="47"/>
        <v>30000</v>
      </c>
      <c r="W40" s="7">
        <f t="shared" si="47"/>
        <v>30000</v>
      </c>
      <c r="X40" s="1345">
        <f t="shared" si="48"/>
        <v>67.357855114574406</v>
      </c>
      <c r="Y40" s="1345">
        <f t="shared" si="48"/>
        <v>67.357855114574406</v>
      </c>
    </row>
    <row r="41" spans="1:25" s="1" customFormat="1" x14ac:dyDescent="0.2">
      <c r="A41" s="213" t="str">
        <f t="shared" si="40"/>
        <v>NIM</v>
      </c>
      <c r="B41" s="213"/>
      <c r="C41" s="214">
        <f t="shared" ref="C41:D41" si="58">D80</f>
        <v>29.92</v>
      </c>
      <c r="D41" s="214">
        <f t="shared" si="58"/>
        <v>4.4999999999999998E-2</v>
      </c>
      <c r="E41" s="214">
        <f t="shared" ref="E41:F41" si="59">B80</f>
        <v>29.92</v>
      </c>
      <c r="F41" s="214">
        <f t="shared" si="59"/>
        <v>7.4999999999999997E-2</v>
      </c>
      <c r="G41" s="214">
        <f t="shared" ref="G41:H41" si="60">F80</f>
        <v>3.4000000000000002E-2</v>
      </c>
      <c r="H41" s="214">
        <f t="shared" si="60"/>
        <v>0.17899999999999999</v>
      </c>
      <c r="I41" s="155">
        <f t="shared" si="33"/>
        <v>0</v>
      </c>
      <c r="J41" s="155">
        <f t="shared" si="34"/>
        <v>0</v>
      </c>
      <c r="K41" s="155">
        <f t="shared" si="35"/>
        <v>0.15</v>
      </c>
      <c r="L41" s="155">
        <f t="shared" si="36"/>
        <v>10</v>
      </c>
      <c r="M41" s="156">
        <f t="shared" si="37"/>
        <v>0.50133689839572182</v>
      </c>
      <c r="N41" s="157">
        <f t="shared" si="38"/>
        <v>5.0133689839572178E-2</v>
      </c>
      <c r="O41" s="155">
        <f t="shared" si="39"/>
        <v>100</v>
      </c>
      <c r="P41" s="292">
        <v>30</v>
      </c>
      <c r="Q41" s="293">
        <v>30</v>
      </c>
      <c r="R41" s="148">
        <f t="shared" si="44"/>
        <v>0.50133689839572182</v>
      </c>
      <c r="S41" s="148">
        <f t="shared" si="45"/>
        <v>0.50133689839572182</v>
      </c>
      <c r="T41" s="148">
        <f t="shared" si="46"/>
        <v>0.15040106951871654</v>
      </c>
      <c r="U41" s="148">
        <f t="shared" si="46"/>
        <v>0.15040106951871654</v>
      </c>
      <c r="V41" s="7">
        <f t="shared" si="47"/>
        <v>30000</v>
      </c>
      <c r="W41" s="7">
        <f t="shared" si="47"/>
        <v>30000</v>
      </c>
      <c r="X41" s="1345">
        <f t="shared" si="48"/>
        <v>150.40106951871655</v>
      </c>
      <c r="Y41" s="1345">
        <f t="shared" si="48"/>
        <v>150.40106951871655</v>
      </c>
    </row>
    <row r="42" spans="1:25" s="1" customFormat="1" x14ac:dyDescent="0.2">
      <c r="A42" s="213" t="str">
        <f t="shared" si="40"/>
        <v>NMIA</v>
      </c>
      <c r="B42" s="213"/>
      <c r="C42" s="214">
        <f t="shared" ref="C42:D42" si="61">D81</f>
        <v>30.032</v>
      </c>
      <c r="D42" s="214">
        <f t="shared" si="61"/>
        <v>6.8000000000000005E-2</v>
      </c>
      <c r="E42" s="214">
        <f t="shared" ref="E42:F42" si="62">B81</f>
        <v>29.98</v>
      </c>
      <c r="F42" s="214">
        <f t="shared" si="62"/>
        <v>0.13</v>
      </c>
      <c r="G42" s="214">
        <f t="shared" ref="G42:H42" si="63">F81</f>
        <v>-1.4999999999999999E-2</v>
      </c>
      <c r="H42" s="214">
        <f t="shared" si="63"/>
        <v>0.29499999999999998</v>
      </c>
      <c r="I42" s="155">
        <f t="shared" si="33"/>
        <v>0</v>
      </c>
      <c r="J42" s="155">
        <f t="shared" si="34"/>
        <v>0</v>
      </c>
      <c r="K42" s="155">
        <f t="shared" si="35"/>
        <v>0.26</v>
      </c>
      <c r="L42" s="155">
        <f t="shared" si="36"/>
        <v>10</v>
      </c>
      <c r="M42" s="156">
        <f t="shared" si="37"/>
        <v>0.86574320724560483</v>
      </c>
      <c r="N42" s="157">
        <f t="shared" si="38"/>
        <v>8.6574320724560477E-2</v>
      </c>
      <c r="O42" s="155">
        <f t="shared" si="39"/>
        <v>100</v>
      </c>
      <c r="P42" s="292">
        <v>30</v>
      </c>
      <c r="Q42" s="293">
        <v>30</v>
      </c>
      <c r="R42" s="148">
        <f t="shared" si="44"/>
        <v>0.86574320724560483</v>
      </c>
      <c r="S42" s="148">
        <f t="shared" si="45"/>
        <v>0.86574320724560483</v>
      </c>
      <c r="T42" s="148">
        <f t="shared" si="46"/>
        <v>0.25972296217368146</v>
      </c>
      <c r="U42" s="148">
        <f t="shared" si="46"/>
        <v>0.25972296217368146</v>
      </c>
      <c r="V42" s="7">
        <f t="shared" si="47"/>
        <v>30000</v>
      </c>
      <c r="W42" s="7">
        <f t="shared" si="47"/>
        <v>30000</v>
      </c>
      <c r="X42" s="1345">
        <f t="shared" si="48"/>
        <v>259.72296217368148</v>
      </c>
      <c r="Y42" s="1345">
        <f t="shared" si="48"/>
        <v>259.72296217368148</v>
      </c>
    </row>
    <row r="43" spans="1:25" s="1" customFormat="1" x14ac:dyDescent="0.2">
      <c r="A43" s="213" t="str">
        <f t="shared" si="40"/>
        <v>NMISA</v>
      </c>
      <c r="B43" s="213"/>
      <c r="C43" s="214">
        <f t="shared" ref="C43:D43" si="64">D82</f>
        <v>30.234999999999999</v>
      </c>
      <c r="D43" s="214">
        <f t="shared" si="64"/>
        <v>6.8000000000000005E-2</v>
      </c>
      <c r="E43" s="214">
        <f t="shared" ref="E43:F43" si="65">B82</f>
        <v>30.24</v>
      </c>
      <c r="F43" s="214">
        <f t="shared" si="65"/>
        <v>8.5000000000000006E-2</v>
      </c>
      <c r="G43" s="214">
        <f t="shared" ref="G43:H43" si="66">F82</f>
        <v>4.7E-2</v>
      </c>
      <c r="H43" s="214">
        <f t="shared" si="66"/>
        <v>0.221</v>
      </c>
      <c r="I43" s="155">
        <f t="shared" si="33"/>
        <v>0</v>
      </c>
      <c r="J43" s="155">
        <f t="shared" si="34"/>
        <v>0</v>
      </c>
      <c r="K43" s="155">
        <f t="shared" si="35"/>
        <v>0.17</v>
      </c>
      <c r="L43" s="155">
        <f t="shared" si="36"/>
        <v>10</v>
      </c>
      <c r="M43" s="156">
        <f t="shared" si="37"/>
        <v>0.56226227881594182</v>
      </c>
      <c r="N43" s="157">
        <f t="shared" si="38"/>
        <v>5.6226227881594183E-2</v>
      </c>
      <c r="O43" s="155">
        <f t="shared" si="39"/>
        <v>100</v>
      </c>
      <c r="P43" s="292">
        <v>30</v>
      </c>
      <c r="Q43" s="293">
        <v>30</v>
      </c>
      <c r="R43" s="148">
        <f t="shared" si="44"/>
        <v>0.56226227881594182</v>
      </c>
      <c r="S43" s="148">
        <f t="shared" si="45"/>
        <v>0.56226227881594182</v>
      </c>
      <c r="T43" s="148">
        <f t="shared" si="46"/>
        <v>0.16867868364478256</v>
      </c>
      <c r="U43" s="148">
        <f t="shared" si="46"/>
        <v>0.16867868364478256</v>
      </c>
      <c r="V43" s="7">
        <f t="shared" si="47"/>
        <v>30000</v>
      </c>
      <c r="W43" s="7">
        <f t="shared" si="47"/>
        <v>30000</v>
      </c>
      <c r="X43" s="1345">
        <f t="shared" si="48"/>
        <v>168.67868364478255</v>
      </c>
      <c r="Y43" s="1345">
        <f t="shared" si="48"/>
        <v>168.67868364478255</v>
      </c>
    </row>
    <row r="44" spans="1:25" s="1" customFormat="1" x14ac:dyDescent="0.2">
      <c r="A44" s="213" t="str">
        <f t="shared" si="40"/>
        <v>NPL</v>
      </c>
      <c r="B44" s="213"/>
      <c r="C44" s="214">
        <f t="shared" ref="C44:D44" si="67">D83</f>
        <v>30.048999999999999</v>
      </c>
      <c r="D44" s="214">
        <f t="shared" si="67"/>
        <v>5.3999999999999999E-2</v>
      </c>
      <c r="E44" s="214">
        <f t="shared" ref="E44:F44" si="68">B83</f>
        <v>29.927</v>
      </c>
      <c r="F44" s="214">
        <f t="shared" si="68"/>
        <v>0.03</v>
      </c>
      <c r="G44" s="214">
        <f t="shared" ref="G44:H44" si="69">F83</f>
        <v>-8.5000000000000006E-2</v>
      </c>
      <c r="H44" s="214">
        <f t="shared" si="69"/>
        <v>0.154</v>
      </c>
      <c r="I44" s="155">
        <f t="shared" si="33"/>
        <v>0</v>
      </c>
      <c r="J44" s="155">
        <f t="shared" si="34"/>
        <v>0</v>
      </c>
      <c r="K44" s="155">
        <f t="shared" si="35"/>
        <v>0.06</v>
      </c>
      <c r="L44" s="155">
        <f t="shared" si="36"/>
        <v>10</v>
      </c>
      <c r="M44" s="156">
        <f t="shared" si="37"/>
        <v>0.19967386601883588</v>
      </c>
      <c r="N44" s="157">
        <f t="shared" si="38"/>
        <v>1.9967386601883588E-2</v>
      </c>
      <c r="O44" s="155">
        <f t="shared" si="39"/>
        <v>100</v>
      </c>
      <c r="P44" s="292">
        <v>30</v>
      </c>
      <c r="Q44" s="293">
        <v>30</v>
      </c>
      <c r="R44" s="148">
        <f t="shared" si="44"/>
        <v>0.19967386601883588</v>
      </c>
      <c r="S44" s="148">
        <f t="shared" si="45"/>
        <v>0.19967386601883588</v>
      </c>
      <c r="T44" s="148">
        <f t="shared" si="46"/>
        <v>5.9902159805650765E-2</v>
      </c>
      <c r="U44" s="148">
        <f t="shared" si="46"/>
        <v>5.9902159805650765E-2</v>
      </c>
      <c r="V44" s="7">
        <f t="shared" si="47"/>
        <v>30000</v>
      </c>
      <c r="W44" s="7">
        <f t="shared" si="47"/>
        <v>30000</v>
      </c>
      <c r="X44" s="1345">
        <f t="shared" si="48"/>
        <v>59.902159805650761</v>
      </c>
      <c r="Y44" s="1345">
        <f t="shared" si="48"/>
        <v>59.902159805650761</v>
      </c>
    </row>
    <row r="45" spans="1:25" s="1" customFormat="1" x14ac:dyDescent="0.2">
      <c r="A45" s="213" t="str">
        <f t="shared" si="40"/>
        <v>VNIIM</v>
      </c>
      <c r="B45" s="213"/>
      <c r="C45" s="214">
        <f t="shared" ref="C45:D45" si="70">D84</f>
        <v>29.975000000000001</v>
      </c>
      <c r="D45" s="214">
        <f t="shared" si="70"/>
        <v>4.4999999999999998E-2</v>
      </c>
      <c r="E45" s="214">
        <f t="shared" ref="E45:F45" si="71">B84</f>
        <v>30.024999999999999</v>
      </c>
      <c r="F45" s="214">
        <f t="shared" si="71"/>
        <v>6.0000000000000001E-3</v>
      </c>
      <c r="G45" s="214">
        <f t="shared" ref="G45:H45" si="72">F84</f>
        <v>8.5999999999999993E-2</v>
      </c>
      <c r="H45" s="214">
        <f t="shared" si="72"/>
        <v>9.7000000000000003E-2</v>
      </c>
      <c r="I45" s="155">
        <f t="shared" si="33"/>
        <v>0</v>
      </c>
      <c r="J45" s="155">
        <f t="shared" si="34"/>
        <v>0</v>
      </c>
      <c r="K45" s="155">
        <f t="shared" si="35"/>
        <v>1.2E-2</v>
      </c>
      <c r="L45" s="155">
        <f t="shared" si="36"/>
        <v>10</v>
      </c>
      <c r="M45" s="156">
        <f t="shared" si="37"/>
        <v>4.0033361134278564E-2</v>
      </c>
      <c r="N45" s="157">
        <f t="shared" si="38"/>
        <v>4.0033361134278571E-3</v>
      </c>
      <c r="O45" s="155">
        <f t="shared" si="39"/>
        <v>100</v>
      </c>
      <c r="P45" s="292">
        <v>30</v>
      </c>
      <c r="Q45" s="293">
        <v>30</v>
      </c>
      <c r="R45" s="148">
        <f t="shared" si="44"/>
        <v>4.0033361134278564E-2</v>
      </c>
      <c r="S45" s="148">
        <f t="shared" si="45"/>
        <v>4.0033361134278564E-2</v>
      </c>
      <c r="T45" s="148">
        <f t="shared" si="46"/>
        <v>1.201000834028357E-2</v>
      </c>
      <c r="U45" s="148">
        <f t="shared" si="46"/>
        <v>1.201000834028357E-2</v>
      </c>
      <c r="V45" s="7">
        <f t="shared" si="47"/>
        <v>30000</v>
      </c>
      <c r="W45" s="7">
        <f t="shared" si="47"/>
        <v>30000</v>
      </c>
      <c r="X45" s="1345">
        <f t="shared" si="48"/>
        <v>12.010008340283569</v>
      </c>
      <c r="Y45" s="1345">
        <f t="shared" si="48"/>
        <v>12.010008340283569</v>
      </c>
    </row>
    <row r="46" spans="1:25" s="1" customFormat="1" x14ac:dyDescent="0.2">
      <c r="A46" s="213" t="str">
        <f t="shared" si="40"/>
        <v>NIST</v>
      </c>
      <c r="B46" s="213"/>
      <c r="C46" s="214">
        <f t="shared" ref="C46:D46" si="73">D85</f>
        <v>29.745000000000001</v>
      </c>
      <c r="D46" s="214">
        <f t="shared" si="73"/>
        <v>3.4000000000000002E-2</v>
      </c>
      <c r="E46" s="214">
        <f t="shared" ref="E46:F46" si="74">B85</f>
        <v>29.779</v>
      </c>
      <c r="F46" s="214">
        <f t="shared" si="74"/>
        <v>1.7999999999999999E-2</v>
      </c>
      <c r="G46" s="214">
        <f t="shared" ref="G46:H46" si="75">F85</f>
        <v>6.4000000000000001E-2</v>
      </c>
      <c r="H46" s="214">
        <f t="shared" si="75"/>
        <v>0.22900000000000001</v>
      </c>
      <c r="I46" s="155">
        <f t="shared" ref="I46:I47" si="76">IF(ABS(G46)&gt;ABS(H46), 1, 0)</f>
        <v>0</v>
      </c>
      <c r="J46" s="155">
        <f t="shared" ref="J46:J47" si="77">I46*ABS(C46-E46)</f>
        <v>0</v>
      </c>
      <c r="K46" s="155">
        <f t="shared" ref="K46:K47" si="78">SQRT(SUMSQ(F46,J46))*2</f>
        <v>3.5999999999999997E-2</v>
      </c>
      <c r="L46" s="155">
        <f t="shared" ref="L46:L47" si="79">IF(C46&lt;$K$2, C46, $K$1)</f>
        <v>10</v>
      </c>
      <c r="M46" s="156">
        <f t="shared" ref="M46:M47" si="80">IF(AND(C46&lt;$K$1,C46&gt; $K$2), K46/L46*100, K46/C46*100)</f>
        <v>0.1210287443267776</v>
      </c>
      <c r="N46" s="157">
        <f t="shared" ref="N46:N47" si="81">M46*L46/100</f>
        <v>1.210287443267776E-2</v>
      </c>
      <c r="O46" s="155">
        <f t="shared" ref="O46:O47" si="82">N46/(M46*L46/100)*100</f>
        <v>100</v>
      </c>
      <c r="P46" s="292">
        <v>30</v>
      </c>
      <c r="Q46" s="293">
        <v>30</v>
      </c>
      <c r="R46" s="148">
        <f t="shared" ref="R46:R47" si="83">IF(P46&lt;L46, M46*L46/P46, M46)</f>
        <v>0.1210287443267776</v>
      </c>
      <c r="S46" s="148">
        <f t="shared" ref="S46:S47" si="84">IF(Q46&lt;L46, M46*L46/Q46, M46)</f>
        <v>0.1210287443267776</v>
      </c>
      <c r="T46" s="148">
        <f t="shared" ref="T46:T47" si="85">R46*P46*0.01</f>
        <v>3.6308623298033277E-2</v>
      </c>
      <c r="U46" s="148">
        <f t="shared" ref="U46:U47" si="86">S46*Q46*0.01</f>
        <v>3.6308623298033277E-2</v>
      </c>
      <c r="V46" s="7">
        <f t="shared" ref="V46:V47" si="87">P46*1000</f>
        <v>30000</v>
      </c>
      <c r="W46" s="7">
        <f t="shared" ref="W46:W47" si="88">Q46*1000</f>
        <v>30000</v>
      </c>
      <c r="X46" s="1345">
        <f t="shared" ref="X46:X47" si="89">T46*1000</f>
        <v>36.308623298033275</v>
      </c>
      <c r="Y46" s="1345">
        <f t="shared" ref="Y46:Y47" si="90">U46*1000</f>
        <v>36.308623298033275</v>
      </c>
    </row>
    <row r="47" spans="1:25" x14ac:dyDescent="0.2">
      <c r="A47" s="213" t="str">
        <f>A86</f>
        <v>VSL</v>
      </c>
      <c r="B47" s="213"/>
      <c r="C47" s="214" t="str">
        <f t="shared" ref="C47:D47" si="91">D86</f>
        <v>NA</v>
      </c>
      <c r="D47" s="214" t="str">
        <f t="shared" si="91"/>
        <v>NA</v>
      </c>
      <c r="E47" s="214" t="str">
        <f t="shared" ref="E47:F47" si="92">B86</f>
        <v>NA</v>
      </c>
      <c r="F47" s="214" t="str">
        <f t="shared" si="92"/>
        <v>NA</v>
      </c>
      <c r="G47" s="214" t="str">
        <f t="shared" ref="G47:H47" si="93">F86</f>
        <v>NA</v>
      </c>
      <c r="H47" s="214" t="str">
        <f t="shared" si="93"/>
        <v>NA</v>
      </c>
      <c r="I47" s="155" t="e">
        <f t="shared" si="76"/>
        <v>#VALUE!</v>
      </c>
      <c r="J47" s="155" t="e">
        <f t="shared" si="77"/>
        <v>#VALUE!</v>
      </c>
      <c r="K47" s="155" t="e">
        <f t="shared" si="78"/>
        <v>#VALUE!</v>
      </c>
      <c r="L47" s="155">
        <f t="shared" si="79"/>
        <v>10</v>
      </c>
      <c r="M47" s="156" t="e">
        <f t="shared" si="80"/>
        <v>#VALUE!</v>
      </c>
      <c r="N47" s="157" t="e">
        <f t="shared" si="81"/>
        <v>#VALUE!</v>
      </c>
      <c r="O47" s="155" t="e">
        <f t="shared" si="82"/>
        <v>#VALUE!</v>
      </c>
      <c r="P47" s="292">
        <v>30</v>
      </c>
      <c r="Q47" s="293">
        <v>30</v>
      </c>
      <c r="R47" s="148" t="e">
        <f t="shared" si="83"/>
        <v>#VALUE!</v>
      </c>
      <c r="S47" s="148" t="e">
        <f t="shared" si="84"/>
        <v>#VALUE!</v>
      </c>
      <c r="T47" s="148" t="e">
        <f t="shared" si="85"/>
        <v>#VALUE!</v>
      </c>
      <c r="U47" s="148" t="e">
        <f t="shared" si="86"/>
        <v>#VALUE!</v>
      </c>
      <c r="V47" s="7">
        <f t="shared" si="87"/>
        <v>30000</v>
      </c>
      <c r="W47" s="7">
        <f t="shared" si="88"/>
        <v>30000</v>
      </c>
      <c r="X47" s="1345" t="e">
        <f t="shared" si="89"/>
        <v>#VALUE!</v>
      </c>
      <c r="Y47" s="1345" t="e">
        <f t="shared" si="90"/>
        <v>#VALUE!</v>
      </c>
    </row>
    <row r="49" spans="1:25" x14ac:dyDescent="0.2">
      <c r="A49" s="117" t="s">
        <v>110</v>
      </c>
    </row>
    <row r="50" spans="1:25" s="1" customFormat="1" ht="63.75" x14ac:dyDescent="0.2">
      <c r="A50" s="211" t="s">
        <v>0</v>
      </c>
      <c r="B50" s="212" t="s">
        <v>1</v>
      </c>
      <c r="C50" s="212" t="s">
        <v>133</v>
      </c>
      <c r="D50" s="212" t="s">
        <v>134</v>
      </c>
      <c r="E50" s="212" t="s">
        <v>135</v>
      </c>
      <c r="F50" s="212" t="s">
        <v>136</v>
      </c>
      <c r="G50" s="212" t="s">
        <v>137</v>
      </c>
      <c r="H50" s="212" t="s">
        <v>138</v>
      </c>
      <c r="I50" s="104" t="s">
        <v>8</v>
      </c>
      <c r="J50" s="104" t="s">
        <v>9</v>
      </c>
      <c r="K50" s="104" t="s">
        <v>107</v>
      </c>
      <c r="L50" s="104" t="s">
        <v>14</v>
      </c>
      <c r="M50" s="104" t="s">
        <v>12</v>
      </c>
      <c r="N50" s="104" t="s">
        <v>10</v>
      </c>
      <c r="O50" s="104" t="s">
        <v>100</v>
      </c>
      <c r="P50" s="6" t="s">
        <v>105</v>
      </c>
      <c r="Q50" s="6" t="s">
        <v>106</v>
      </c>
      <c r="R50" s="104" t="s">
        <v>70</v>
      </c>
      <c r="S50" s="104" t="s">
        <v>71</v>
      </c>
      <c r="T50" s="147" t="s">
        <v>80</v>
      </c>
      <c r="U50" s="147" t="s">
        <v>81</v>
      </c>
      <c r="V50" s="5" t="s">
        <v>101</v>
      </c>
      <c r="W50" s="5" t="s">
        <v>102</v>
      </c>
      <c r="X50" s="112" t="s">
        <v>103</v>
      </c>
      <c r="Y50" s="112" t="s">
        <v>104</v>
      </c>
    </row>
    <row r="51" spans="1:25" s="1" customFormat="1" x14ac:dyDescent="0.2">
      <c r="A51" s="213" t="str">
        <f>A94</f>
        <v>BFKH</v>
      </c>
      <c r="B51" s="213"/>
      <c r="C51" s="214">
        <f>D94</f>
        <v>70.62</v>
      </c>
      <c r="D51" s="214">
        <f>E94</f>
        <v>0.123</v>
      </c>
      <c r="E51" s="214">
        <f>B94</f>
        <v>70.05</v>
      </c>
      <c r="F51" s="214">
        <f>C94</f>
        <v>0.24</v>
      </c>
      <c r="G51" s="214">
        <f>F94</f>
        <v>-0.56999999999999995</v>
      </c>
      <c r="H51" s="214">
        <f>G94</f>
        <v>0.53900000000000003</v>
      </c>
      <c r="I51" s="155">
        <f t="shared" ref="I51:I62" si="94">IF(ABS(G51)&gt;ABS(H51), 1, 0)</f>
        <v>1</v>
      </c>
      <c r="J51" s="155">
        <f t="shared" ref="J51:J62" si="95">I51*ABS(C51-E51)</f>
        <v>0.57000000000000739</v>
      </c>
      <c r="K51" s="155">
        <f t="shared" ref="K51:K62" si="96">SQRT(SUMSQ(F51,J51))*2</f>
        <v>1.2369316876853118</v>
      </c>
      <c r="L51" s="155">
        <f t="shared" ref="L51:L62" si="97">IF(C51&lt;$K$2, C51, $K$1)</f>
        <v>10</v>
      </c>
      <c r="M51" s="156">
        <f t="shared" ref="M51:M62" si="98">IF(AND(C51&lt;$K$1,C51&gt; $K$2), K51/L51*100, K51/C51*100)</f>
        <v>1.7515317016217953</v>
      </c>
      <c r="N51" s="157">
        <f t="shared" ref="N51:N62" si="99">M51*L51/100</f>
        <v>0.17515317016217952</v>
      </c>
      <c r="O51" s="155">
        <f t="shared" ref="O51:O62" si="100">N51/(M51*L51/100)*100</f>
        <v>100</v>
      </c>
      <c r="P51" s="292">
        <v>70</v>
      </c>
      <c r="Q51" s="293">
        <v>70</v>
      </c>
      <c r="R51" s="148">
        <f>IF(P51&lt;L51, M51*L51/P51, M51)</f>
        <v>1.7515317016217953</v>
      </c>
      <c r="S51" s="148">
        <f>IF(Q51&lt;L51, M51*L51/Q51, M51)</f>
        <v>1.7515317016217953</v>
      </c>
      <c r="T51" s="148">
        <f>R51*P51*0.01</f>
        <v>1.2260721911352568</v>
      </c>
      <c r="U51" s="148">
        <f>S51*Q51*0.01</f>
        <v>1.2260721911352568</v>
      </c>
      <c r="V51" s="7">
        <f>P51*1000</f>
        <v>70000</v>
      </c>
      <c r="W51" s="7">
        <f>Q51*1000</f>
        <v>70000</v>
      </c>
      <c r="X51" s="1345">
        <f>T51*1000</f>
        <v>1226.0721911352568</v>
      </c>
      <c r="Y51" s="1345">
        <f>U51*1000</f>
        <v>1226.0721911352568</v>
      </c>
    </row>
    <row r="52" spans="1:25" s="1" customFormat="1" x14ac:dyDescent="0.2">
      <c r="A52" s="213" t="str">
        <f t="shared" ref="A52:A62" si="101">A95</f>
        <v>CERI</v>
      </c>
      <c r="B52" s="213"/>
      <c r="C52" s="214">
        <f t="shared" ref="C52:D52" si="102">D95</f>
        <v>68.771000000000001</v>
      </c>
      <c r="D52" s="214">
        <f t="shared" si="102"/>
        <v>0.14399999999999999</v>
      </c>
      <c r="E52" s="214">
        <f t="shared" ref="E52:F52" si="103">B95</f>
        <v>68.760000000000005</v>
      </c>
      <c r="F52" s="214">
        <f t="shared" si="103"/>
        <v>0.11</v>
      </c>
      <c r="G52" s="214">
        <f t="shared" ref="G52:H52" si="104">F95</f>
        <v>-1.0999999999999999E-2</v>
      </c>
      <c r="H52" s="214">
        <f t="shared" si="104"/>
        <v>0.36199999999999999</v>
      </c>
      <c r="I52" s="155">
        <f t="shared" si="94"/>
        <v>0</v>
      </c>
      <c r="J52" s="155">
        <f t="shared" si="95"/>
        <v>0</v>
      </c>
      <c r="K52" s="155">
        <f t="shared" si="96"/>
        <v>0.22</v>
      </c>
      <c r="L52" s="155">
        <f t="shared" si="97"/>
        <v>10</v>
      </c>
      <c r="M52" s="156">
        <f t="shared" si="98"/>
        <v>0.31990228439313084</v>
      </c>
      <c r="N52" s="157">
        <f t="shared" si="99"/>
        <v>3.1990228439313081E-2</v>
      </c>
      <c r="O52" s="155">
        <f t="shared" si="100"/>
        <v>100</v>
      </c>
      <c r="P52" s="292">
        <v>70</v>
      </c>
      <c r="Q52" s="293">
        <v>70</v>
      </c>
      <c r="R52" s="148">
        <f t="shared" ref="R52:R62" si="105">IF(P52&lt;L52, M52*L52/P52, M52)</f>
        <v>0.31990228439313084</v>
      </c>
      <c r="S52" s="148">
        <f t="shared" ref="S52:S62" si="106">IF(Q52&lt;L52, M52*L52/Q52, M52)</f>
        <v>0.31990228439313084</v>
      </c>
      <c r="T52" s="148">
        <f t="shared" ref="T52:T62" si="107">R52*P52*0.01</f>
        <v>0.22393159907519158</v>
      </c>
      <c r="U52" s="148">
        <f t="shared" ref="U52:U62" si="108">S52*Q52*0.01</f>
        <v>0.22393159907519158</v>
      </c>
      <c r="V52" s="7">
        <f t="shared" ref="V52:V62" si="109">P52*1000</f>
        <v>70000</v>
      </c>
      <c r="W52" s="7">
        <f t="shared" ref="W52:W62" si="110">Q52*1000</f>
        <v>70000</v>
      </c>
      <c r="X52" s="1345">
        <f t="shared" ref="X52:X62" si="111">T52*1000</f>
        <v>223.93159907519157</v>
      </c>
      <c r="Y52" s="1345">
        <f t="shared" ref="Y52:Y62" si="112">U52*1000</f>
        <v>223.93159907519157</v>
      </c>
    </row>
    <row r="53" spans="1:25" s="1" customFormat="1" x14ac:dyDescent="0.2">
      <c r="A53" s="213" t="str">
        <f t="shared" si="101"/>
        <v>GUM</v>
      </c>
      <c r="B53" s="213"/>
      <c r="C53" s="214">
        <f t="shared" ref="C53:D53" si="113">D96</f>
        <v>69.784999999999997</v>
      </c>
      <c r="D53" s="214">
        <f t="shared" si="113"/>
        <v>8.8999999999999996E-2</v>
      </c>
      <c r="E53" s="214">
        <f t="shared" ref="E53:F53" si="114">B96</f>
        <v>71.099999999999994</v>
      </c>
      <c r="F53" s="214">
        <f t="shared" si="114"/>
        <v>0.55000000000000004</v>
      </c>
      <c r="G53" s="214">
        <f t="shared" ref="G53:H53" si="115">F96</f>
        <v>1.3149999999999999</v>
      </c>
      <c r="H53" s="214">
        <f t="shared" si="115"/>
        <v>1.1140000000000001</v>
      </c>
      <c r="I53" s="155">
        <f t="shared" si="94"/>
        <v>1</v>
      </c>
      <c r="J53" s="155">
        <f t="shared" si="95"/>
        <v>1.3149999999999977</v>
      </c>
      <c r="K53" s="155">
        <f t="shared" si="96"/>
        <v>2.8507718253132741</v>
      </c>
      <c r="L53" s="155">
        <f t="shared" si="97"/>
        <v>10</v>
      </c>
      <c r="M53" s="156">
        <f t="shared" si="98"/>
        <v>4.0850782049341179</v>
      </c>
      <c r="N53" s="157">
        <f t="shared" si="99"/>
        <v>0.40850782049341178</v>
      </c>
      <c r="O53" s="155">
        <f t="shared" si="100"/>
        <v>100</v>
      </c>
      <c r="P53" s="292">
        <v>70</v>
      </c>
      <c r="Q53" s="293">
        <v>70</v>
      </c>
      <c r="R53" s="148">
        <f t="shared" si="105"/>
        <v>4.0850782049341179</v>
      </c>
      <c r="S53" s="148">
        <f t="shared" si="106"/>
        <v>4.0850782049341179</v>
      </c>
      <c r="T53" s="148">
        <f t="shared" si="107"/>
        <v>2.8595547434538826</v>
      </c>
      <c r="U53" s="148">
        <f t="shared" si="108"/>
        <v>2.8595547434538826</v>
      </c>
      <c r="V53" s="7">
        <f t="shared" si="109"/>
        <v>70000</v>
      </c>
      <c r="W53" s="7">
        <f t="shared" si="110"/>
        <v>70000</v>
      </c>
      <c r="X53" s="1345">
        <f t="shared" si="111"/>
        <v>2859.5547434538826</v>
      </c>
      <c r="Y53" s="1345">
        <f t="shared" si="112"/>
        <v>2859.5547434538826</v>
      </c>
    </row>
    <row r="54" spans="1:25" s="1" customFormat="1" x14ac:dyDescent="0.2">
      <c r="A54" s="213" t="str">
        <f t="shared" si="101"/>
        <v>KRISS</v>
      </c>
      <c r="B54" s="213"/>
      <c r="C54" s="214">
        <f t="shared" ref="C54:D54" si="116">D97</f>
        <v>69.864000000000004</v>
      </c>
      <c r="D54" s="214">
        <f t="shared" si="116"/>
        <v>6.9000000000000006E-2</v>
      </c>
      <c r="E54" s="214">
        <f t="shared" ref="E54:F54" si="117">B97</f>
        <v>70.084999999999994</v>
      </c>
      <c r="F54" s="214">
        <f t="shared" si="117"/>
        <v>0.161</v>
      </c>
      <c r="G54" s="214">
        <f t="shared" ref="G54:H54" si="118">F97</f>
        <v>0.221</v>
      </c>
      <c r="H54" s="214">
        <f t="shared" si="118"/>
        <v>0.35</v>
      </c>
      <c r="I54" s="155">
        <f t="shared" si="94"/>
        <v>0</v>
      </c>
      <c r="J54" s="155">
        <f t="shared" si="95"/>
        <v>0</v>
      </c>
      <c r="K54" s="155">
        <f t="shared" si="96"/>
        <v>0.32200000000000001</v>
      </c>
      <c r="L54" s="155">
        <f t="shared" si="97"/>
        <v>10</v>
      </c>
      <c r="M54" s="156">
        <f t="shared" si="98"/>
        <v>0.46089545402496274</v>
      </c>
      <c r="N54" s="157">
        <f t="shared" si="99"/>
        <v>4.6089545402496268E-2</v>
      </c>
      <c r="O54" s="155">
        <f t="shared" si="100"/>
        <v>100</v>
      </c>
      <c r="P54" s="292">
        <v>70</v>
      </c>
      <c r="Q54" s="293">
        <v>70</v>
      </c>
      <c r="R54" s="148">
        <f t="shared" si="105"/>
        <v>0.46089545402496274</v>
      </c>
      <c r="S54" s="148">
        <f t="shared" si="106"/>
        <v>0.46089545402496274</v>
      </c>
      <c r="T54" s="148">
        <f t="shared" si="107"/>
        <v>0.32262681781747388</v>
      </c>
      <c r="U54" s="148">
        <f t="shared" si="108"/>
        <v>0.32262681781747388</v>
      </c>
      <c r="V54" s="7">
        <f t="shared" si="109"/>
        <v>70000</v>
      </c>
      <c r="W54" s="7">
        <f t="shared" si="110"/>
        <v>70000</v>
      </c>
      <c r="X54" s="1345">
        <f t="shared" si="111"/>
        <v>322.62681781747386</v>
      </c>
      <c r="Y54" s="1345">
        <f t="shared" si="112"/>
        <v>322.62681781747386</v>
      </c>
    </row>
    <row r="55" spans="1:25" s="1" customFormat="1" x14ac:dyDescent="0.2">
      <c r="A55" s="213" t="str">
        <f t="shared" si="101"/>
        <v>LNE</v>
      </c>
      <c r="B55" s="213"/>
      <c r="C55" s="214">
        <f t="shared" ref="C55:D55" si="119">D98</f>
        <v>70.02</v>
      </c>
      <c r="D55" s="214">
        <f t="shared" si="119"/>
        <v>7.0000000000000007E-2</v>
      </c>
      <c r="E55" s="214">
        <f t="shared" ref="E55:F55" si="120">B98</f>
        <v>69.989999999999995</v>
      </c>
      <c r="F55" s="214">
        <f t="shared" si="120"/>
        <v>0.08</v>
      </c>
      <c r="G55" s="214">
        <f t="shared" ref="G55:H55" si="121">F98</f>
        <v>-0.03</v>
      </c>
      <c r="H55" s="214">
        <f t="shared" si="121"/>
        <v>0.21299999999999999</v>
      </c>
      <c r="I55" s="155">
        <f t="shared" si="94"/>
        <v>0</v>
      </c>
      <c r="J55" s="155">
        <f t="shared" si="95"/>
        <v>0</v>
      </c>
      <c r="K55" s="155">
        <f t="shared" si="96"/>
        <v>0.16</v>
      </c>
      <c r="L55" s="155">
        <f t="shared" si="97"/>
        <v>10</v>
      </c>
      <c r="M55" s="156">
        <f t="shared" si="98"/>
        <v>0.22850614110254214</v>
      </c>
      <c r="N55" s="157">
        <f t="shared" si="99"/>
        <v>2.2850614110254214E-2</v>
      </c>
      <c r="O55" s="155">
        <f t="shared" si="100"/>
        <v>100</v>
      </c>
      <c r="P55" s="292">
        <v>70</v>
      </c>
      <c r="Q55" s="293">
        <v>70</v>
      </c>
      <c r="R55" s="148">
        <f t="shared" si="105"/>
        <v>0.22850614110254214</v>
      </c>
      <c r="S55" s="148">
        <f t="shared" si="106"/>
        <v>0.22850614110254214</v>
      </c>
      <c r="T55" s="148">
        <f t="shared" si="107"/>
        <v>0.1599542987717795</v>
      </c>
      <c r="U55" s="148">
        <f t="shared" si="108"/>
        <v>0.1599542987717795</v>
      </c>
      <c r="V55" s="7">
        <f t="shared" si="109"/>
        <v>70000</v>
      </c>
      <c r="W55" s="7">
        <f t="shared" si="110"/>
        <v>70000</v>
      </c>
      <c r="X55" s="1345">
        <f t="shared" si="111"/>
        <v>159.95429877177949</v>
      </c>
      <c r="Y55" s="1345">
        <f t="shared" si="112"/>
        <v>159.95429877177949</v>
      </c>
    </row>
    <row r="56" spans="1:25" s="1" customFormat="1" x14ac:dyDescent="0.2">
      <c r="A56" s="213" t="str">
        <f t="shared" si="101"/>
        <v>NIM</v>
      </c>
      <c r="B56" s="213"/>
      <c r="C56" s="214">
        <f t="shared" ref="C56:D56" si="122">D99</f>
        <v>69.905000000000001</v>
      </c>
      <c r="D56" s="214">
        <f t="shared" si="122"/>
        <v>6.4000000000000001E-2</v>
      </c>
      <c r="E56" s="214">
        <f t="shared" ref="E56:F56" si="123">B99</f>
        <v>69.900000000000006</v>
      </c>
      <c r="F56" s="214">
        <f t="shared" si="123"/>
        <v>0.17499999999999999</v>
      </c>
      <c r="G56" s="214">
        <f t="shared" ref="G56:H56" si="124">F99</f>
        <v>-5.0000000000000001E-3</v>
      </c>
      <c r="H56" s="214">
        <f t="shared" si="124"/>
        <v>0.372</v>
      </c>
      <c r="I56" s="155">
        <f t="shared" si="94"/>
        <v>0</v>
      </c>
      <c r="J56" s="155">
        <f t="shared" si="95"/>
        <v>0</v>
      </c>
      <c r="K56" s="155">
        <f t="shared" si="96"/>
        <v>0.35</v>
      </c>
      <c r="L56" s="155">
        <f t="shared" si="97"/>
        <v>10</v>
      </c>
      <c r="M56" s="156">
        <f t="shared" si="98"/>
        <v>0.50067949359845509</v>
      </c>
      <c r="N56" s="157">
        <f t="shared" si="99"/>
        <v>5.0067949359845515E-2</v>
      </c>
      <c r="O56" s="155">
        <f t="shared" si="100"/>
        <v>100</v>
      </c>
      <c r="P56" s="292">
        <v>70</v>
      </c>
      <c r="Q56" s="293">
        <v>70</v>
      </c>
      <c r="R56" s="148">
        <f t="shared" si="105"/>
        <v>0.50067949359845509</v>
      </c>
      <c r="S56" s="148">
        <f t="shared" si="106"/>
        <v>0.50067949359845509</v>
      </c>
      <c r="T56" s="148">
        <f t="shared" si="107"/>
        <v>0.35047564551891858</v>
      </c>
      <c r="U56" s="148">
        <f t="shared" si="108"/>
        <v>0.35047564551891858</v>
      </c>
      <c r="V56" s="7">
        <f t="shared" si="109"/>
        <v>70000</v>
      </c>
      <c r="W56" s="7">
        <f t="shared" si="110"/>
        <v>70000</v>
      </c>
      <c r="X56" s="1345">
        <f t="shared" si="111"/>
        <v>350.47564551891855</v>
      </c>
      <c r="Y56" s="1345">
        <f t="shared" si="112"/>
        <v>350.47564551891855</v>
      </c>
    </row>
    <row r="57" spans="1:25" s="1" customFormat="1" x14ac:dyDescent="0.2">
      <c r="A57" s="213" t="str">
        <f t="shared" si="101"/>
        <v>NMIA</v>
      </c>
      <c r="B57" s="213"/>
      <c r="C57" s="214">
        <f t="shared" ref="C57:D57" si="125">D100</f>
        <v>69.953000000000003</v>
      </c>
      <c r="D57" s="214">
        <f t="shared" si="125"/>
        <v>5.1999999999999998E-2</v>
      </c>
      <c r="E57" s="214">
        <f t="shared" ref="E57:F57" si="126">B100</f>
        <v>69.98</v>
      </c>
      <c r="F57" s="214">
        <f t="shared" si="126"/>
        <v>0.155</v>
      </c>
      <c r="G57" s="214">
        <f t="shared" ref="G57:H57" si="127">F100</f>
        <v>2.7E-2</v>
      </c>
      <c r="H57" s="214">
        <f t="shared" si="127"/>
        <v>0.32700000000000001</v>
      </c>
      <c r="I57" s="155">
        <f t="shared" si="94"/>
        <v>0</v>
      </c>
      <c r="J57" s="155">
        <f t="shared" si="95"/>
        <v>0</v>
      </c>
      <c r="K57" s="155">
        <f t="shared" si="96"/>
        <v>0.31</v>
      </c>
      <c r="L57" s="155">
        <f t="shared" si="97"/>
        <v>10</v>
      </c>
      <c r="M57" s="156">
        <f t="shared" si="98"/>
        <v>0.4431546895772876</v>
      </c>
      <c r="N57" s="157">
        <f t="shared" si="99"/>
        <v>4.4315468957728761E-2</v>
      </c>
      <c r="O57" s="155">
        <f t="shared" si="100"/>
        <v>100</v>
      </c>
      <c r="P57" s="292">
        <v>70</v>
      </c>
      <c r="Q57" s="293">
        <v>70</v>
      </c>
      <c r="R57" s="148">
        <f t="shared" si="105"/>
        <v>0.4431546895772876</v>
      </c>
      <c r="S57" s="148">
        <f t="shared" si="106"/>
        <v>0.4431546895772876</v>
      </c>
      <c r="T57" s="148">
        <f t="shared" si="107"/>
        <v>0.31020828270410133</v>
      </c>
      <c r="U57" s="148">
        <f t="shared" si="108"/>
        <v>0.31020828270410133</v>
      </c>
      <c r="V57" s="7">
        <f t="shared" si="109"/>
        <v>70000</v>
      </c>
      <c r="W57" s="7">
        <f t="shared" si="110"/>
        <v>70000</v>
      </c>
      <c r="X57" s="1345">
        <f t="shared" si="111"/>
        <v>310.20828270410135</v>
      </c>
      <c r="Y57" s="1345">
        <f t="shared" si="112"/>
        <v>310.20828270410135</v>
      </c>
    </row>
    <row r="58" spans="1:25" s="1" customFormat="1" x14ac:dyDescent="0.2">
      <c r="A58" s="213" t="str">
        <f t="shared" si="101"/>
        <v>NMISA</v>
      </c>
      <c r="B58" s="213"/>
      <c r="C58" s="214">
        <f t="shared" ref="C58:D58" si="128">D101</f>
        <v>69.930000000000007</v>
      </c>
      <c r="D58" s="214">
        <f t="shared" si="128"/>
        <v>6.6000000000000003E-2</v>
      </c>
      <c r="E58" s="214">
        <f t="shared" ref="E58:F58" si="129">B101</f>
        <v>70.09</v>
      </c>
      <c r="F58" s="214">
        <f t="shared" si="129"/>
        <v>0.105</v>
      </c>
      <c r="G58" s="214">
        <f t="shared" ref="G58:H58" si="130">F101</f>
        <v>0.16</v>
      </c>
      <c r="H58" s="214">
        <f t="shared" si="130"/>
        <v>0.249</v>
      </c>
      <c r="I58" s="155">
        <f t="shared" si="94"/>
        <v>0</v>
      </c>
      <c r="J58" s="155">
        <f t="shared" si="95"/>
        <v>0</v>
      </c>
      <c r="K58" s="155">
        <f t="shared" si="96"/>
        <v>0.21</v>
      </c>
      <c r="L58" s="155">
        <f t="shared" si="97"/>
        <v>10</v>
      </c>
      <c r="M58" s="156">
        <f t="shared" si="98"/>
        <v>0.30030030030030025</v>
      </c>
      <c r="N58" s="157">
        <f t="shared" si="99"/>
        <v>3.0030030030030023E-2</v>
      </c>
      <c r="O58" s="155">
        <f t="shared" si="100"/>
        <v>100</v>
      </c>
      <c r="P58" s="292">
        <v>70</v>
      </c>
      <c r="Q58" s="293">
        <v>70</v>
      </c>
      <c r="R58" s="148">
        <f t="shared" si="105"/>
        <v>0.30030030030030025</v>
      </c>
      <c r="S58" s="148">
        <f t="shared" si="106"/>
        <v>0.30030030030030025</v>
      </c>
      <c r="T58" s="148">
        <f t="shared" si="107"/>
        <v>0.21021021021021016</v>
      </c>
      <c r="U58" s="148">
        <f t="shared" si="108"/>
        <v>0.21021021021021016</v>
      </c>
      <c r="V58" s="7">
        <f t="shared" si="109"/>
        <v>70000</v>
      </c>
      <c r="W58" s="7">
        <f t="shared" si="110"/>
        <v>70000</v>
      </c>
      <c r="X58" s="1345">
        <f t="shared" si="111"/>
        <v>210.21021021021016</v>
      </c>
      <c r="Y58" s="1345">
        <f t="shared" si="112"/>
        <v>210.21021021021016</v>
      </c>
    </row>
    <row r="59" spans="1:25" s="1" customFormat="1" x14ac:dyDescent="0.2">
      <c r="A59" s="213" t="str">
        <f t="shared" si="101"/>
        <v>NPL</v>
      </c>
      <c r="B59" s="213"/>
      <c r="C59" s="214">
        <f t="shared" ref="C59:D59" si="131">D102</f>
        <v>70.007000000000005</v>
      </c>
      <c r="D59" s="214">
        <f t="shared" si="131"/>
        <v>6.2E-2</v>
      </c>
      <c r="E59" s="214">
        <f t="shared" ref="E59:F59" si="132">B102</f>
        <v>69.863</v>
      </c>
      <c r="F59" s="214">
        <f t="shared" si="132"/>
        <v>8.6999999999999994E-2</v>
      </c>
      <c r="G59" s="214">
        <f t="shared" ref="G59:H59" si="133">F102</f>
        <v>-0.14399999999999999</v>
      </c>
      <c r="H59" s="214">
        <f t="shared" si="133"/>
        <v>0.214</v>
      </c>
      <c r="I59" s="155">
        <f t="shared" si="94"/>
        <v>0</v>
      </c>
      <c r="J59" s="155">
        <f t="shared" si="95"/>
        <v>0</v>
      </c>
      <c r="K59" s="155">
        <f t="shared" si="96"/>
        <v>0.17399999999999999</v>
      </c>
      <c r="L59" s="155">
        <f t="shared" si="97"/>
        <v>10</v>
      </c>
      <c r="M59" s="156">
        <f t="shared" si="98"/>
        <v>0.24854657391403714</v>
      </c>
      <c r="N59" s="157">
        <f t="shared" si="99"/>
        <v>2.4854657391403717E-2</v>
      </c>
      <c r="O59" s="155">
        <f t="shared" si="100"/>
        <v>100</v>
      </c>
      <c r="P59" s="292">
        <v>70</v>
      </c>
      <c r="Q59" s="293">
        <v>70</v>
      </c>
      <c r="R59" s="148">
        <f t="shared" si="105"/>
        <v>0.24854657391403714</v>
      </c>
      <c r="S59" s="148">
        <f t="shared" si="106"/>
        <v>0.24854657391403714</v>
      </c>
      <c r="T59" s="148">
        <f t="shared" si="107"/>
        <v>0.17398260173982599</v>
      </c>
      <c r="U59" s="148">
        <f t="shared" si="108"/>
        <v>0.17398260173982599</v>
      </c>
      <c r="V59" s="7">
        <f t="shared" si="109"/>
        <v>70000</v>
      </c>
      <c r="W59" s="7">
        <f t="shared" si="110"/>
        <v>70000</v>
      </c>
      <c r="X59" s="1345">
        <f t="shared" si="111"/>
        <v>173.98260173982598</v>
      </c>
      <c r="Y59" s="1345">
        <f t="shared" si="112"/>
        <v>173.98260173982598</v>
      </c>
    </row>
    <row r="60" spans="1:25" s="1" customFormat="1" x14ac:dyDescent="0.2">
      <c r="A60" s="213" t="str">
        <f t="shared" si="101"/>
        <v>VNIMM</v>
      </c>
      <c r="B60" s="213"/>
      <c r="C60" s="214" t="str">
        <f t="shared" ref="C60:D60" si="134">D103</f>
        <v>NA</v>
      </c>
      <c r="D60" s="214" t="str">
        <f t="shared" si="134"/>
        <v>NA</v>
      </c>
      <c r="E60" s="214" t="str">
        <f t="shared" ref="E60:F60" si="135">B103</f>
        <v>NA</v>
      </c>
      <c r="F60" s="214" t="str">
        <f t="shared" si="135"/>
        <v>NA</v>
      </c>
      <c r="G60" s="214" t="str">
        <f t="shared" ref="G60:H60" si="136">F103</f>
        <v>NA</v>
      </c>
      <c r="H60" s="214" t="str">
        <f t="shared" si="136"/>
        <v>NA</v>
      </c>
      <c r="I60" s="155" t="e">
        <f t="shared" si="94"/>
        <v>#VALUE!</v>
      </c>
      <c r="J60" s="155" t="e">
        <f t="shared" si="95"/>
        <v>#VALUE!</v>
      </c>
      <c r="K60" s="155" t="e">
        <f t="shared" si="96"/>
        <v>#VALUE!</v>
      </c>
      <c r="L60" s="155">
        <f t="shared" si="97"/>
        <v>10</v>
      </c>
      <c r="M60" s="156" t="e">
        <f t="shared" si="98"/>
        <v>#VALUE!</v>
      </c>
      <c r="N60" s="157" t="e">
        <f t="shared" si="99"/>
        <v>#VALUE!</v>
      </c>
      <c r="O60" s="155" t="e">
        <f t="shared" si="100"/>
        <v>#VALUE!</v>
      </c>
      <c r="P60" s="292">
        <v>70</v>
      </c>
      <c r="Q60" s="293">
        <v>70</v>
      </c>
      <c r="R60" s="148" t="e">
        <f t="shared" si="105"/>
        <v>#VALUE!</v>
      </c>
      <c r="S60" s="148" t="e">
        <f t="shared" si="106"/>
        <v>#VALUE!</v>
      </c>
      <c r="T60" s="148" t="e">
        <f t="shared" si="107"/>
        <v>#VALUE!</v>
      </c>
      <c r="U60" s="148" t="e">
        <f t="shared" si="108"/>
        <v>#VALUE!</v>
      </c>
      <c r="V60" s="7">
        <f t="shared" si="109"/>
        <v>70000</v>
      </c>
      <c r="W60" s="7">
        <f t="shared" si="110"/>
        <v>70000</v>
      </c>
      <c r="X60" s="1345" t="e">
        <f t="shared" si="111"/>
        <v>#VALUE!</v>
      </c>
      <c r="Y60" s="1345" t="e">
        <f t="shared" si="112"/>
        <v>#VALUE!</v>
      </c>
    </row>
    <row r="61" spans="1:25" s="1" customFormat="1" x14ac:dyDescent="0.2">
      <c r="A61" s="213" t="str">
        <f t="shared" si="101"/>
        <v>NIST</v>
      </c>
      <c r="B61" s="213"/>
      <c r="C61" s="214">
        <f t="shared" ref="C61:D61" si="137">D104</f>
        <v>70.353999999999999</v>
      </c>
      <c r="D61" s="214">
        <f t="shared" si="137"/>
        <v>7.5999999999999998E-2</v>
      </c>
      <c r="E61" s="214">
        <f t="shared" ref="E61:F61" si="138">B104</f>
        <v>70.400999999999996</v>
      </c>
      <c r="F61" s="214">
        <f t="shared" si="138"/>
        <v>0.17599999999999999</v>
      </c>
      <c r="G61" s="214">
        <f t="shared" ref="G61:H61" si="139">F104</f>
        <v>4.7E-2</v>
      </c>
      <c r="H61" s="214">
        <f t="shared" si="139"/>
        <v>0.38300000000000001</v>
      </c>
      <c r="I61" s="155">
        <f t="shared" si="94"/>
        <v>0</v>
      </c>
      <c r="J61" s="155">
        <f t="shared" si="95"/>
        <v>0</v>
      </c>
      <c r="K61" s="155">
        <f t="shared" si="96"/>
        <v>0.35199999999999998</v>
      </c>
      <c r="L61" s="155">
        <f t="shared" si="97"/>
        <v>10</v>
      </c>
      <c r="M61" s="156">
        <f t="shared" si="98"/>
        <v>0.50032691815675012</v>
      </c>
      <c r="N61" s="157">
        <f t="shared" si="99"/>
        <v>5.0032691815675011E-2</v>
      </c>
      <c r="O61" s="155">
        <f t="shared" si="100"/>
        <v>100</v>
      </c>
      <c r="P61" s="292">
        <v>70</v>
      </c>
      <c r="Q61" s="293">
        <v>70</v>
      </c>
      <c r="R61" s="148">
        <f t="shared" si="105"/>
        <v>0.50032691815675012</v>
      </c>
      <c r="S61" s="148">
        <f t="shared" si="106"/>
        <v>0.50032691815675012</v>
      </c>
      <c r="T61" s="148">
        <f t="shared" si="107"/>
        <v>0.3502288427097251</v>
      </c>
      <c r="U61" s="148">
        <f t="shared" si="108"/>
        <v>0.3502288427097251</v>
      </c>
      <c r="V61" s="7">
        <f t="shared" si="109"/>
        <v>70000</v>
      </c>
      <c r="W61" s="7">
        <f t="shared" si="110"/>
        <v>70000</v>
      </c>
      <c r="X61" s="1345">
        <f t="shared" si="111"/>
        <v>350.22884270972509</v>
      </c>
      <c r="Y61" s="1345">
        <f t="shared" si="112"/>
        <v>350.22884270972509</v>
      </c>
    </row>
    <row r="62" spans="1:25" x14ac:dyDescent="0.2">
      <c r="A62" s="213" t="str">
        <f t="shared" si="101"/>
        <v>VSL</v>
      </c>
      <c r="B62" s="213"/>
      <c r="C62" s="214">
        <f t="shared" ref="C62:D62" si="140">D105</f>
        <v>70.093999999999994</v>
      </c>
      <c r="D62" s="214">
        <f t="shared" si="140"/>
        <v>8.6999999999999994E-2</v>
      </c>
      <c r="E62" s="214">
        <f t="shared" ref="E62:F62" si="141">B105</f>
        <v>70.05</v>
      </c>
      <c r="F62" s="214">
        <f t="shared" si="141"/>
        <v>0.105</v>
      </c>
      <c r="G62" s="214">
        <f t="shared" ref="G62:H62" si="142">F105</f>
        <v>-4.3999999999999997E-2</v>
      </c>
      <c r="H62" s="214">
        <f t="shared" si="142"/>
        <v>0.27200000000000002</v>
      </c>
      <c r="I62" s="155">
        <f t="shared" si="94"/>
        <v>0</v>
      </c>
      <c r="J62" s="155">
        <f t="shared" si="95"/>
        <v>0</v>
      </c>
      <c r="K62" s="155">
        <f t="shared" si="96"/>
        <v>0.21</v>
      </c>
      <c r="L62" s="155">
        <f t="shared" si="97"/>
        <v>10</v>
      </c>
      <c r="M62" s="156">
        <f t="shared" si="98"/>
        <v>0.29959768311125062</v>
      </c>
      <c r="N62" s="157">
        <f t="shared" si="99"/>
        <v>2.9959768311125061E-2</v>
      </c>
      <c r="O62" s="155">
        <f t="shared" si="100"/>
        <v>100</v>
      </c>
      <c r="P62" s="292">
        <v>70</v>
      </c>
      <c r="Q62" s="293">
        <v>70</v>
      </c>
      <c r="R62" s="148">
        <f t="shared" si="105"/>
        <v>0.29959768311125062</v>
      </c>
      <c r="S62" s="148">
        <f t="shared" si="106"/>
        <v>0.29959768311125062</v>
      </c>
      <c r="T62" s="148">
        <f t="shared" si="107"/>
        <v>0.20971837817787545</v>
      </c>
      <c r="U62" s="148">
        <f t="shared" si="108"/>
        <v>0.20971837817787545</v>
      </c>
      <c r="V62" s="7">
        <f t="shared" si="109"/>
        <v>70000</v>
      </c>
      <c r="W62" s="7">
        <f t="shared" si="110"/>
        <v>70000</v>
      </c>
      <c r="X62" s="1345">
        <f t="shared" si="111"/>
        <v>209.71837817787545</v>
      </c>
      <c r="Y62" s="1345">
        <f t="shared" si="112"/>
        <v>209.71837817787545</v>
      </c>
    </row>
    <row r="72" spans="1:20" x14ac:dyDescent="0.2">
      <c r="K72" s="226" t="s">
        <v>141</v>
      </c>
      <c r="L72" s="227"/>
      <c r="M72" s="227"/>
      <c r="N72" s="227"/>
      <c r="O72" s="227"/>
      <c r="P72" s="227"/>
      <c r="Q72" s="227"/>
      <c r="R72" s="227"/>
      <c r="S72" s="227"/>
      <c r="T72" s="227"/>
    </row>
    <row r="73" spans="1:20" ht="36" customHeight="1" x14ac:dyDescent="0.2">
      <c r="A73" s="121"/>
      <c r="B73" s="122" t="s">
        <v>111</v>
      </c>
      <c r="C73" s="123"/>
      <c r="D73" s="122" t="s">
        <v>112</v>
      </c>
      <c r="E73" s="123"/>
      <c r="F73" s="122" t="s">
        <v>113</v>
      </c>
      <c r="G73" s="124"/>
      <c r="H73" s="125"/>
      <c r="I73" s="125"/>
      <c r="K73" s="228"/>
      <c r="L73" s="1422" t="s">
        <v>142</v>
      </c>
      <c r="M73" s="1423"/>
      <c r="N73" s="1434" t="s">
        <v>143</v>
      </c>
      <c r="O73" s="1435"/>
      <c r="P73" s="1436"/>
      <c r="Q73" s="1427" t="s">
        <v>144</v>
      </c>
      <c r="R73" s="1428"/>
      <c r="S73" s="1428"/>
      <c r="T73" s="1428"/>
    </row>
    <row r="74" spans="1:20" ht="27.95" customHeight="1" x14ac:dyDescent="0.2">
      <c r="A74" s="126" t="s">
        <v>114</v>
      </c>
      <c r="B74" s="127" t="s">
        <v>115</v>
      </c>
      <c r="C74" s="128" t="s">
        <v>116</v>
      </c>
      <c r="D74" s="129" t="s">
        <v>117</v>
      </c>
      <c r="E74" s="130" t="s">
        <v>118</v>
      </c>
      <c r="F74" s="131" t="s">
        <v>119</v>
      </c>
      <c r="G74" s="132" t="s">
        <v>120</v>
      </c>
      <c r="I74" s="125"/>
      <c r="K74" s="229" t="s">
        <v>145</v>
      </c>
      <c r="L74" s="230" t="s">
        <v>146</v>
      </c>
      <c r="M74" s="231" t="s">
        <v>147</v>
      </c>
      <c r="N74" s="1429" t="s">
        <v>148</v>
      </c>
      <c r="O74" s="1430"/>
      <c r="P74" s="232" t="s">
        <v>149</v>
      </c>
      <c r="Q74" s="1429" t="s">
        <v>150</v>
      </c>
      <c r="R74" s="1430"/>
      <c r="S74" s="1433" t="s">
        <v>151</v>
      </c>
      <c r="T74" s="1433"/>
    </row>
    <row r="75" spans="1:20" ht="15" customHeight="1" x14ac:dyDescent="0.2">
      <c r="A75" s="133" t="str">
        <f>K75</f>
        <v>BFKH</v>
      </c>
      <c r="B75" s="134">
        <f>L75</f>
        <v>30.1</v>
      </c>
      <c r="C75" s="134">
        <f t="shared" ref="C75:D75" si="143">M75</f>
        <v>0.14000000000000001</v>
      </c>
      <c r="D75" s="134">
        <f t="shared" si="143"/>
        <v>30.783000000000001</v>
      </c>
      <c r="E75" s="134">
        <f>P75</f>
        <v>6.6000000000000003E-2</v>
      </c>
      <c r="F75" s="135">
        <f>Q75</f>
        <v>-0.629</v>
      </c>
      <c r="G75" s="135">
        <f>S75</f>
        <v>0.314</v>
      </c>
      <c r="I75" s="136"/>
      <c r="K75" s="233" t="s">
        <v>152</v>
      </c>
      <c r="L75" s="234">
        <v>30.1</v>
      </c>
      <c r="M75" s="235">
        <v>0.14000000000000001</v>
      </c>
      <c r="N75" s="1418">
        <v>30.783000000000001</v>
      </c>
      <c r="O75" s="1419"/>
      <c r="P75" s="235">
        <v>6.6000000000000003E-2</v>
      </c>
      <c r="Q75" s="1418">
        <v>-0.629</v>
      </c>
      <c r="R75" s="1419"/>
      <c r="S75" s="1437">
        <v>0.314</v>
      </c>
      <c r="T75" s="1437"/>
    </row>
    <row r="76" spans="1:20" ht="15" customHeight="1" x14ac:dyDescent="0.2">
      <c r="A76" s="133" t="str">
        <f t="shared" ref="A76:A86" si="144">K76</f>
        <v>CERI</v>
      </c>
      <c r="B76" s="134">
        <f t="shared" ref="B76:B86" si="145">L76</f>
        <v>28.51</v>
      </c>
      <c r="C76" s="134">
        <f t="shared" ref="C76:C86" si="146">M76</f>
        <v>4.4999999999999998E-2</v>
      </c>
      <c r="D76" s="134">
        <f t="shared" ref="D76:D86" si="147">N76</f>
        <v>28.52</v>
      </c>
      <c r="E76" s="134">
        <f t="shared" ref="E76:E86" si="148">P76</f>
        <v>8.2000000000000003E-2</v>
      </c>
      <c r="F76" s="135">
        <f t="shared" ref="F76:F86" si="149">Q76</f>
        <v>-6.0000000000000001E-3</v>
      </c>
      <c r="G76" s="135">
        <f t="shared" ref="G76:G86" si="150">S76</f>
        <v>0.185</v>
      </c>
      <c r="I76" s="136"/>
      <c r="K76" s="233" t="s">
        <v>153</v>
      </c>
      <c r="L76" s="234">
        <v>28.51</v>
      </c>
      <c r="M76" s="235">
        <v>4.4999999999999998E-2</v>
      </c>
      <c r="N76" s="1418">
        <v>28.52</v>
      </c>
      <c r="O76" s="1419"/>
      <c r="P76" s="235">
        <v>8.2000000000000003E-2</v>
      </c>
      <c r="Q76" s="1418">
        <v>-6.0000000000000001E-3</v>
      </c>
      <c r="R76" s="1419"/>
      <c r="S76" s="1437">
        <v>0.185</v>
      </c>
      <c r="T76" s="1437"/>
    </row>
    <row r="77" spans="1:20" ht="15" customHeight="1" x14ac:dyDescent="0.2">
      <c r="A77" s="133" t="str">
        <f t="shared" si="144"/>
        <v>GUM</v>
      </c>
      <c r="B77" s="134">
        <f t="shared" si="145"/>
        <v>30.5</v>
      </c>
      <c r="C77" s="134">
        <f t="shared" si="146"/>
        <v>0.3</v>
      </c>
      <c r="D77" s="134">
        <f t="shared" si="147"/>
        <v>29.852</v>
      </c>
      <c r="E77" s="134">
        <f t="shared" si="148"/>
        <v>9.6000000000000002E-2</v>
      </c>
      <c r="F77" s="135">
        <f t="shared" si="149"/>
        <v>0.68100000000000005</v>
      </c>
      <c r="G77" s="135">
        <f t="shared" si="150"/>
        <v>0.63</v>
      </c>
      <c r="I77" s="136"/>
      <c r="K77" s="233" t="s">
        <v>154</v>
      </c>
      <c r="L77" s="234">
        <v>30.5</v>
      </c>
      <c r="M77" s="235">
        <v>0.3</v>
      </c>
      <c r="N77" s="1418">
        <v>29.852</v>
      </c>
      <c r="O77" s="1419"/>
      <c r="P77" s="235">
        <v>9.6000000000000002E-2</v>
      </c>
      <c r="Q77" s="1418">
        <v>0.68100000000000005</v>
      </c>
      <c r="R77" s="1419"/>
      <c r="S77" s="1437">
        <v>0.63</v>
      </c>
      <c r="T77" s="1437"/>
    </row>
    <row r="78" spans="1:20" ht="15" customHeight="1" x14ac:dyDescent="0.2">
      <c r="A78" s="133" t="str">
        <f t="shared" si="144"/>
        <v>KRISS</v>
      </c>
      <c r="B78" s="134">
        <f t="shared" si="145"/>
        <v>30.013999999999999</v>
      </c>
      <c r="C78" s="134">
        <f t="shared" si="146"/>
        <v>0.1</v>
      </c>
      <c r="D78" s="134">
        <f t="shared" si="147"/>
        <v>29.966000000000001</v>
      </c>
      <c r="E78" s="134">
        <f t="shared" si="148"/>
        <v>9.4E-2</v>
      </c>
      <c r="F78" s="135">
        <f t="shared" si="149"/>
        <v>8.3000000000000004E-2</v>
      </c>
      <c r="G78" s="135">
        <f t="shared" si="150"/>
        <v>0.27400000000000002</v>
      </c>
      <c r="I78" s="136"/>
      <c r="K78" s="233" t="s">
        <v>155</v>
      </c>
      <c r="L78" s="234">
        <v>30.013999999999999</v>
      </c>
      <c r="M78" s="235">
        <v>0.1</v>
      </c>
      <c r="N78" s="1418">
        <v>29.966000000000001</v>
      </c>
      <c r="O78" s="1419"/>
      <c r="P78" s="235">
        <v>9.4E-2</v>
      </c>
      <c r="Q78" s="1418">
        <v>8.3000000000000004E-2</v>
      </c>
      <c r="R78" s="1419"/>
      <c r="S78" s="1437">
        <v>0.27400000000000002</v>
      </c>
      <c r="T78" s="1437"/>
    </row>
    <row r="79" spans="1:20" ht="15" customHeight="1" x14ac:dyDescent="0.2">
      <c r="A79" s="133" t="str">
        <f t="shared" si="144"/>
        <v>LNE</v>
      </c>
      <c r="B79" s="134">
        <f t="shared" si="145"/>
        <v>30.210999999999999</v>
      </c>
      <c r="C79" s="134">
        <f t="shared" si="146"/>
        <v>3.4000000000000002E-2</v>
      </c>
      <c r="D79" s="134">
        <f t="shared" si="147"/>
        <v>30.286000000000001</v>
      </c>
      <c r="E79" s="134">
        <f t="shared" si="148"/>
        <v>6.5000000000000002E-2</v>
      </c>
      <c r="F79" s="135">
        <f t="shared" si="149"/>
        <v>-3.2000000000000001E-2</v>
      </c>
      <c r="G79" s="135">
        <f t="shared" si="150"/>
        <v>0.152</v>
      </c>
      <c r="I79" s="136"/>
      <c r="K79" s="233" t="s">
        <v>156</v>
      </c>
      <c r="L79" s="234">
        <v>30.210999999999999</v>
      </c>
      <c r="M79" s="235">
        <v>3.4000000000000002E-2</v>
      </c>
      <c r="N79" s="1418">
        <v>30.286000000000001</v>
      </c>
      <c r="O79" s="1419"/>
      <c r="P79" s="235">
        <v>6.5000000000000002E-2</v>
      </c>
      <c r="Q79" s="1418">
        <v>-3.2000000000000001E-2</v>
      </c>
      <c r="R79" s="1419"/>
      <c r="S79" s="1437">
        <v>0.152</v>
      </c>
      <c r="T79" s="1437"/>
    </row>
    <row r="80" spans="1:20" ht="15" customHeight="1" x14ac:dyDescent="0.2">
      <c r="A80" s="133" t="str">
        <f t="shared" si="144"/>
        <v>NIM</v>
      </c>
      <c r="B80" s="134">
        <f t="shared" si="145"/>
        <v>29.92</v>
      </c>
      <c r="C80" s="134">
        <f t="shared" si="146"/>
        <v>7.4999999999999997E-2</v>
      </c>
      <c r="D80" s="134">
        <f t="shared" si="147"/>
        <v>29.92</v>
      </c>
      <c r="E80" s="134">
        <f t="shared" si="148"/>
        <v>4.4999999999999998E-2</v>
      </c>
      <c r="F80" s="135">
        <f t="shared" si="149"/>
        <v>3.4000000000000002E-2</v>
      </c>
      <c r="G80" s="135">
        <f t="shared" si="150"/>
        <v>0.17899999999999999</v>
      </c>
      <c r="I80" s="136"/>
      <c r="K80" s="233" t="s">
        <v>157</v>
      </c>
      <c r="L80" s="234">
        <v>29.92</v>
      </c>
      <c r="M80" s="235">
        <v>7.4999999999999997E-2</v>
      </c>
      <c r="N80" s="1418">
        <v>29.92</v>
      </c>
      <c r="O80" s="1419"/>
      <c r="P80" s="235">
        <v>4.4999999999999998E-2</v>
      </c>
      <c r="Q80" s="1418">
        <v>3.4000000000000002E-2</v>
      </c>
      <c r="R80" s="1419"/>
      <c r="S80" s="1437">
        <v>0.17899999999999999</v>
      </c>
      <c r="T80" s="1437"/>
    </row>
    <row r="81" spans="1:21" ht="15" customHeight="1" x14ac:dyDescent="0.2">
      <c r="A81" s="133" t="str">
        <f t="shared" si="144"/>
        <v>NMIA</v>
      </c>
      <c r="B81" s="134">
        <f t="shared" si="145"/>
        <v>29.98</v>
      </c>
      <c r="C81" s="134">
        <f t="shared" si="146"/>
        <v>0.13</v>
      </c>
      <c r="D81" s="134">
        <f t="shared" si="147"/>
        <v>30.032</v>
      </c>
      <c r="E81" s="134">
        <f t="shared" si="148"/>
        <v>6.8000000000000005E-2</v>
      </c>
      <c r="F81" s="135">
        <f t="shared" si="149"/>
        <v>-1.4999999999999999E-2</v>
      </c>
      <c r="G81" s="135">
        <f t="shared" si="150"/>
        <v>0.29499999999999998</v>
      </c>
      <c r="I81" s="136"/>
      <c r="K81" s="233" t="s">
        <v>158</v>
      </c>
      <c r="L81" s="234">
        <v>29.98</v>
      </c>
      <c r="M81" s="235">
        <v>0.13</v>
      </c>
      <c r="N81" s="1418">
        <v>30.032</v>
      </c>
      <c r="O81" s="1419"/>
      <c r="P81" s="235">
        <v>6.8000000000000005E-2</v>
      </c>
      <c r="Q81" s="1418">
        <v>-1.4999999999999999E-2</v>
      </c>
      <c r="R81" s="1419"/>
      <c r="S81" s="1437">
        <v>0.29499999999999998</v>
      </c>
      <c r="T81" s="1437"/>
    </row>
    <row r="82" spans="1:21" ht="15" customHeight="1" x14ac:dyDescent="0.2">
      <c r="A82" s="133" t="str">
        <f t="shared" si="144"/>
        <v>NMISA</v>
      </c>
      <c r="B82" s="134">
        <f t="shared" si="145"/>
        <v>30.24</v>
      </c>
      <c r="C82" s="134">
        <f t="shared" si="146"/>
        <v>8.5000000000000006E-2</v>
      </c>
      <c r="D82" s="134">
        <f t="shared" si="147"/>
        <v>30.234999999999999</v>
      </c>
      <c r="E82" s="134">
        <f t="shared" si="148"/>
        <v>6.8000000000000005E-2</v>
      </c>
      <c r="F82" s="135">
        <f t="shared" si="149"/>
        <v>4.7E-2</v>
      </c>
      <c r="G82" s="135">
        <f t="shared" si="150"/>
        <v>0.221</v>
      </c>
      <c r="I82" s="136"/>
      <c r="K82" s="233" t="s">
        <v>159</v>
      </c>
      <c r="L82" s="234">
        <v>30.24</v>
      </c>
      <c r="M82" s="235">
        <v>8.5000000000000006E-2</v>
      </c>
      <c r="N82" s="1418">
        <v>30.234999999999999</v>
      </c>
      <c r="O82" s="1419"/>
      <c r="P82" s="235">
        <v>6.8000000000000005E-2</v>
      </c>
      <c r="Q82" s="1418">
        <v>4.7E-2</v>
      </c>
      <c r="R82" s="1419"/>
      <c r="S82" s="1437">
        <v>0.221</v>
      </c>
      <c r="T82" s="1437"/>
    </row>
    <row r="83" spans="1:21" ht="15" customHeight="1" x14ac:dyDescent="0.2">
      <c r="A83" s="133" t="str">
        <f t="shared" si="144"/>
        <v>NPL</v>
      </c>
      <c r="B83" s="134">
        <f t="shared" si="145"/>
        <v>29.927</v>
      </c>
      <c r="C83" s="134">
        <f t="shared" si="146"/>
        <v>0.03</v>
      </c>
      <c r="D83" s="134">
        <f t="shared" si="147"/>
        <v>30.048999999999999</v>
      </c>
      <c r="E83" s="134">
        <f t="shared" si="148"/>
        <v>5.3999999999999999E-2</v>
      </c>
      <c r="F83" s="135">
        <f t="shared" si="149"/>
        <v>-8.5000000000000006E-2</v>
      </c>
      <c r="G83" s="135">
        <f t="shared" si="150"/>
        <v>0.154</v>
      </c>
      <c r="I83" s="136"/>
      <c r="K83" s="233" t="s">
        <v>160</v>
      </c>
      <c r="L83" s="236">
        <v>29.927</v>
      </c>
      <c r="M83" s="235">
        <v>0.03</v>
      </c>
      <c r="N83" s="1418">
        <v>30.048999999999999</v>
      </c>
      <c r="O83" s="1419"/>
      <c r="P83" s="235">
        <v>5.3999999999999999E-2</v>
      </c>
      <c r="Q83" s="1418">
        <v>-8.5000000000000006E-2</v>
      </c>
      <c r="R83" s="1419"/>
      <c r="S83" s="1437">
        <v>0.154</v>
      </c>
      <c r="T83" s="1437"/>
    </row>
    <row r="84" spans="1:21" ht="15" customHeight="1" x14ac:dyDescent="0.2">
      <c r="A84" s="133" t="str">
        <f t="shared" si="144"/>
        <v>VNIIM</v>
      </c>
      <c r="B84" s="134">
        <f t="shared" si="145"/>
        <v>30.024999999999999</v>
      </c>
      <c r="C84" s="134">
        <f t="shared" si="146"/>
        <v>6.0000000000000001E-3</v>
      </c>
      <c r="D84" s="134">
        <f t="shared" si="147"/>
        <v>29.975000000000001</v>
      </c>
      <c r="E84" s="134">
        <f t="shared" si="148"/>
        <v>4.4999999999999998E-2</v>
      </c>
      <c r="F84" s="135">
        <f t="shared" si="149"/>
        <v>8.5999999999999993E-2</v>
      </c>
      <c r="G84" s="135">
        <f t="shared" si="150"/>
        <v>9.7000000000000003E-2</v>
      </c>
      <c r="I84" s="136"/>
      <c r="K84" s="233" t="s">
        <v>161</v>
      </c>
      <c r="L84" s="234">
        <v>30.024999999999999</v>
      </c>
      <c r="M84" s="235">
        <v>6.0000000000000001E-3</v>
      </c>
      <c r="N84" s="1418">
        <v>29.975000000000001</v>
      </c>
      <c r="O84" s="1419"/>
      <c r="P84" s="235">
        <v>4.4999999999999998E-2</v>
      </c>
      <c r="Q84" s="1418">
        <v>8.5999999999999993E-2</v>
      </c>
      <c r="R84" s="1419"/>
      <c r="S84" s="1437">
        <v>9.7000000000000003E-2</v>
      </c>
      <c r="T84" s="1437"/>
    </row>
    <row r="85" spans="1:21" ht="15.95" customHeight="1" x14ac:dyDescent="0.2">
      <c r="A85" s="133" t="str">
        <f t="shared" si="144"/>
        <v>NIST</v>
      </c>
      <c r="B85" s="134">
        <f t="shared" si="145"/>
        <v>29.779</v>
      </c>
      <c r="C85" s="134">
        <f t="shared" si="146"/>
        <v>1.7999999999999999E-2</v>
      </c>
      <c r="D85" s="134">
        <f t="shared" si="147"/>
        <v>29.745000000000001</v>
      </c>
      <c r="E85" s="134">
        <f t="shared" si="148"/>
        <v>3.4000000000000002E-2</v>
      </c>
      <c r="F85" s="135">
        <f t="shared" si="149"/>
        <v>6.4000000000000001E-2</v>
      </c>
      <c r="G85" s="135">
        <f t="shared" si="150"/>
        <v>0.22900000000000001</v>
      </c>
      <c r="I85" s="136"/>
      <c r="K85" s="237" t="s">
        <v>162</v>
      </c>
      <c r="L85" s="238">
        <v>29.779</v>
      </c>
      <c r="M85" s="239">
        <v>1.7999999999999999E-2</v>
      </c>
      <c r="N85" s="1414">
        <v>29.745000000000001</v>
      </c>
      <c r="O85" s="1415"/>
      <c r="P85" s="239">
        <v>3.4000000000000002E-2</v>
      </c>
      <c r="Q85" s="1414">
        <v>6.4000000000000001E-2</v>
      </c>
      <c r="R85" s="1415"/>
      <c r="S85" s="1438">
        <v>0.22900000000000001</v>
      </c>
      <c r="T85" s="1438"/>
    </row>
    <row r="86" spans="1:21" ht="15.95" customHeight="1" x14ac:dyDescent="0.2">
      <c r="A86" s="133" t="str">
        <f t="shared" si="144"/>
        <v>VSL</v>
      </c>
      <c r="B86" s="134" t="str">
        <f t="shared" si="145"/>
        <v>NA</v>
      </c>
      <c r="C86" s="134" t="str">
        <f t="shared" si="146"/>
        <v>NA</v>
      </c>
      <c r="D86" s="134" t="str">
        <f t="shared" si="147"/>
        <v>NA</v>
      </c>
      <c r="E86" s="134" t="str">
        <f t="shared" si="148"/>
        <v>NA</v>
      </c>
      <c r="F86" s="135" t="str">
        <f t="shared" si="149"/>
        <v>NA</v>
      </c>
      <c r="G86" s="135" t="str">
        <f t="shared" si="150"/>
        <v>NA</v>
      </c>
      <c r="I86" s="136"/>
      <c r="K86" s="137" t="s">
        <v>163</v>
      </c>
      <c r="L86" s="140" t="s">
        <v>140</v>
      </c>
      <c r="M86" s="138" t="s">
        <v>140</v>
      </c>
      <c r="N86" s="140" t="s">
        <v>140</v>
      </c>
      <c r="P86" s="138" t="s">
        <v>140</v>
      </c>
      <c r="Q86" s="138" t="s">
        <v>140</v>
      </c>
      <c r="R86" s="139"/>
      <c r="S86" s="138" t="s">
        <v>140</v>
      </c>
    </row>
    <row r="87" spans="1:21" ht="10.5" customHeight="1" x14ac:dyDescent="0.2">
      <c r="A87" s="141"/>
      <c r="P87" s="117"/>
    </row>
    <row r="88" spans="1:21" ht="10.5" customHeight="1" x14ac:dyDescent="0.2">
      <c r="A88" s="141"/>
      <c r="K88" s="220"/>
      <c r="L88" s="221"/>
      <c r="M88" s="222"/>
      <c r="N88" s="223"/>
      <c r="O88" s="222"/>
      <c r="Q88" s="224"/>
      <c r="R88" s="225"/>
    </row>
    <row r="89" spans="1:21" ht="10.5" customHeight="1" x14ac:dyDescent="0.2">
      <c r="A89" s="141"/>
      <c r="K89" s="220"/>
      <c r="L89" s="221"/>
      <c r="M89" s="222"/>
      <c r="N89" s="223"/>
      <c r="O89" s="222"/>
      <c r="Q89" s="224"/>
      <c r="R89" s="225"/>
    </row>
    <row r="90" spans="1:21" ht="10.5" customHeight="1" x14ac:dyDescent="0.2"/>
    <row r="91" spans="1:21" ht="14.1" customHeight="1" x14ac:dyDescent="0.2">
      <c r="K91" s="241" t="s">
        <v>164</v>
      </c>
      <c r="L91" s="242"/>
      <c r="M91" s="243"/>
      <c r="N91" s="244"/>
      <c r="O91" s="245"/>
      <c r="P91" s="246"/>
      <c r="Q91" s="245"/>
      <c r="R91" s="245"/>
      <c r="S91" s="247"/>
      <c r="T91" s="247"/>
      <c r="U91" s="227"/>
    </row>
    <row r="92" spans="1:21" ht="36" customHeight="1" x14ac:dyDescent="0.2">
      <c r="A92" s="121"/>
      <c r="B92" s="122" t="s">
        <v>111</v>
      </c>
      <c r="C92" s="123"/>
      <c r="D92" s="142" t="s">
        <v>121</v>
      </c>
      <c r="E92" s="143"/>
      <c r="F92" s="122" t="s">
        <v>113</v>
      </c>
      <c r="G92" s="124"/>
      <c r="H92" s="125"/>
      <c r="J92" s="125"/>
      <c r="K92" s="228"/>
      <c r="L92" s="1422" t="s">
        <v>165</v>
      </c>
      <c r="M92" s="1423"/>
      <c r="N92" s="1424" t="s">
        <v>143</v>
      </c>
      <c r="O92" s="1425"/>
      <c r="P92" s="1425"/>
      <c r="Q92" s="1426"/>
      <c r="R92" s="1427" t="s">
        <v>144</v>
      </c>
      <c r="S92" s="1428"/>
      <c r="T92" s="1428"/>
      <c r="U92" s="1428"/>
    </row>
    <row r="93" spans="1:21" ht="29.1" customHeight="1" x14ac:dyDescent="0.2">
      <c r="A93" s="126" t="s">
        <v>114</v>
      </c>
      <c r="B93" s="127" t="s">
        <v>115</v>
      </c>
      <c r="C93" s="128" t="s">
        <v>116</v>
      </c>
      <c r="D93" s="129" t="s">
        <v>117</v>
      </c>
      <c r="E93" s="132" t="s">
        <v>118</v>
      </c>
      <c r="F93" s="131" t="s">
        <v>119</v>
      </c>
      <c r="G93" s="132" t="s">
        <v>120</v>
      </c>
      <c r="J93" s="125"/>
      <c r="K93" s="229" t="s">
        <v>145</v>
      </c>
      <c r="L93" s="230" t="s">
        <v>146</v>
      </c>
      <c r="M93" s="231" t="s">
        <v>147</v>
      </c>
      <c r="N93" s="1429" t="s">
        <v>148</v>
      </c>
      <c r="O93" s="1430"/>
      <c r="P93" s="1431" t="s">
        <v>149</v>
      </c>
      <c r="Q93" s="1432"/>
      <c r="R93" s="1429" t="s">
        <v>150</v>
      </c>
      <c r="S93" s="1430"/>
      <c r="T93" s="1433" t="s">
        <v>151</v>
      </c>
      <c r="U93" s="1433"/>
    </row>
    <row r="94" spans="1:21" ht="15" customHeight="1" x14ac:dyDescent="0.2">
      <c r="A94" s="133" t="str">
        <f>K94</f>
        <v>BFKH</v>
      </c>
      <c r="B94" s="144">
        <f>L94</f>
        <v>70.05</v>
      </c>
      <c r="C94" s="144">
        <f t="shared" ref="C94:D94" si="151">M94</f>
        <v>0.24</v>
      </c>
      <c r="D94" s="144">
        <f t="shared" si="151"/>
        <v>70.62</v>
      </c>
      <c r="E94" s="144">
        <f>P94</f>
        <v>0.123</v>
      </c>
      <c r="F94" s="144">
        <f>R94</f>
        <v>-0.56999999999999995</v>
      </c>
      <c r="G94" s="144">
        <f>T94</f>
        <v>0.53900000000000003</v>
      </c>
      <c r="J94" s="136"/>
      <c r="K94" s="233" t="s">
        <v>152</v>
      </c>
      <c r="L94" s="240">
        <v>70.05</v>
      </c>
      <c r="M94" s="235">
        <v>0.24</v>
      </c>
      <c r="N94" s="1418">
        <v>70.62</v>
      </c>
      <c r="O94" s="1419"/>
      <c r="P94" s="1420">
        <v>0.123</v>
      </c>
      <c r="Q94" s="1421"/>
      <c r="R94" s="1418">
        <v>-0.56999999999999995</v>
      </c>
      <c r="S94" s="1419"/>
      <c r="T94" s="1420">
        <v>0.53900000000000003</v>
      </c>
      <c r="U94" s="1420"/>
    </row>
    <row r="95" spans="1:21" ht="15" customHeight="1" x14ac:dyDescent="0.2">
      <c r="A95" s="133" t="str">
        <f t="shared" ref="A95:A105" si="152">K95</f>
        <v>CERI</v>
      </c>
      <c r="B95" s="144">
        <f t="shared" ref="B95:B105" si="153">L95</f>
        <v>68.760000000000005</v>
      </c>
      <c r="C95" s="144">
        <f t="shared" ref="C95:C105" si="154">M95</f>
        <v>0.11</v>
      </c>
      <c r="D95" s="144">
        <f t="shared" ref="D95:D105" si="155">N95</f>
        <v>68.771000000000001</v>
      </c>
      <c r="E95" s="144">
        <f t="shared" ref="E95:E105" si="156">P95</f>
        <v>0.14399999999999999</v>
      </c>
      <c r="F95" s="144">
        <f t="shared" ref="F95:F105" si="157">R95</f>
        <v>-1.0999999999999999E-2</v>
      </c>
      <c r="G95" s="144">
        <f t="shared" ref="G95:G105" si="158">T95</f>
        <v>0.36199999999999999</v>
      </c>
      <c r="J95" s="136"/>
      <c r="K95" s="233" t="s">
        <v>153</v>
      </c>
      <c r="L95" s="240">
        <v>68.760000000000005</v>
      </c>
      <c r="M95" s="235">
        <v>0.11</v>
      </c>
      <c r="N95" s="1418">
        <v>68.771000000000001</v>
      </c>
      <c r="O95" s="1419"/>
      <c r="P95" s="1420">
        <v>0.14399999999999999</v>
      </c>
      <c r="Q95" s="1421"/>
      <c r="R95" s="1418">
        <v>-1.0999999999999999E-2</v>
      </c>
      <c r="S95" s="1419"/>
      <c r="T95" s="1420">
        <v>0.36199999999999999</v>
      </c>
      <c r="U95" s="1420"/>
    </row>
    <row r="96" spans="1:21" ht="15" customHeight="1" x14ac:dyDescent="0.2">
      <c r="A96" s="133" t="str">
        <f t="shared" si="152"/>
        <v>GUM</v>
      </c>
      <c r="B96" s="144">
        <f t="shared" si="153"/>
        <v>71.099999999999994</v>
      </c>
      <c r="C96" s="144">
        <f t="shared" si="154"/>
        <v>0.55000000000000004</v>
      </c>
      <c r="D96" s="144">
        <f t="shared" si="155"/>
        <v>69.784999999999997</v>
      </c>
      <c r="E96" s="144">
        <f t="shared" si="156"/>
        <v>8.8999999999999996E-2</v>
      </c>
      <c r="F96" s="144">
        <f t="shared" si="157"/>
        <v>1.3149999999999999</v>
      </c>
      <c r="G96" s="144">
        <f t="shared" si="158"/>
        <v>1.1140000000000001</v>
      </c>
      <c r="J96" s="136"/>
      <c r="K96" s="233" t="s">
        <v>154</v>
      </c>
      <c r="L96" s="240">
        <v>71.099999999999994</v>
      </c>
      <c r="M96" s="235">
        <v>0.55000000000000004</v>
      </c>
      <c r="N96" s="1418">
        <v>69.784999999999997</v>
      </c>
      <c r="O96" s="1419"/>
      <c r="P96" s="1420">
        <v>8.8999999999999996E-2</v>
      </c>
      <c r="Q96" s="1421"/>
      <c r="R96" s="1418">
        <v>1.3149999999999999</v>
      </c>
      <c r="S96" s="1419"/>
      <c r="T96" s="1420">
        <v>1.1140000000000001</v>
      </c>
      <c r="U96" s="1420"/>
    </row>
    <row r="97" spans="1:21" ht="15" customHeight="1" x14ac:dyDescent="0.2">
      <c r="A97" s="133" t="str">
        <f t="shared" si="152"/>
        <v>KRISS</v>
      </c>
      <c r="B97" s="144">
        <f t="shared" si="153"/>
        <v>70.084999999999994</v>
      </c>
      <c r="C97" s="144">
        <f t="shared" si="154"/>
        <v>0.161</v>
      </c>
      <c r="D97" s="144">
        <f t="shared" si="155"/>
        <v>69.864000000000004</v>
      </c>
      <c r="E97" s="144">
        <f t="shared" si="156"/>
        <v>6.9000000000000006E-2</v>
      </c>
      <c r="F97" s="144">
        <f t="shared" si="157"/>
        <v>0.221</v>
      </c>
      <c r="G97" s="144">
        <f t="shared" si="158"/>
        <v>0.35</v>
      </c>
      <c r="J97" s="136"/>
      <c r="K97" s="233" t="s">
        <v>155</v>
      </c>
      <c r="L97" s="240">
        <v>70.084999999999994</v>
      </c>
      <c r="M97" s="235">
        <v>0.161</v>
      </c>
      <c r="N97" s="1418">
        <v>69.864000000000004</v>
      </c>
      <c r="O97" s="1419"/>
      <c r="P97" s="1420">
        <v>6.9000000000000006E-2</v>
      </c>
      <c r="Q97" s="1421"/>
      <c r="R97" s="1418">
        <v>0.221</v>
      </c>
      <c r="S97" s="1419"/>
      <c r="T97" s="1420">
        <v>0.35</v>
      </c>
      <c r="U97" s="1420"/>
    </row>
    <row r="98" spans="1:21" ht="15" customHeight="1" x14ac:dyDescent="0.2">
      <c r="A98" s="133" t="str">
        <f t="shared" si="152"/>
        <v>LNE</v>
      </c>
      <c r="B98" s="144">
        <f t="shared" si="153"/>
        <v>69.989999999999995</v>
      </c>
      <c r="C98" s="144">
        <f t="shared" si="154"/>
        <v>0.08</v>
      </c>
      <c r="D98" s="144">
        <f t="shared" si="155"/>
        <v>70.02</v>
      </c>
      <c r="E98" s="144">
        <f t="shared" si="156"/>
        <v>7.0000000000000007E-2</v>
      </c>
      <c r="F98" s="144">
        <f t="shared" si="157"/>
        <v>-0.03</v>
      </c>
      <c r="G98" s="144">
        <f t="shared" si="158"/>
        <v>0.21299999999999999</v>
      </c>
      <c r="J98" s="136"/>
      <c r="K98" s="233" t="s">
        <v>156</v>
      </c>
      <c r="L98" s="240">
        <v>69.989999999999995</v>
      </c>
      <c r="M98" s="235">
        <v>0.08</v>
      </c>
      <c r="N98" s="1418">
        <v>70.02</v>
      </c>
      <c r="O98" s="1419"/>
      <c r="P98" s="1420">
        <v>7.0000000000000007E-2</v>
      </c>
      <c r="Q98" s="1421"/>
      <c r="R98" s="1418">
        <v>-0.03</v>
      </c>
      <c r="S98" s="1419"/>
      <c r="T98" s="1420">
        <v>0.21299999999999999</v>
      </c>
      <c r="U98" s="1420"/>
    </row>
    <row r="99" spans="1:21" ht="15" customHeight="1" x14ac:dyDescent="0.2">
      <c r="A99" s="133" t="str">
        <f t="shared" si="152"/>
        <v>NIM</v>
      </c>
      <c r="B99" s="144">
        <f t="shared" si="153"/>
        <v>69.900000000000006</v>
      </c>
      <c r="C99" s="144">
        <f t="shared" si="154"/>
        <v>0.17499999999999999</v>
      </c>
      <c r="D99" s="144">
        <f t="shared" si="155"/>
        <v>69.905000000000001</v>
      </c>
      <c r="E99" s="144">
        <f t="shared" si="156"/>
        <v>6.4000000000000001E-2</v>
      </c>
      <c r="F99" s="144">
        <f t="shared" si="157"/>
        <v>-5.0000000000000001E-3</v>
      </c>
      <c r="G99" s="144">
        <f t="shared" si="158"/>
        <v>0.372</v>
      </c>
      <c r="J99" s="136"/>
      <c r="K99" s="233" t="s">
        <v>157</v>
      </c>
      <c r="L99" s="240">
        <v>69.900000000000006</v>
      </c>
      <c r="M99" s="235">
        <v>0.17499999999999999</v>
      </c>
      <c r="N99" s="1418">
        <v>69.905000000000001</v>
      </c>
      <c r="O99" s="1419"/>
      <c r="P99" s="1420">
        <v>6.4000000000000001E-2</v>
      </c>
      <c r="Q99" s="1421"/>
      <c r="R99" s="1418">
        <v>-5.0000000000000001E-3</v>
      </c>
      <c r="S99" s="1419"/>
      <c r="T99" s="1420">
        <v>0.372</v>
      </c>
      <c r="U99" s="1420"/>
    </row>
    <row r="100" spans="1:21" ht="15" customHeight="1" x14ac:dyDescent="0.2">
      <c r="A100" s="133" t="str">
        <f t="shared" si="152"/>
        <v>NMIA</v>
      </c>
      <c r="B100" s="144">
        <f t="shared" si="153"/>
        <v>69.98</v>
      </c>
      <c r="C100" s="144">
        <f t="shared" si="154"/>
        <v>0.155</v>
      </c>
      <c r="D100" s="144">
        <f t="shared" si="155"/>
        <v>69.953000000000003</v>
      </c>
      <c r="E100" s="144">
        <f t="shared" si="156"/>
        <v>5.1999999999999998E-2</v>
      </c>
      <c r="F100" s="144">
        <f t="shared" si="157"/>
        <v>2.7E-2</v>
      </c>
      <c r="G100" s="144">
        <f t="shared" si="158"/>
        <v>0.32700000000000001</v>
      </c>
      <c r="J100" s="136"/>
      <c r="K100" s="233" t="s">
        <v>158</v>
      </c>
      <c r="L100" s="240">
        <v>69.98</v>
      </c>
      <c r="M100" s="235">
        <v>0.155</v>
      </c>
      <c r="N100" s="1418">
        <v>69.953000000000003</v>
      </c>
      <c r="O100" s="1419"/>
      <c r="P100" s="1420">
        <v>5.1999999999999998E-2</v>
      </c>
      <c r="Q100" s="1421"/>
      <c r="R100" s="1418">
        <v>2.7E-2</v>
      </c>
      <c r="S100" s="1419"/>
      <c r="T100" s="1420">
        <v>0.32700000000000001</v>
      </c>
      <c r="U100" s="1420"/>
    </row>
    <row r="101" spans="1:21" ht="15" customHeight="1" x14ac:dyDescent="0.2">
      <c r="A101" s="133" t="str">
        <f t="shared" si="152"/>
        <v>NMISA</v>
      </c>
      <c r="B101" s="144">
        <f t="shared" si="153"/>
        <v>70.09</v>
      </c>
      <c r="C101" s="144">
        <f t="shared" si="154"/>
        <v>0.105</v>
      </c>
      <c r="D101" s="144">
        <f t="shared" si="155"/>
        <v>69.930000000000007</v>
      </c>
      <c r="E101" s="144">
        <f t="shared" si="156"/>
        <v>6.6000000000000003E-2</v>
      </c>
      <c r="F101" s="144">
        <f t="shared" si="157"/>
        <v>0.16</v>
      </c>
      <c r="G101" s="144">
        <f t="shared" si="158"/>
        <v>0.249</v>
      </c>
      <c r="J101" s="136"/>
      <c r="K101" s="233" t="s">
        <v>159</v>
      </c>
      <c r="L101" s="240">
        <v>70.09</v>
      </c>
      <c r="M101" s="235">
        <v>0.105</v>
      </c>
      <c r="N101" s="1418">
        <v>69.930000000000007</v>
      </c>
      <c r="O101" s="1419"/>
      <c r="P101" s="1420">
        <v>6.6000000000000003E-2</v>
      </c>
      <c r="Q101" s="1421"/>
      <c r="R101" s="1418">
        <v>0.16</v>
      </c>
      <c r="S101" s="1419"/>
      <c r="T101" s="1420">
        <v>0.249</v>
      </c>
      <c r="U101" s="1420"/>
    </row>
    <row r="102" spans="1:21" ht="15" customHeight="1" x14ac:dyDescent="0.2">
      <c r="A102" s="133" t="str">
        <f t="shared" si="152"/>
        <v>NPL</v>
      </c>
      <c r="B102" s="144">
        <f t="shared" si="153"/>
        <v>69.863</v>
      </c>
      <c r="C102" s="144">
        <f t="shared" si="154"/>
        <v>8.6999999999999994E-2</v>
      </c>
      <c r="D102" s="144">
        <f t="shared" si="155"/>
        <v>70.007000000000005</v>
      </c>
      <c r="E102" s="144">
        <f t="shared" si="156"/>
        <v>6.2E-2</v>
      </c>
      <c r="F102" s="144">
        <f t="shared" si="157"/>
        <v>-0.14399999999999999</v>
      </c>
      <c r="G102" s="144">
        <f t="shared" si="158"/>
        <v>0.214</v>
      </c>
      <c r="J102" s="136"/>
      <c r="K102" s="233" t="s">
        <v>160</v>
      </c>
      <c r="L102" s="248">
        <v>69.863</v>
      </c>
      <c r="M102" s="235">
        <v>8.6999999999999994E-2</v>
      </c>
      <c r="N102" s="1418">
        <v>70.007000000000005</v>
      </c>
      <c r="O102" s="1419"/>
      <c r="P102" s="1420">
        <v>6.2E-2</v>
      </c>
      <c r="Q102" s="1421"/>
      <c r="R102" s="1418">
        <v>-0.14399999999999999</v>
      </c>
      <c r="S102" s="1419"/>
      <c r="T102" s="1420">
        <v>0.214</v>
      </c>
      <c r="U102" s="1420"/>
    </row>
    <row r="103" spans="1:21" ht="15" customHeight="1" x14ac:dyDescent="0.2">
      <c r="A103" s="133" t="str">
        <f t="shared" si="152"/>
        <v>VNIMM</v>
      </c>
      <c r="B103" s="144" t="str">
        <f t="shared" si="153"/>
        <v>NA</v>
      </c>
      <c r="C103" s="144" t="str">
        <f t="shared" si="154"/>
        <v>NA</v>
      </c>
      <c r="D103" s="144" t="str">
        <f t="shared" si="155"/>
        <v>NA</v>
      </c>
      <c r="E103" s="144" t="str">
        <f t="shared" si="156"/>
        <v>NA</v>
      </c>
      <c r="F103" s="144" t="str">
        <f t="shared" si="157"/>
        <v>NA</v>
      </c>
      <c r="G103" s="144" t="str">
        <f t="shared" si="158"/>
        <v>NA</v>
      </c>
      <c r="J103" s="136"/>
      <c r="K103" s="117" t="s">
        <v>167</v>
      </c>
      <c r="L103" s="117" t="s">
        <v>140</v>
      </c>
      <c r="M103" s="117" t="s">
        <v>140</v>
      </c>
      <c r="N103" s="117" t="s">
        <v>140</v>
      </c>
      <c r="P103" s="117" t="s">
        <v>140</v>
      </c>
      <c r="R103" s="117" t="s">
        <v>140</v>
      </c>
      <c r="T103" s="117" t="s">
        <v>140</v>
      </c>
    </row>
    <row r="104" spans="1:21" ht="15.95" customHeight="1" x14ac:dyDescent="0.2">
      <c r="A104" s="133" t="str">
        <f t="shared" si="152"/>
        <v>NIST</v>
      </c>
      <c r="B104" s="144">
        <f t="shared" si="153"/>
        <v>70.400999999999996</v>
      </c>
      <c r="C104" s="144">
        <f t="shared" si="154"/>
        <v>0.17599999999999999</v>
      </c>
      <c r="D104" s="144">
        <f t="shared" si="155"/>
        <v>70.353999999999999</v>
      </c>
      <c r="E104" s="144">
        <f t="shared" si="156"/>
        <v>7.5999999999999998E-2</v>
      </c>
      <c r="F104" s="144">
        <f t="shared" si="157"/>
        <v>4.7E-2</v>
      </c>
      <c r="G104" s="144">
        <f t="shared" si="158"/>
        <v>0.38300000000000001</v>
      </c>
      <c r="J104" s="136"/>
      <c r="K104" s="237" t="s">
        <v>162</v>
      </c>
      <c r="L104" s="249">
        <v>70.400999999999996</v>
      </c>
      <c r="M104" s="239">
        <v>0.17599999999999999</v>
      </c>
      <c r="N104" s="1414">
        <v>70.353999999999999</v>
      </c>
      <c r="O104" s="1415"/>
      <c r="P104" s="1416">
        <v>7.5999999999999998E-2</v>
      </c>
      <c r="Q104" s="1417"/>
      <c r="R104" s="1414">
        <v>4.7E-2</v>
      </c>
      <c r="S104" s="1415"/>
      <c r="T104" s="1416">
        <v>0.38300000000000001</v>
      </c>
      <c r="U104" s="1416"/>
    </row>
    <row r="105" spans="1:21" x14ac:dyDescent="0.2">
      <c r="A105" s="133" t="str">
        <f t="shared" si="152"/>
        <v>VSL</v>
      </c>
      <c r="B105" s="144">
        <f t="shared" si="153"/>
        <v>70.05</v>
      </c>
      <c r="C105" s="144">
        <f t="shared" si="154"/>
        <v>0.105</v>
      </c>
      <c r="D105" s="144">
        <f t="shared" si="155"/>
        <v>70.093999999999994</v>
      </c>
      <c r="E105" s="144">
        <f t="shared" si="156"/>
        <v>8.6999999999999994E-2</v>
      </c>
      <c r="F105" s="144">
        <f t="shared" si="157"/>
        <v>-4.3999999999999997E-2</v>
      </c>
      <c r="G105" s="144">
        <f t="shared" si="158"/>
        <v>0.27200000000000002</v>
      </c>
      <c r="K105" s="233" t="s">
        <v>166</v>
      </c>
      <c r="L105" s="240">
        <v>70.05</v>
      </c>
      <c r="M105" s="235">
        <v>0.105</v>
      </c>
      <c r="N105" s="1418">
        <v>70.093999999999994</v>
      </c>
      <c r="O105" s="1419"/>
      <c r="P105" s="1420">
        <v>8.6999999999999994E-2</v>
      </c>
      <c r="Q105" s="1421"/>
      <c r="R105" s="1418">
        <v>-4.3999999999999997E-2</v>
      </c>
      <c r="S105" s="1419"/>
      <c r="T105" s="1420">
        <v>0.27200000000000002</v>
      </c>
      <c r="U105" s="1420"/>
    </row>
  </sheetData>
  <sheetProtection sheet="1" objects="1" scenarios="1" formatCells="0" formatColumns="0" formatRows="0"/>
  <mergeCells count="90">
    <mergeCell ref="N76:O76"/>
    <mergeCell ref="Q76:R76"/>
    <mergeCell ref="S76:T76"/>
    <mergeCell ref="N77:O77"/>
    <mergeCell ref="Q77:R77"/>
    <mergeCell ref="S77:T77"/>
    <mergeCell ref="N78:O78"/>
    <mergeCell ref="Q78:R78"/>
    <mergeCell ref="S78:T78"/>
    <mergeCell ref="Q82:R82"/>
    <mergeCell ref="S82:T82"/>
    <mergeCell ref="N79:O79"/>
    <mergeCell ref="Q79:R79"/>
    <mergeCell ref="S79:T79"/>
    <mergeCell ref="N80:O80"/>
    <mergeCell ref="Q80:R80"/>
    <mergeCell ref="S80:T80"/>
    <mergeCell ref="N75:O75"/>
    <mergeCell ref="Q75:R75"/>
    <mergeCell ref="S75:T75"/>
    <mergeCell ref="N85:O85"/>
    <mergeCell ref="Q85:R85"/>
    <mergeCell ref="S85:T85"/>
    <mergeCell ref="N83:O83"/>
    <mergeCell ref="Q83:R83"/>
    <mergeCell ref="S83:T83"/>
    <mergeCell ref="N84:O84"/>
    <mergeCell ref="Q84:R84"/>
    <mergeCell ref="S84:T84"/>
    <mergeCell ref="N81:O81"/>
    <mergeCell ref="Q81:R81"/>
    <mergeCell ref="S81:T81"/>
    <mergeCell ref="N82:O82"/>
    <mergeCell ref="L73:M73"/>
    <mergeCell ref="N73:P73"/>
    <mergeCell ref="Q73:T73"/>
    <mergeCell ref="N74:O74"/>
    <mergeCell ref="Q74:R74"/>
    <mergeCell ref="S74:T74"/>
    <mergeCell ref="N93:O93"/>
    <mergeCell ref="P93:Q93"/>
    <mergeCell ref="R93:S93"/>
    <mergeCell ref="T93:U93"/>
    <mergeCell ref="N94:O94"/>
    <mergeCell ref="P94:Q94"/>
    <mergeCell ref="R94:S94"/>
    <mergeCell ref="T94:U94"/>
    <mergeCell ref="P95:Q95"/>
    <mergeCell ref="R95:S95"/>
    <mergeCell ref="T95:U95"/>
    <mergeCell ref="N96:O96"/>
    <mergeCell ref="P96:Q96"/>
    <mergeCell ref="R96:S96"/>
    <mergeCell ref="T96:U96"/>
    <mergeCell ref="N102:O102"/>
    <mergeCell ref="P102:Q102"/>
    <mergeCell ref="R102:S102"/>
    <mergeCell ref="T102:U102"/>
    <mergeCell ref="N99:O99"/>
    <mergeCell ref="P99:Q99"/>
    <mergeCell ref="R99:S99"/>
    <mergeCell ref="T99:U99"/>
    <mergeCell ref="N100:O100"/>
    <mergeCell ref="P100:Q100"/>
    <mergeCell ref="R100:S100"/>
    <mergeCell ref="T100:U100"/>
    <mergeCell ref="L92:M92"/>
    <mergeCell ref="N92:Q92"/>
    <mergeCell ref="R92:U92"/>
    <mergeCell ref="N101:O101"/>
    <mergeCell ref="P101:Q101"/>
    <mergeCell ref="R101:S101"/>
    <mergeCell ref="T101:U101"/>
    <mergeCell ref="N97:O97"/>
    <mergeCell ref="P97:Q97"/>
    <mergeCell ref="R97:S97"/>
    <mergeCell ref="T97:U97"/>
    <mergeCell ref="N98:O98"/>
    <mergeCell ref="P98:Q98"/>
    <mergeCell ref="R98:S98"/>
    <mergeCell ref="T98:U98"/>
    <mergeCell ref="N95:O95"/>
    <mergeCell ref="N104:O104"/>
    <mergeCell ref="P104:Q104"/>
    <mergeCell ref="R104:S104"/>
    <mergeCell ref="T104:U104"/>
    <mergeCell ref="N105:O105"/>
    <mergeCell ref="P105:Q105"/>
    <mergeCell ref="R105:S105"/>
    <mergeCell ref="T105:U105"/>
  </mergeCells>
  <phoneticPr fontId="4"/>
  <pageMargins left="0.7" right="0.7" top="0.75" bottom="0.75" header="0.3" footer="0.3"/>
  <pageSetup paperSize="9" orientation="portrait" horizontalDpi="4294967293"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3ECA-78DE-4E8B-9809-9805518837BA}">
  <sheetPr>
    <pageSetUpPr fitToPage="1"/>
  </sheetPr>
  <dimension ref="A1:O41"/>
  <sheetViews>
    <sheetView workbookViewId="0">
      <selection activeCell="N29" sqref="N29"/>
    </sheetView>
  </sheetViews>
  <sheetFormatPr defaultColWidth="12.1640625" defaultRowHeight="13.5" x14ac:dyDescent="0.15"/>
  <cols>
    <col min="1" max="1" width="18.1640625" style="254" customWidth="1"/>
    <col min="2" max="5" width="19.6640625" style="255" customWidth="1"/>
    <col min="6" max="10" width="19.6640625" style="254" customWidth="1"/>
    <col min="11" max="16384" width="12.1640625" style="254"/>
  </cols>
  <sheetData>
    <row r="1" spans="1:15" x14ac:dyDescent="0.15">
      <c r="A1" s="256"/>
      <c r="B1" s="258"/>
      <c r="C1" s="258"/>
      <c r="D1" s="258"/>
      <c r="E1" s="258"/>
      <c r="F1" s="256"/>
      <c r="G1" s="256"/>
      <c r="H1" s="256"/>
      <c r="I1" s="256"/>
      <c r="J1" s="256"/>
      <c r="K1" s="256"/>
      <c r="L1" s="256"/>
      <c r="M1" s="256"/>
      <c r="N1" s="256"/>
      <c r="O1" s="256"/>
    </row>
    <row r="2" spans="1:15" x14ac:dyDescent="0.15">
      <c r="A2" s="291" t="s">
        <v>194</v>
      </c>
      <c r="B2" s="290"/>
      <c r="C2" s="258"/>
      <c r="D2" s="258"/>
      <c r="E2" s="258"/>
      <c r="F2" s="256"/>
      <c r="G2" s="256"/>
      <c r="H2" s="256"/>
      <c r="I2" s="256"/>
      <c r="J2" s="256"/>
      <c r="K2" s="256"/>
      <c r="L2" s="256"/>
      <c r="M2" s="256"/>
      <c r="N2" s="256"/>
      <c r="O2" s="256"/>
    </row>
    <row r="3" spans="1:15" x14ac:dyDescent="0.15">
      <c r="A3" s="256"/>
      <c r="B3" s="258"/>
      <c r="C3" s="258"/>
      <c r="D3" s="258"/>
      <c r="E3" s="258"/>
      <c r="F3" s="256"/>
      <c r="G3" s="256"/>
      <c r="H3" s="256"/>
      <c r="I3" s="256"/>
      <c r="J3" s="256"/>
      <c r="K3" s="256"/>
      <c r="L3" s="256"/>
      <c r="M3" s="256"/>
      <c r="N3" s="256"/>
      <c r="O3" s="256"/>
    </row>
    <row r="4" spans="1:15" ht="15" customHeight="1" x14ac:dyDescent="0.15">
      <c r="A4" s="262"/>
      <c r="B4" s="1445" t="s">
        <v>193</v>
      </c>
      <c r="C4" s="1446"/>
      <c r="D4" s="1440" t="s">
        <v>192</v>
      </c>
      <c r="E4" s="1441"/>
      <c r="F4" s="280"/>
      <c r="G4" s="256"/>
      <c r="H4" s="256"/>
      <c r="I4" s="256"/>
      <c r="J4" s="256"/>
      <c r="K4" s="256"/>
      <c r="L4" s="256"/>
      <c r="M4" s="256"/>
      <c r="N4" s="256"/>
      <c r="O4" s="256"/>
    </row>
    <row r="5" spans="1:15" ht="15" customHeight="1" x14ac:dyDescent="0.25">
      <c r="A5" s="262"/>
      <c r="B5" s="269" t="s">
        <v>191</v>
      </c>
      <c r="C5" s="269" t="s">
        <v>190</v>
      </c>
      <c r="D5" s="267" t="s">
        <v>191</v>
      </c>
      <c r="E5" s="267" t="s">
        <v>190</v>
      </c>
      <c r="F5" s="262"/>
      <c r="G5" s="256"/>
      <c r="H5" s="256"/>
      <c r="I5" s="256"/>
      <c r="J5" s="256"/>
      <c r="K5" s="256"/>
      <c r="L5" s="256"/>
      <c r="M5" s="256"/>
      <c r="N5" s="256"/>
      <c r="O5" s="256"/>
    </row>
    <row r="6" spans="1:15" ht="15" customHeight="1" x14ac:dyDescent="0.15">
      <c r="A6" s="262"/>
      <c r="B6" s="269"/>
      <c r="C6" s="269"/>
      <c r="D6" s="267"/>
      <c r="E6" s="267"/>
      <c r="F6" s="280"/>
      <c r="G6" s="258"/>
      <c r="H6" s="258"/>
      <c r="I6" s="258"/>
      <c r="J6" s="256"/>
      <c r="K6" s="1439"/>
      <c r="L6" s="1439"/>
      <c r="M6" s="1439"/>
      <c r="N6" s="1439"/>
      <c r="O6" s="256"/>
    </row>
    <row r="7" spans="1:15" ht="15" customHeight="1" x14ac:dyDescent="0.15">
      <c r="A7" s="262" t="s">
        <v>176</v>
      </c>
      <c r="B7" s="289">
        <f>(2*SQRT(0.14^2+0.629^2)/30.783)*100</f>
        <v>4.1866742128086871</v>
      </c>
      <c r="C7" s="289">
        <f t="shared" ref="C7:C17" si="0">B7/100*10</f>
        <v>0.41866742128086876</v>
      </c>
      <c r="D7" s="288">
        <f>(2*SQRT(0.24^2+0.57^2)/70.62)*100</f>
        <v>1.7515317016217755</v>
      </c>
      <c r="E7" s="288">
        <f t="shared" ref="E7:E15" si="1">D7/100*10</f>
        <v>0.17515317016217755</v>
      </c>
      <c r="F7" s="279"/>
      <c r="G7" s="287"/>
      <c r="H7" s="258"/>
      <c r="I7" s="258"/>
      <c r="J7" s="280"/>
      <c r="K7" s="279"/>
      <c r="L7" s="279"/>
      <c r="M7" s="279"/>
      <c r="N7" s="279"/>
      <c r="O7" s="256"/>
    </row>
    <row r="8" spans="1:15" ht="15" customHeight="1" x14ac:dyDescent="0.15">
      <c r="A8" s="262" t="s">
        <v>175</v>
      </c>
      <c r="B8" s="266">
        <f>0.09/28.52*100</f>
        <v>0.31556802244039273</v>
      </c>
      <c r="C8" s="266">
        <f t="shared" si="0"/>
        <v>3.1556802244039277E-2</v>
      </c>
      <c r="D8" s="281">
        <f>0.22/68.771*100</f>
        <v>0.31990228439313084</v>
      </c>
      <c r="E8" s="281">
        <f t="shared" si="1"/>
        <v>3.1990228439313081E-2</v>
      </c>
      <c r="F8" s="279"/>
      <c r="G8" s="287"/>
      <c r="H8" s="258"/>
      <c r="I8" s="258"/>
      <c r="J8" s="280"/>
      <c r="K8" s="279"/>
      <c r="L8" s="278"/>
      <c r="M8" s="278"/>
      <c r="N8" s="278"/>
      <c r="O8" s="256"/>
    </row>
    <row r="9" spans="1:15" ht="15" customHeight="1" x14ac:dyDescent="0.15">
      <c r="A9" s="262" t="s">
        <v>174</v>
      </c>
      <c r="B9" s="289">
        <f>(2*SQRT(0.3^2+0.681^2)/29.852)*100</f>
        <v>4.9856036065570395</v>
      </c>
      <c r="C9" s="289">
        <f t="shared" si="0"/>
        <v>0.49856036065570397</v>
      </c>
      <c r="D9" s="288">
        <f>(2*SQRT(0.55^2+1.315^2)/69.785)*100</f>
        <v>4.0850782049341232</v>
      </c>
      <c r="E9" s="288">
        <f t="shared" si="1"/>
        <v>0.40850782049341233</v>
      </c>
      <c r="F9" s="279"/>
      <c r="G9" s="287"/>
      <c r="H9" s="258"/>
      <c r="I9" s="258"/>
      <c r="J9" s="258"/>
      <c r="K9" s="256"/>
      <c r="L9" s="256"/>
      <c r="M9" s="256"/>
      <c r="N9" s="256"/>
      <c r="O9" s="256"/>
    </row>
    <row r="10" spans="1:15" ht="15" customHeight="1" x14ac:dyDescent="0.15">
      <c r="A10" s="262" t="s">
        <v>17</v>
      </c>
      <c r="B10" s="266">
        <f>0.2/29.966*100</f>
        <v>0.66742307949008883</v>
      </c>
      <c r="C10" s="266">
        <f t="shared" si="0"/>
        <v>6.6742307949008872E-2</v>
      </c>
      <c r="D10" s="281">
        <f>0.322/69.864*100</f>
        <v>0.46089545402496274</v>
      </c>
      <c r="E10" s="281">
        <f t="shared" si="1"/>
        <v>4.6089545402496275E-2</v>
      </c>
      <c r="F10" s="279"/>
      <c r="G10" s="287"/>
      <c r="H10" s="258"/>
      <c r="I10" s="258"/>
      <c r="J10" s="256"/>
      <c r="K10" s="256"/>
      <c r="L10" s="256"/>
      <c r="M10" s="256"/>
      <c r="N10" s="256"/>
      <c r="O10" s="256"/>
    </row>
    <row r="11" spans="1:15" ht="15" customHeight="1" x14ac:dyDescent="0.15">
      <c r="A11" s="262" t="s">
        <v>18</v>
      </c>
      <c r="B11" s="266">
        <f>0.068/30.286*100</f>
        <v>0.22452618371524799</v>
      </c>
      <c r="C11" s="266">
        <f t="shared" si="0"/>
        <v>2.2452618371524798E-2</v>
      </c>
      <c r="D11" s="281">
        <f>0.16/70.02*100</f>
        <v>0.22850614110254214</v>
      </c>
      <c r="E11" s="281">
        <f t="shared" si="1"/>
        <v>2.2850614110254214E-2</v>
      </c>
      <c r="F11" s="279"/>
      <c r="G11" s="287"/>
      <c r="H11" s="258"/>
      <c r="I11" s="258"/>
      <c r="J11" s="256"/>
      <c r="K11" s="256"/>
      <c r="L11" s="256"/>
      <c r="M11" s="256"/>
      <c r="N11" s="256"/>
      <c r="O11" s="256"/>
    </row>
    <row r="12" spans="1:15" ht="15" customHeight="1" x14ac:dyDescent="0.15">
      <c r="A12" s="262" t="s">
        <v>173</v>
      </c>
      <c r="B12" s="266">
        <f>0.15/29.92*100</f>
        <v>0.50133689839572182</v>
      </c>
      <c r="C12" s="266">
        <f t="shared" si="0"/>
        <v>5.0133689839572185E-2</v>
      </c>
      <c r="D12" s="281">
        <f>0.35/69.905*100</f>
        <v>0.50067949359845509</v>
      </c>
      <c r="E12" s="281">
        <f t="shared" si="1"/>
        <v>5.0067949359845515E-2</v>
      </c>
      <c r="F12" s="279"/>
      <c r="H12" s="258"/>
      <c r="I12" s="258"/>
      <c r="J12" s="277"/>
      <c r="K12" s="256"/>
      <c r="L12" s="256"/>
      <c r="M12" s="256"/>
      <c r="N12" s="256"/>
      <c r="O12" s="256"/>
    </row>
    <row r="13" spans="1:15" ht="15" customHeight="1" x14ac:dyDescent="0.15">
      <c r="A13" s="262" t="s">
        <v>172</v>
      </c>
      <c r="B13" s="266">
        <f>0.26/30.032*100</f>
        <v>0.86574320724560483</v>
      </c>
      <c r="C13" s="266">
        <f t="shared" si="0"/>
        <v>8.6574320724560477E-2</v>
      </c>
      <c r="D13" s="281">
        <f>0.31/69.953*100</f>
        <v>0.4431546895772876</v>
      </c>
      <c r="E13" s="281">
        <f t="shared" si="1"/>
        <v>4.4315468957728754E-2</v>
      </c>
      <c r="F13" s="279"/>
      <c r="G13" s="287"/>
      <c r="H13" s="258"/>
      <c r="I13" s="258"/>
      <c r="J13" s="256"/>
      <c r="K13" s="1439"/>
      <c r="L13" s="1439"/>
      <c r="M13" s="1439"/>
      <c r="N13" s="1439"/>
      <c r="O13" s="256"/>
    </row>
    <row r="14" spans="1:15" ht="15" customHeight="1" x14ac:dyDescent="0.15">
      <c r="A14" s="262" t="s">
        <v>15</v>
      </c>
      <c r="B14" s="266">
        <f>0.17/30.235*100</f>
        <v>0.56226227881594182</v>
      </c>
      <c r="C14" s="266">
        <f t="shared" si="0"/>
        <v>5.6226227881594176E-2</v>
      </c>
      <c r="D14" s="281">
        <f>0.21/69.93*100</f>
        <v>0.30030030030030025</v>
      </c>
      <c r="E14" s="281">
        <f t="shared" si="1"/>
        <v>3.0030030030030026E-2</v>
      </c>
      <c r="F14" s="279"/>
      <c r="G14" s="287"/>
      <c r="H14" s="258"/>
      <c r="I14" s="258"/>
      <c r="J14" s="280"/>
      <c r="K14" s="286"/>
      <c r="L14" s="279"/>
      <c r="M14" s="279"/>
      <c r="N14" s="279"/>
      <c r="O14" s="256"/>
    </row>
    <row r="15" spans="1:15" ht="15" customHeight="1" x14ac:dyDescent="0.15">
      <c r="A15" s="262" t="s">
        <v>16</v>
      </c>
      <c r="B15" s="266">
        <f>0.06/30.049*100</f>
        <v>0.19967386601883588</v>
      </c>
      <c r="C15" s="266">
        <f t="shared" si="0"/>
        <v>1.9967386601883588E-2</v>
      </c>
      <c r="D15" s="281">
        <f>0.1/70.007*100</f>
        <v>0.14284285857128573</v>
      </c>
      <c r="E15" s="281">
        <f t="shared" si="1"/>
        <v>1.4284285857128574E-2</v>
      </c>
      <c r="F15" s="279"/>
      <c r="G15" s="258"/>
      <c r="H15" s="258"/>
      <c r="I15" s="258"/>
      <c r="J15" s="280"/>
      <c r="K15" s="279"/>
      <c r="L15" s="285"/>
      <c r="M15" s="285"/>
      <c r="N15" s="279"/>
      <c r="O15" s="256"/>
    </row>
    <row r="16" spans="1:15" ht="15" customHeight="1" x14ac:dyDescent="0.15">
      <c r="A16" s="262" t="s">
        <v>2</v>
      </c>
      <c r="B16" s="266">
        <f>0.0012/29.975*100</f>
        <v>4.0033361134278562E-3</v>
      </c>
      <c r="C16" s="266">
        <f t="shared" si="0"/>
        <v>4.0033361134278564E-4</v>
      </c>
      <c r="D16" s="284" t="s">
        <v>189</v>
      </c>
      <c r="E16" s="283" t="s">
        <v>189</v>
      </c>
      <c r="F16" s="279"/>
      <c r="G16" s="256"/>
      <c r="H16" s="256"/>
      <c r="I16" s="256"/>
      <c r="J16" s="258"/>
      <c r="K16" s="256"/>
      <c r="L16" s="256"/>
      <c r="M16" s="256"/>
      <c r="N16" s="256"/>
      <c r="O16" s="256"/>
    </row>
    <row r="17" spans="1:15" ht="15" customHeight="1" x14ac:dyDescent="0.15">
      <c r="A17" s="262" t="s">
        <v>20</v>
      </c>
      <c r="B17" s="266">
        <f>0.036/29.745*100</f>
        <v>0.1210287443267776</v>
      </c>
      <c r="C17" s="266">
        <f t="shared" si="0"/>
        <v>1.210287443267776E-2</v>
      </c>
      <c r="D17" s="281">
        <f>0.13/70.354*100</f>
        <v>0.18477982772834523</v>
      </c>
      <c r="E17" s="281">
        <f>D17/100*10</f>
        <v>1.8477982772834523E-2</v>
      </c>
      <c r="F17" s="279"/>
      <c r="G17" s="1439"/>
      <c r="H17" s="1439"/>
      <c r="I17" s="262"/>
      <c r="J17" s="258"/>
      <c r="K17" s="256"/>
      <c r="L17" s="256"/>
      <c r="M17" s="256"/>
      <c r="N17" s="256"/>
      <c r="O17" s="256"/>
    </row>
    <row r="18" spans="1:15" ht="15" customHeight="1" x14ac:dyDescent="0.15">
      <c r="A18" s="262" t="s">
        <v>21</v>
      </c>
      <c r="B18" s="282" t="s">
        <v>189</v>
      </c>
      <c r="C18" s="264" t="s">
        <v>189</v>
      </c>
      <c r="D18" s="259">
        <f>0.21/70.094*100</f>
        <v>0.29959768311125062</v>
      </c>
      <c r="E18" s="281">
        <f>D18/100*10</f>
        <v>2.9959768311125061E-2</v>
      </c>
      <c r="F18" s="279"/>
      <c r="G18" s="279"/>
      <c r="H18" s="279"/>
      <c r="I18" s="279"/>
      <c r="J18" s="258"/>
      <c r="K18" s="256"/>
      <c r="L18" s="256"/>
      <c r="M18" s="256"/>
      <c r="N18" s="256"/>
      <c r="O18" s="256"/>
    </row>
    <row r="19" spans="1:15" ht="15" customHeight="1" x14ac:dyDescent="0.15">
      <c r="A19" s="262"/>
      <c r="B19" s="270"/>
      <c r="C19" s="270"/>
      <c r="D19" s="270"/>
      <c r="E19" s="270"/>
      <c r="F19" s="280"/>
      <c r="G19" s="279"/>
      <c r="H19" s="278"/>
      <c r="I19" s="278"/>
      <c r="J19" s="258"/>
      <c r="K19" s="256"/>
      <c r="L19" s="256"/>
      <c r="M19" s="256"/>
      <c r="N19" s="256"/>
      <c r="O19" s="256"/>
    </row>
    <row r="20" spans="1:15" ht="15" customHeight="1" x14ac:dyDescent="0.15">
      <c r="A20" s="262"/>
      <c r="B20" s="274"/>
      <c r="C20" s="274"/>
      <c r="D20" s="270"/>
      <c r="E20" s="270"/>
      <c r="F20" s="277"/>
      <c r="G20" s="256"/>
      <c r="H20" s="256"/>
      <c r="I20" s="256"/>
      <c r="J20" s="258"/>
      <c r="K20" s="256"/>
      <c r="L20" s="256"/>
      <c r="M20" s="256"/>
      <c r="N20" s="256"/>
      <c r="O20" s="256"/>
    </row>
    <row r="21" spans="1:15" ht="15" customHeight="1" x14ac:dyDescent="0.15">
      <c r="A21" s="276" t="s">
        <v>188</v>
      </c>
      <c r="B21" s="275"/>
      <c r="C21" s="275"/>
      <c r="D21" s="274"/>
      <c r="E21" s="274"/>
      <c r="F21" s="256"/>
      <c r="G21" s="256"/>
      <c r="H21" s="256"/>
      <c r="I21" s="256"/>
      <c r="J21" s="258"/>
      <c r="K21" s="256"/>
      <c r="L21" s="256"/>
      <c r="M21" s="256"/>
      <c r="N21" s="256"/>
      <c r="O21" s="256"/>
    </row>
    <row r="22" spans="1:15" ht="15" customHeight="1" x14ac:dyDescent="0.15">
      <c r="A22" s="262"/>
      <c r="B22" s="270"/>
      <c r="C22" s="270"/>
      <c r="D22" s="270"/>
      <c r="E22" s="270"/>
      <c r="F22" s="256"/>
      <c r="G22" s="258"/>
      <c r="H22" s="258"/>
      <c r="I22" s="258"/>
      <c r="J22" s="258"/>
      <c r="K22" s="256"/>
      <c r="L22" s="256"/>
      <c r="M22" s="256"/>
      <c r="N22" s="256"/>
      <c r="O22" s="256"/>
    </row>
    <row r="23" spans="1:15" ht="15" customHeight="1" x14ac:dyDescent="0.15">
      <c r="A23" s="273" t="s">
        <v>187</v>
      </c>
      <c r="B23" s="270"/>
      <c r="C23" s="270"/>
      <c r="D23" s="270"/>
      <c r="E23" s="270"/>
      <c r="F23" s="256"/>
      <c r="G23" s="258"/>
      <c r="H23" s="258"/>
      <c r="I23" s="258"/>
      <c r="J23" s="258"/>
      <c r="K23" s="256"/>
      <c r="L23" s="256"/>
      <c r="M23" s="256"/>
      <c r="N23" s="256"/>
      <c r="O23" s="256"/>
    </row>
    <row r="24" spans="1:15" ht="15" customHeight="1" x14ac:dyDescent="0.15">
      <c r="A24" s="272" t="s">
        <v>186</v>
      </c>
      <c r="B24" s="270"/>
      <c r="C24" s="270"/>
      <c r="D24" s="270"/>
      <c r="E24" s="270"/>
      <c r="F24" s="256"/>
      <c r="G24" s="258"/>
      <c r="H24" s="258"/>
      <c r="I24" s="258"/>
      <c r="J24" s="258"/>
      <c r="K24" s="256"/>
      <c r="L24" s="256"/>
      <c r="M24" s="256"/>
      <c r="N24" s="256"/>
      <c r="O24" s="256"/>
    </row>
    <row r="25" spans="1:15" ht="15" customHeight="1" x14ac:dyDescent="0.15">
      <c r="A25" s="271" t="s">
        <v>185</v>
      </c>
      <c r="B25" s="270"/>
      <c r="C25" s="270"/>
      <c r="D25" s="270"/>
      <c r="E25" s="270"/>
      <c r="F25" s="256"/>
      <c r="G25" s="258"/>
      <c r="H25" s="258"/>
      <c r="I25" s="258"/>
      <c r="J25" s="258"/>
      <c r="K25" s="256"/>
      <c r="L25" s="256"/>
      <c r="M25" s="256"/>
      <c r="N25" s="256"/>
      <c r="O25" s="256"/>
    </row>
    <row r="26" spans="1:15" x14ac:dyDescent="0.15">
      <c r="A26" s="262"/>
      <c r="B26" s="1445" t="s">
        <v>184</v>
      </c>
      <c r="C26" s="1446"/>
      <c r="D26" s="1442"/>
      <c r="E26" s="1442"/>
      <c r="F26" s="1440" t="s">
        <v>183</v>
      </c>
      <c r="G26" s="1442"/>
      <c r="H26" s="1442"/>
      <c r="I26" s="1442"/>
      <c r="J26" s="258"/>
      <c r="K26" s="256"/>
      <c r="L26" s="256"/>
      <c r="M26" s="256"/>
      <c r="N26" s="256"/>
      <c r="O26" s="256"/>
    </row>
    <row r="27" spans="1:15" ht="17.25" x14ac:dyDescent="0.25">
      <c r="A27" s="262"/>
      <c r="B27" s="1445" t="s">
        <v>182</v>
      </c>
      <c r="C27" s="1442"/>
      <c r="D27" s="1445" t="s">
        <v>180</v>
      </c>
      <c r="E27" s="1447"/>
      <c r="F27" s="1440" t="s">
        <v>181</v>
      </c>
      <c r="G27" s="1441"/>
      <c r="H27" s="1440" t="s">
        <v>180</v>
      </c>
      <c r="I27" s="1440"/>
      <c r="J27" s="258"/>
      <c r="K27" s="256"/>
      <c r="L27" s="256"/>
      <c r="M27" s="256"/>
      <c r="N27" s="256"/>
      <c r="O27" s="256"/>
    </row>
    <row r="28" spans="1:15" x14ac:dyDescent="0.15">
      <c r="A28" s="262"/>
      <c r="B28" s="269" t="s">
        <v>179</v>
      </c>
      <c r="C28" s="269" t="s">
        <v>177</v>
      </c>
      <c r="D28" s="269" t="s">
        <v>179</v>
      </c>
      <c r="E28" s="269" t="s">
        <v>177</v>
      </c>
      <c r="F28" s="267" t="s">
        <v>179</v>
      </c>
      <c r="G28" s="268" t="s">
        <v>177</v>
      </c>
      <c r="H28" s="267" t="s">
        <v>178</v>
      </c>
      <c r="I28" s="267" t="s">
        <v>177</v>
      </c>
      <c r="J28" s="258"/>
      <c r="K28" s="256"/>
      <c r="L28" s="256"/>
      <c r="M28" s="256"/>
      <c r="N28" s="256"/>
      <c r="O28" s="256"/>
    </row>
    <row r="29" spans="1:15" x14ac:dyDescent="0.15">
      <c r="A29" s="262" t="s">
        <v>176</v>
      </c>
      <c r="B29" s="266">
        <f t="shared" ref="B29:B39" si="2">C7</f>
        <v>0.41866742128086876</v>
      </c>
      <c r="C29" s="265">
        <v>10</v>
      </c>
      <c r="D29" s="264">
        <v>100</v>
      </c>
      <c r="E29" s="263">
        <f t="shared" ref="E29:E39" si="3">B7</f>
        <v>4.1866742128086871</v>
      </c>
      <c r="F29" s="261">
        <v>10</v>
      </c>
      <c r="G29" s="260">
        <f>500</f>
        <v>500</v>
      </c>
      <c r="H29" s="259">
        <f t="shared" ref="H29:H37" si="4">E29</f>
        <v>4.1866742128086871</v>
      </c>
      <c r="I29" s="259">
        <f t="shared" ref="I29:I37" si="5">D7</f>
        <v>1.7515317016217755</v>
      </c>
      <c r="J29" s="258"/>
      <c r="K29" s="256"/>
      <c r="L29" s="256"/>
      <c r="M29" s="256"/>
      <c r="N29" s="256"/>
      <c r="O29" s="256"/>
    </row>
    <row r="30" spans="1:15" x14ac:dyDescent="0.15">
      <c r="A30" s="262" t="s">
        <v>175</v>
      </c>
      <c r="B30" s="266">
        <f t="shared" si="2"/>
        <v>3.1556802244039277E-2</v>
      </c>
      <c r="C30" s="265">
        <v>10</v>
      </c>
      <c r="D30" s="264">
        <v>100</v>
      </c>
      <c r="E30" s="263">
        <f t="shared" si="3"/>
        <v>0.31556802244039273</v>
      </c>
      <c r="F30" s="261">
        <v>10</v>
      </c>
      <c r="G30" s="260">
        <f>500</f>
        <v>500</v>
      </c>
      <c r="H30" s="259">
        <f t="shared" si="4"/>
        <v>0.31556802244039273</v>
      </c>
      <c r="I30" s="259">
        <f t="shared" si="5"/>
        <v>0.31990228439313084</v>
      </c>
      <c r="J30" s="256"/>
      <c r="K30" s="256"/>
      <c r="L30" s="256"/>
      <c r="M30" s="256"/>
      <c r="N30" s="256"/>
      <c r="O30" s="256"/>
    </row>
    <row r="31" spans="1:15" x14ac:dyDescent="0.15">
      <c r="A31" s="262" t="s">
        <v>174</v>
      </c>
      <c r="B31" s="266">
        <f t="shared" si="2"/>
        <v>0.49856036065570397</v>
      </c>
      <c r="C31" s="265">
        <v>10</v>
      </c>
      <c r="D31" s="264">
        <v>100</v>
      </c>
      <c r="E31" s="263">
        <f t="shared" si="3"/>
        <v>4.9856036065570395</v>
      </c>
      <c r="F31" s="261">
        <v>10</v>
      </c>
      <c r="G31" s="260">
        <f>500</f>
        <v>500</v>
      </c>
      <c r="H31" s="259">
        <f t="shared" si="4"/>
        <v>4.9856036065570395</v>
      </c>
      <c r="I31" s="259">
        <f t="shared" si="5"/>
        <v>4.0850782049341232</v>
      </c>
      <c r="J31" s="256"/>
      <c r="K31" s="256"/>
      <c r="L31" s="256"/>
      <c r="M31" s="256"/>
      <c r="N31" s="256"/>
      <c r="O31" s="256"/>
    </row>
    <row r="32" spans="1:15" x14ac:dyDescent="0.15">
      <c r="A32" s="262" t="s">
        <v>17</v>
      </c>
      <c r="B32" s="266">
        <f t="shared" si="2"/>
        <v>6.6742307949008872E-2</v>
      </c>
      <c r="C32" s="265">
        <v>10</v>
      </c>
      <c r="D32" s="264">
        <v>100</v>
      </c>
      <c r="E32" s="263">
        <f t="shared" si="3"/>
        <v>0.66742307949008883</v>
      </c>
      <c r="F32" s="261">
        <v>10</v>
      </c>
      <c r="G32" s="260">
        <f>500</f>
        <v>500</v>
      </c>
      <c r="H32" s="259">
        <f t="shared" si="4"/>
        <v>0.66742307949008883</v>
      </c>
      <c r="I32" s="259">
        <f t="shared" si="5"/>
        <v>0.46089545402496274</v>
      </c>
      <c r="J32" s="256"/>
      <c r="K32" s="256"/>
      <c r="L32" s="256"/>
      <c r="M32" s="256"/>
      <c r="N32" s="256"/>
      <c r="O32" s="256"/>
    </row>
    <row r="33" spans="1:15" x14ac:dyDescent="0.15">
      <c r="A33" s="262" t="s">
        <v>18</v>
      </c>
      <c r="B33" s="266">
        <f t="shared" si="2"/>
        <v>2.2452618371524798E-2</v>
      </c>
      <c r="C33" s="265">
        <v>10</v>
      </c>
      <c r="D33" s="264">
        <v>100</v>
      </c>
      <c r="E33" s="263">
        <f t="shared" si="3"/>
        <v>0.22452618371524799</v>
      </c>
      <c r="F33" s="261">
        <v>10</v>
      </c>
      <c r="G33" s="260">
        <f>500</f>
        <v>500</v>
      </c>
      <c r="H33" s="259">
        <f t="shared" si="4"/>
        <v>0.22452618371524799</v>
      </c>
      <c r="I33" s="259">
        <f t="shared" si="5"/>
        <v>0.22850614110254214</v>
      </c>
      <c r="J33" s="256"/>
      <c r="K33" s="256"/>
      <c r="L33" s="256"/>
      <c r="M33" s="256"/>
      <c r="N33" s="256"/>
      <c r="O33" s="256"/>
    </row>
    <row r="34" spans="1:15" x14ac:dyDescent="0.15">
      <c r="A34" s="262" t="s">
        <v>173</v>
      </c>
      <c r="B34" s="266">
        <f t="shared" si="2"/>
        <v>5.0133689839572185E-2</v>
      </c>
      <c r="C34" s="265">
        <v>10</v>
      </c>
      <c r="D34" s="264">
        <v>100</v>
      </c>
      <c r="E34" s="263">
        <f t="shared" si="3"/>
        <v>0.50133689839572182</v>
      </c>
      <c r="F34" s="261">
        <v>10</v>
      </c>
      <c r="G34" s="260">
        <f>500</f>
        <v>500</v>
      </c>
      <c r="H34" s="259">
        <f t="shared" si="4"/>
        <v>0.50133689839572182</v>
      </c>
      <c r="I34" s="259">
        <f t="shared" si="5"/>
        <v>0.50067949359845509</v>
      </c>
      <c r="J34" s="256"/>
      <c r="K34" s="256"/>
      <c r="L34" s="256"/>
      <c r="M34" s="256"/>
      <c r="N34" s="256"/>
      <c r="O34" s="256"/>
    </row>
    <row r="35" spans="1:15" x14ac:dyDescent="0.15">
      <c r="A35" s="262" t="s">
        <v>172</v>
      </c>
      <c r="B35" s="266">
        <f t="shared" si="2"/>
        <v>8.6574320724560477E-2</v>
      </c>
      <c r="C35" s="265">
        <v>10</v>
      </c>
      <c r="D35" s="264">
        <v>100</v>
      </c>
      <c r="E35" s="263">
        <f t="shared" si="3"/>
        <v>0.86574320724560483</v>
      </c>
      <c r="F35" s="261">
        <v>10</v>
      </c>
      <c r="G35" s="260">
        <f>500</f>
        <v>500</v>
      </c>
      <c r="H35" s="259">
        <f t="shared" si="4"/>
        <v>0.86574320724560483</v>
      </c>
      <c r="I35" s="259">
        <f t="shared" si="5"/>
        <v>0.4431546895772876</v>
      </c>
      <c r="J35" s="256"/>
      <c r="K35" s="256"/>
      <c r="L35" s="256"/>
      <c r="M35" s="256"/>
      <c r="N35" s="256"/>
      <c r="O35" s="256"/>
    </row>
    <row r="36" spans="1:15" x14ac:dyDescent="0.15">
      <c r="A36" s="262" t="s">
        <v>15</v>
      </c>
      <c r="B36" s="266">
        <f t="shared" si="2"/>
        <v>5.6226227881594176E-2</v>
      </c>
      <c r="C36" s="265">
        <v>10</v>
      </c>
      <c r="D36" s="264">
        <v>100</v>
      </c>
      <c r="E36" s="263">
        <f t="shared" si="3"/>
        <v>0.56226227881594182</v>
      </c>
      <c r="F36" s="261">
        <v>10</v>
      </c>
      <c r="G36" s="260">
        <f>500</f>
        <v>500</v>
      </c>
      <c r="H36" s="259">
        <f t="shared" si="4"/>
        <v>0.56226227881594182</v>
      </c>
      <c r="I36" s="259">
        <f t="shared" si="5"/>
        <v>0.30030030030030025</v>
      </c>
      <c r="J36" s="256"/>
      <c r="K36" s="256"/>
      <c r="L36" s="256"/>
      <c r="M36" s="256"/>
      <c r="N36" s="256"/>
      <c r="O36" s="256"/>
    </row>
    <row r="37" spans="1:15" x14ac:dyDescent="0.15">
      <c r="A37" s="262" t="s">
        <v>16</v>
      </c>
      <c r="B37" s="266">
        <f t="shared" si="2"/>
        <v>1.9967386601883588E-2</v>
      </c>
      <c r="C37" s="265">
        <v>10</v>
      </c>
      <c r="D37" s="264">
        <v>100</v>
      </c>
      <c r="E37" s="263">
        <f t="shared" si="3"/>
        <v>0.19967386601883588</v>
      </c>
      <c r="F37" s="261">
        <v>10</v>
      </c>
      <c r="G37" s="260">
        <f>500</f>
        <v>500</v>
      </c>
      <c r="H37" s="259">
        <f t="shared" si="4"/>
        <v>0.19967386601883588</v>
      </c>
      <c r="I37" s="259">
        <f t="shared" si="5"/>
        <v>0.14284285857128573</v>
      </c>
      <c r="J37" s="256"/>
      <c r="K37" s="256"/>
      <c r="L37" s="256"/>
      <c r="M37" s="256"/>
      <c r="N37" s="256"/>
      <c r="O37" s="256"/>
    </row>
    <row r="38" spans="1:15" x14ac:dyDescent="0.15">
      <c r="A38" s="262" t="s">
        <v>2</v>
      </c>
      <c r="B38" s="266">
        <f t="shared" si="2"/>
        <v>4.0033361134278564E-4</v>
      </c>
      <c r="C38" s="265">
        <v>10</v>
      </c>
      <c r="D38" s="264">
        <v>100</v>
      </c>
      <c r="E38" s="263">
        <f t="shared" si="3"/>
        <v>4.0033361134278562E-3</v>
      </c>
      <c r="F38" s="1444" t="s">
        <v>171</v>
      </c>
      <c r="G38" s="1442"/>
      <c r="H38" s="1442"/>
      <c r="I38" s="1442"/>
      <c r="J38" s="256"/>
      <c r="K38" s="256"/>
      <c r="L38" s="256"/>
      <c r="M38" s="256"/>
      <c r="N38" s="256"/>
      <c r="O38" s="256"/>
    </row>
    <row r="39" spans="1:15" x14ac:dyDescent="0.15">
      <c r="A39" s="262" t="s">
        <v>20</v>
      </c>
      <c r="B39" s="266">
        <f t="shared" si="2"/>
        <v>1.210287443267776E-2</v>
      </c>
      <c r="C39" s="265">
        <v>10</v>
      </c>
      <c r="D39" s="264">
        <v>100</v>
      </c>
      <c r="E39" s="263">
        <f t="shared" si="3"/>
        <v>0.1210287443267776</v>
      </c>
      <c r="F39" s="261">
        <v>10</v>
      </c>
      <c r="G39" s="260">
        <f>500</f>
        <v>500</v>
      </c>
      <c r="H39" s="259">
        <f>E39</f>
        <v>0.1210287443267776</v>
      </c>
      <c r="I39" s="259">
        <f>D17</f>
        <v>0.18477982772834523</v>
      </c>
      <c r="J39" s="256"/>
      <c r="K39" s="256"/>
      <c r="L39" s="256"/>
      <c r="M39" s="256"/>
      <c r="N39" s="256"/>
      <c r="O39" s="256"/>
    </row>
    <row r="40" spans="1:15" x14ac:dyDescent="0.15">
      <c r="A40" s="262" t="s">
        <v>21</v>
      </c>
      <c r="B40" s="1443" t="s">
        <v>171</v>
      </c>
      <c r="C40" s="1442"/>
      <c r="D40" s="1442"/>
      <c r="E40" s="1442"/>
      <c r="F40" s="261">
        <v>10</v>
      </c>
      <c r="G40" s="260">
        <f>500</f>
        <v>500</v>
      </c>
      <c r="H40" s="259">
        <f>D18</f>
        <v>0.29959768311125062</v>
      </c>
      <c r="I40" s="259">
        <f>D18</f>
        <v>0.29959768311125062</v>
      </c>
      <c r="J40" s="256"/>
      <c r="K40" s="256"/>
      <c r="L40" s="256"/>
      <c r="M40" s="256"/>
      <c r="N40" s="256"/>
      <c r="O40" s="256"/>
    </row>
    <row r="41" spans="1:15" x14ac:dyDescent="0.15">
      <c r="A41" s="258"/>
      <c r="B41" s="257"/>
      <c r="C41" s="257"/>
      <c r="D41" s="257"/>
      <c r="E41" s="257"/>
      <c r="F41" s="256"/>
      <c r="G41" s="256"/>
      <c r="H41" s="256"/>
      <c r="I41" s="256"/>
    </row>
  </sheetData>
  <mergeCells count="15">
    <mergeCell ref="B4:C4"/>
    <mergeCell ref="D4:E4"/>
    <mergeCell ref="K6:L6"/>
    <mergeCell ref="M6:N6"/>
    <mergeCell ref="K13:L13"/>
    <mergeCell ref="M13:N13"/>
    <mergeCell ref="G17:H17"/>
    <mergeCell ref="F27:G27"/>
    <mergeCell ref="H27:I27"/>
    <mergeCell ref="F26:I26"/>
    <mergeCell ref="B40:E40"/>
    <mergeCell ref="F38:I38"/>
    <mergeCell ref="B26:E26"/>
    <mergeCell ref="B27:C27"/>
    <mergeCell ref="D27:E27"/>
  </mergeCells>
  <phoneticPr fontId="4"/>
  <pageMargins left="0.23622047244094491" right="0.23622047244094491" top="0.74803149606299213" bottom="0.74803149606299213" header="0.31496062992125984" footer="0.31496062992125984"/>
  <pageSetup paperSize="9" scale="83" orientation="landscape" r:id="rId1"/>
  <headerFooter>
    <oddHeader>&amp;L&amp;D&amp;C&amp;F&amp;RPage &amp;P</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97783-69D3-417A-98D4-548FA1DE0839}">
  <dimension ref="A1:Z133"/>
  <sheetViews>
    <sheetView zoomScale="160" zoomScaleNormal="160" workbookViewId="0">
      <selection activeCell="G6" sqref="G6"/>
    </sheetView>
  </sheetViews>
  <sheetFormatPr defaultColWidth="9.33203125" defaultRowHeight="12.75" x14ac:dyDescent="0.2"/>
  <cols>
    <col min="1" max="2" width="9.33203125" style="1"/>
    <col min="3" max="7" width="10.1640625" style="1" customWidth="1"/>
    <col min="8" max="8" width="9.33203125" style="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1392</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1065</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 customFormat="1" x14ac:dyDescent="0.2">
      <c r="A6" s="113"/>
      <c r="B6" s="99"/>
      <c r="C6" s="99"/>
      <c r="D6" s="99"/>
      <c r="E6" s="99"/>
      <c r="F6" s="99"/>
      <c r="G6" s="99"/>
      <c r="H6" s="99"/>
      <c r="I6" s="113"/>
      <c r="J6" s="113"/>
      <c r="K6" s="113"/>
      <c r="L6" s="113"/>
      <c r="M6" s="113"/>
      <c r="N6" s="113"/>
      <c r="O6" s="113"/>
      <c r="R6" s="113"/>
      <c r="S6" s="113"/>
      <c r="T6" s="146"/>
      <c r="U6" s="146"/>
    </row>
    <row r="7" spans="1:25" s="2" customFormat="1" x14ac:dyDescent="0.2">
      <c r="A7" s="113"/>
      <c r="B7" s="99"/>
      <c r="C7" s="99"/>
      <c r="D7" s="99"/>
      <c r="E7" s="99"/>
      <c r="F7" s="99"/>
      <c r="G7" s="99"/>
      <c r="H7" s="99"/>
      <c r="I7" s="113"/>
      <c r="J7" s="113"/>
      <c r="K7" s="113"/>
      <c r="L7" s="113"/>
      <c r="M7" s="113"/>
      <c r="N7" s="113"/>
      <c r="O7" s="113"/>
      <c r="R7" s="113"/>
      <c r="S7" s="113"/>
      <c r="T7" s="146"/>
      <c r="U7" s="146"/>
    </row>
    <row r="8" spans="1:25" s="2" customFormat="1" x14ac:dyDescent="0.2">
      <c r="A8" s="99"/>
      <c r="B8" s="99"/>
      <c r="C8" s="99"/>
      <c r="D8" s="99"/>
      <c r="E8" s="99"/>
      <c r="F8" s="99"/>
      <c r="G8" s="99"/>
      <c r="H8" s="99"/>
      <c r="I8" s="113"/>
      <c r="J8" s="113"/>
      <c r="K8" s="113"/>
      <c r="L8" s="113"/>
      <c r="M8" s="113"/>
      <c r="N8" s="113"/>
      <c r="O8" s="113"/>
      <c r="R8" s="113"/>
      <c r="S8" s="113"/>
      <c r="T8" s="146"/>
      <c r="U8" s="146"/>
    </row>
    <row r="9" spans="1:25" s="2" customFormat="1" x14ac:dyDescent="0.2">
      <c r="A9" s="113"/>
      <c r="B9" s="99"/>
      <c r="C9" s="99"/>
      <c r="D9" s="99"/>
      <c r="E9" s="99"/>
      <c r="F9" s="99"/>
      <c r="G9" s="99"/>
      <c r="H9" s="99"/>
      <c r="I9" s="113"/>
      <c r="J9" s="113"/>
      <c r="K9" s="113"/>
      <c r="L9" s="113"/>
      <c r="M9" s="113"/>
      <c r="N9" s="113"/>
      <c r="O9" s="113"/>
      <c r="R9" s="113"/>
      <c r="S9" s="113"/>
      <c r="T9" s="146"/>
      <c r="U9" s="146"/>
    </row>
    <row r="10" spans="1:25" x14ac:dyDescent="0.2">
      <c r="A10" s="102"/>
      <c r="B10" s="97"/>
      <c r="C10" s="97"/>
      <c r="D10" s="97"/>
      <c r="E10" s="97"/>
      <c r="F10" s="97"/>
      <c r="G10" s="97"/>
      <c r="H10" s="97"/>
      <c r="I10" s="113"/>
      <c r="J10" s="113"/>
      <c r="K10" s="113"/>
      <c r="L10" s="113"/>
      <c r="M10" s="113"/>
      <c r="N10" s="113"/>
      <c r="O10" s="113"/>
      <c r="R10" s="113"/>
      <c r="S10" s="113"/>
      <c r="T10" s="146"/>
      <c r="U10" s="146"/>
    </row>
    <row r="11" spans="1:25" x14ac:dyDescent="0.2">
      <c r="A11" s="97"/>
      <c r="B11" s="97"/>
      <c r="C11" s="97"/>
      <c r="D11" s="97"/>
      <c r="E11" s="97"/>
      <c r="F11" s="97"/>
      <c r="G11" s="97"/>
      <c r="H11" s="97"/>
      <c r="I11" s="113"/>
      <c r="J11" s="113"/>
      <c r="K11" s="113"/>
      <c r="L11" s="113"/>
      <c r="M11" s="113"/>
      <c r="N11" s="113"/>
      <c r="O11" s="113"/>
      <c r="R11" s="113"/>
      <c r="S11" s="113"/>
      <c r="T11" s="146"/>
      <c r="U11" s="146"/>
    </row>
    <row r="12" spans="1:25" x14ac:dyDescent="0.2">
      <c r="A12" s="97"/>
      <c r="B12" s="97"/>
      <c r="C12" s="97"/>
      <c r="D12" s="97"/>
      <c r="E12" s="97"/>
      <c r="F12" s="97"/>
      <c r="G12" s="97"/>
      <c r="H12" s="97"/>
      <c r="I12" s="113"/>
      <c r="J12" s="113"/>
      <c r="K12" s="113"/>
      <c r="L12" s="113"/>
      <c r="M12" s="113"/>
      <c r="N12" s="113"/>
      <c r="O12" s="113"/>
      <c r="R12" s="113"/>
      <c r="S12" s="113"/>
      <c r="T12" s="146"/>
      <c r="U12" s="146"/>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
        <v>197</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1057</v>
      </c>
      <c r="N16" s="104" t="s">
        <v>1058</v>
      </c>
      <c r="O16" s="104" t="s">
        <v>100</v>
      </c>
      <c r="P16" s="6" t="s">
        <v>105</v>
      </c>
      <c r="Q16" s="6" t="s">
        <v>106</v>
      </c>
      <c r="R16" s="104" t="s">
        <v>1051</v>
      </c>
      <c r="S16" s="104" t="s">
        <v>1052</v>
      </c>
      <c r="T16" s="147" t="s">
        <v>1053</v>
      </c>
      <c r="U16" s="147" t="s">
        <v>1054</v>
      </c>
      <c r="V16" s="5" t="s">
        <v>101</v>
      </c>
      <c r="W16" s="5" t="s">
        <v>102</v>
      </c>
      <c r="X16" s="112" t="s">
        <v>1055</v>
      </c>
      <c r="Y16" s="112" t="s">
        <v>1056</v>
      </c>
    </row>
    <row r="17" spans="1:26" x14ac:dyDescent="0.2">
      <c r="A17" s="213" t="str">
        <f t="shared" ref="A17:C20" si="0">A26</f>
        <v>VNIIM</v>
      </c>
      <c r="B17" s="213" t="str">
        <f t="shared" si="0"/>
        <v>D248475</v>
      </c>
      <c r="C17" s="213">
        <f t="shared" si="0"/>
        <v>100</v>
      </c>
      <c r="D17" s="1091">
        <f>F26</f>
        <v>7.0999999999999994E-2</v>
      </c>
      <c r="E17" s="1091">
        <f t="shared" ref="E17:G20" si="1">G26</f>
        <v>100.1</v>
      </c>
      <c r="F17" s="1091">
        <f t="shared" si="1"/>
        <v>0.1</v>
      </c>
      <c r="G17" s="1091">
        <f>I26</f>
        <v>0.1</v>
      </c>
      <c r="H17" s="219">
        <f>K26</f>
        <v>0.25</v>
      </c>
      <c r="I17" s="155">
        <f t="shared" ref="I17:I20" si="2">IF(ABS(G17)&gt;ABS(H17), 1, 0)</f>
        <v>0</v>
      </c>
      <c r="J17" s="155">
        <f t="shared" ref="J17:J20" si="3">I17*ABS(C17-E17)</f>
        <v>0</v>
      </c>
      <c r="K17" s="155">
        <f t="shared" ref="K17:K20" si="4">SQRT(SUMSQ(F17,J17))*2</f>
        <v>0.2</v>
      </c>
      <c r="L17" s="155">
        <f t="shared" ref="L17:L20" si="5">IF(C17&lt;$K$2, C17, $K$1)</f>
        <v>10</v>
      </c>
      <c r="M17" s="156">
        <f t="shared" ref="M17:M20" si="6">IF(AND(C17&lt;$K$1,C17&gt; $K$2), K17/L17*100, K17/C17*100)</f>
        <v>0.2</v>
      </c>
      <c r="N17" s="157">
        <f t="shared" ref="N17:N20" si="7">M17*L17/100</f>
        <v>0.02</v>
      </c>
      <c r="O17" s="155">
        <f t="shared" ref="O17:O20" si="8">N17/(M17*L17/100)*100</f>
        <v>100</v>
      </c>
      <c r="P17" s="250">
        <v>1</v>
      </c>
      <c r="Q17" s="250">
        <v>1000</v>
      </c>
      <c r="R17" s="148">
        <f>IF( IF(P17&lt;L17, M17*L17/P17, M17)&gt;100, "ERROR",  IF(P17&lt;L17, M17*L17/P17, M17))</f>
        <v>2</v>
      </c>
      <c r="S17" s="148">
        <f>IF(IF(Q17&lt;L17, M17*L17/Q17, M17)&gt;100, "ERROR", IF(Q17&lt;L17, M17*L17/Q17, M17))</f>
        <v>0.2</v>
      </c>
      <c r="T17" s="148">
        <f>R17*P17*0.01</f>
        <v>0.02</v>
      </c>
      <c r="U17" s="148">
        <f>S17*Q17*0.01</f>
        <v>2</v>
      </c>
      <c r="V17" s="7">
        <f>P17*1000</f>
        <v>1000</v>
      </c>
      <c r="W17" s="7">
        <f>Q17*1000</f>
        <v>1000000</v>
      </c>
      <c r="X17" s="1345">
        <f>T17*1000</f>
        <v>20</v>
      </c>
      <c r="Y17" s="1345">
        <f>U17*1000</f>
        <v>2000</v>
      </c>
    </row>
    <row r="18" spans="1:26" x14ac:dyDescent="0.2">
      <c r="A18" s="213" t="str">
        <f t="shared" si="0"/>
        <v>SMU</v>
      </c>
      <c r="B18" s="213" t="str">
        <f t="shared" si="0"/>
        <v>D248464</v>
      </c>
      <c r="C18" s="213">
        <f t="shared" si="0"/>
        <v>100.15</v>
      </c>
      <c r="D18" s="1091">
        <f t="shared" ref="D18:D20" si="9">F27</f>
        <v>7.0999999999999994E-2</v>
      </c>
      <c r="E18" s="1091">
        <f t="shared" si="1"/>
        <v>100.31</v>
      </c>
      <c r="F18" s="1091">
        <f t="shared" si="1"/>
        <v>0.63</v>
      </c>
      <c r="G18" s="1091">
        <f t="shared" si="1"/>
        <v>0.16</v>
      </c>
      <c r="H18" s="219">
        <f t="shared" ref="H18:H20" si="10">K27</f>
        <v>1.3</v>
      </c>
      <c r="I18" s="155">
        <f t="shared" si="2"/>
        <v>0</v>
      </c>
      <c r="J18" s="155">
        <f t="shared" si="3"/>
        <v>0</v>
      </c>
      <c r="K18" s="155">
        <f t="shared" si="4"/>
        <v>1.26</v>
      </c>
      <c r="L18" s="155">
        <f t="shared" si="5"/>
        <v>10</v>
      </c>
      <c r="M18" s="156">
        <f t="shared" si="6"/>
        <v>1.2581128307538691</v>
      </c>
      <c r="N18" s="157">
        <f t="shared" si="7"/>
        <v>0.12581128307538691</v>
      </c>
      <c r="O18" s="155">
        <f t="shared" si="8"/>
        <v>100</v>
      </c>
      <c r="P18" s="250">
        <v>1</v>
      </c>
      <c r="Q18" s="250">
        <v>1000</v>
      </c>
      <c r="R18" s="148">
        <f t="shared" ref="R18:R20" si="11">IF( IF(P18&lt;L18, M18*L18/P18, M18)&gt;100, "ERROR",  IF(P18&lt;L18, M18*L18/P18, M18))</f>
        <v>12.581128307538691</v>
      </c>
      <c r="S18" s="148">
        <f t="shared" ref="S18:S20" si="12">IF(IF(Q18&lt;L18, M18*L18/Q18, M18)&gt;100, "ERROR", IF(Q18&lt;L18, M18*L18/Q18, M18))</f>
        <v>1.2581128307538691</v>
      </c>
      <c r="T18" s="148">
        <f t="shared" ref="T18:U20" si="13">R18*P18*0.01</f>
        <v>0.12581128307538691</v>
      </c>
      <c r="U18" s="148">
        <f t="shared" si="13"/>
        <v>12.581128307538691</v>
      </c>
      <c r="V18" s="7">
        <f t="shared" ref="V18:W20" si="14">P18*1000</f>
        <v>1000</v>
      </c>
      <c r="W18" s="7">
        <f t="shared" si="14"/>
        <v>1000000</v>
      </c>
      <c r="X18" s="1345">
        <f t="shared" ref="X18:Y20" si="15">T18*1000</f>
        <v>125.81128307538691</v>
      </c>
      <c r="Y18" s="1345">
        <f t="shared" si="15"/>
        <v>12581.128307538691</v>
      </c>
    </row>
    <row r="19" spans="1:26" x14ac:dyDescent="0.2">
      <c r="A19" s="213" t="str">
        <f t="shared" si="0"/>
        <v>Ukrmetrtestst andard</v>
      </c>
      <c r="B19" s="213" t="str">
        <f t="shared" si="0"/>
        <v>S198746</v>
      </c>
      <c r="C19" s="213">
        <f t="shared" si="0"/>
        <v>100.48</v>
      </c>
      <c r="D19" s="1091">
        <f t="shared" si="9"/>
        <v>7.0999999999999994E-2</v>
      </c>
      <c r="E19" s="1091">
        <f t="shared" si="1"/>
        <v>100.14</v>
      </c>
      <c r="F19" s="1091">
        <f t="shared" si="1"/>
        <v>0.5</v>
      </c>
      <c r="G19" s="1091">
        <f t="shared" si="1"/>
        <v>-0.34</v>
      </c>
      <c r="H19" s="219">
        <f t="shared" si="10"/>
        <v>1</v>
      </c>
      <c r="I19" s="155">
        <f t="shared" si="2"/>
        <v>0</v>
      </c>
      <c r="J19" s="155">
        <f t="shared" si="3"/>
        <v>0</v>
      </c>
      <c r="K19" s="155">
        <f t="shared" si="4"/>
        <v>1</v>
      </c>
      <c r="L19" s="155">
        <f t="shared" si="5"/>
        <v>10</v>
      </c>
      <c r="M19" s="156">
        <f t="shared" si="6"/>
        <v>0.99522292993630568</v>
      </c>
      <c r="N19" s="157">
        <f t="shared" si="7"/>
        <v>9.9522292993630565E-2</v>
      </c>
      <c r="O19" s="155">
        <f t="shared" si="8"/>
        <v>100</v>
      </c>
      <c r="P19" s="250">
        <v>1</v>
      </c>
      <c r="Q19" s="250">
        <v>1000</v>
      </c>
      <c r="R19" s="148">
        <f t="shared" si="11"/>
        <v>9.9522292993630561</v>
      </c>
      <c r="S19" s="148">
        <f t="shared" si="12"/>
        <v>0.99522292993630568</v>
      </c>
      <c r="T19" s="148">
        <f t="shared" si="13"/>
        <v>9.9522292993630565E-2</v>
      </c>
      <c r="U19" s="148">
        <f t="shared" si="13"/>
        <v>9.9522292993630579</v>
      </c>
      <c r="V19" s="7">
        <f t="shared" si="14"/>
        <v>1000</v>
      </c>
      <c r="W19" s="7">
        <f t="shared" si="14"/>
        <v>1000000</v>
      </c>
      <c r="X19" s="1345">
        <f t="shared" si="15"/>
        <v>99.522292993630572</v>
      </c>
      <c r="Y19" s="1345">
        <f t="shared" si="15"/>
        <v>9952.2292993630581</v>
      </c>
    </row>
    <row r="20" spans="1:26" x14ac:dyDescent="0.2">
      <c r="A20" s="213" t="str">
        <f t="shared" si="0"/>
        <v>BelGIM</v>
      </c>
      <c r="B20" s="213" t="str">
        <f t="shared" si="0"/>
        <v>S198760</v>
      </c>
      <c r="C20" s="213">
        <f t="shared" si="0"/>
        <v>100.74</v>
      </c>
      <c r="D20" s="1091">
        <f t="shared" si="9"/>
        <v>7.0999999999999994E-2</v>
      </c>
      <c r="E20" s="1091">
        <f t="shared" si="1"/>
        <v>100.14</v>
      </c>
      <c r="F20" s="1091">
        <f t="shared" si="1"/>
        <v>0.56000000000000005</v>
      </c>
      <c r="G20" s="1091">
        <f t="shared" si="1"/>
        <v>-0.6</v>
      </c>
      <c r="H20" s="219">
        <f t="shared" si="10"/>
        <v>1.1000000000000001</v>
      </c>
      <c r="I20" s="155">
        <f t="shared" si="2"/>
        <v>0</v>
      </c>
      <c r="J20" s="155">
        <f t="shared" si="3"/>
        <v>0</v>
      </c>
      <c r="K20" s="155">
        <f t="shared" si="4"/>
        <v>1.1200000000000001</v>
      </c>
      <c r="L20" s="155">
        <f t="shared" si="5"/>
        <v>10</v>
      </c>
      <c r="M20" s="156">
        <f t="shared" si="6"/>
        <v>1.1117728806829463</v>
      </c>
      <c r="N20" s="157">
        <f t="shared" si="7"/>
        <v>0.11117728806829463</v>
      </c>
      <c r="O20" s="155">
        <f t="shared" si="8"/>
        <v>100</v>
      </c>
      <c r="P20" s="250">
        <v>1</v>
      </c>
      <c r="Q20" s="250">
        <v>1000</v>
      </c>
      <c r="R20" s="148">
        <f t="shared" si="11"/>
        <v>11.117728806829463</v>
      </c>
      <c r="S20" s="148">
        <f t="shared" si="12"/>
        <v>1.1117728806829463</v>
      </c>
      <c r="T20" s="148">
        <f t="shared" si="13"/>
        <v>0.11117728806829463</v>
      </c>
      <c r="U20" s="148">
        <f t="shared" si="13"/>
        <v>11.117728806829463</v>
      </c>
      <c r="V20" s="7">
        <f t="shared" si="14"/>
        <v>1000</v>
      </c>
      <c r="W20" s="7">
        <f t="shared" si="14"/>
        <v>1000000</v>
      </c>
      <c r="X20" s="1345">
        <f t="shared" si="15"/>
        <v>111.17728806829463</v>
      </c>
      <c r="Y20" s="1345">
        <f t="shared" si="15"/>
        <v>11117.728806829464</v>
      </c>
    </row>
    <row r="21" spans="1:26" ht="14.25" x14ac:dyDescent="0.2">
      <c r="H21" s="9"/>
      <c r="U21" s="152"/>
      <c r="V21" s="21"/>
      <c r="W21" s="21"/>
      <c r="X21" s="21"/>
      <c r="Y21" s="21"/>
      <c r="Z21" s="21"/>
    </row>
    <row r="22" spans="1:26" ht="14.25" x14ac:dyDescent="0.2">
      <c r="H22" s="9"/>
      <c r="U22" s="152"/>
      <c r="V22" s="21"/>
      <c r="W22" s="21"/>
      <c r="X22" s="21"/>
      <c r="Y22" s="21"/>
      <c r="Z22" s="21"/>
    </row>
    <row r="23" spans="1:26" ht="14.25" x14ac:dyDescent="0.2">
      <c r="H23" s="9"/>
      <c r="V23" s="21"/>
      <c r="W23" s="21"/>
      <c r="X23" s="21"/>
      <c r="Y23" s="21"/>
      <c r="Z23" s="21"/>
    </row>
    <row r="24" spans="1:26" s="117" customFormat="1" x14ac:dyDescent="0.2">
      <c r="A24" s="1237" t="s">
        <v>1393</v>
      </c>
    </row>
    <row r="25" spans="1:26" s="117" customFormat="1" ht="25.5" x14ac:dyDescent="0.2">
      <c r="A25" s="119" t="s">
        <v>0</v>
      </c>
      <c r="B25" s="119" t="s">
        <v>1</v>
      </c>
      <c r="C25" s="1238" t="s">
        <v>1394</v>
      </c>
      <c r="D25" s="1239" t="s">
        <v>1381</v>
      </c>
      <c r="E25" s="1239" t="s">
        <v>1382</v>
      </c>
      <c r="F25" s="1240" t="s">
        <v>1383</v>
      </c>
      <c r="G25" s="1240" t="s">
        <v>1384</v>
      </c>
      <c r="H25" s="1241" t="s">
        <v>1385</v>
      </c>
      <c r="I25" s="1240" t="s">
        <v>1386</v>
      </c>
      <c r="J25" s="1238" t="s">
        <v>131</v>
      </c>
      <c r="K25" s="1240" t="s">
        <v>1387</v>
      </c>
      <c r="L25" s="1239" t="s">
        <v>1388</v>
      </c>
      <c r="M25" s="1240" t="s">
        <v>1389</v>
      </c>
      <c r="N25" s="559"/>
      <c r="O25" s="559"/>
      <c r="P25" s="1099"/>
      <c r="Q25" s="1099"/>
      <c r="R25" s="1099"/>
      <c r="S25" s="1101"/>
      <c r="T25" s="559"/>
    </row>
    <row r="26" spans="1:26" s="117" customFormat="1" x14ac:dyDescent="0.2">
      <c r="A26" s="119" t="s">
        <v>2</v>
      </c>
      <c r="B26" s="119" t="s">
        <v>1395</v>
      </c>
      <c r="C26" s="1242">
        <v>100</v>
      </c>
      <c r="D26" s="1243">
        <v>4.7E-2</v>
      </c>
      <c r="E26" s="1243">
        <v>5.2999999999999999E-2</v>
      </c>
      <c r="F26" s="1244">
        <v>7.0999999999999994E-2</v>
      </c>
      <c r="G26" s="1242">
        <v>100.1</v>
      </c>
      <c r="H26" s="1245">
        <v>0.1</v>
      </c>
      <c r="I26" s="1242">
        <v>0.1</v>
      </c>
      <c r="J26" s="1246">
        <v>2</v>
      </c>
      <c r="K26" s="1247">
        <v>0.25</v>
      </c>
      <c r="L26" s="1248">
        <v>0.1</v>
      </c>
      <c r="M26" s="1242">
        <v>0.25</v>
      </c>
      <c r="N26" s="226"/>
      <c r="O26" s="226"/>
      <c r="P26" s="1249"/>
      <c r="Q26" s="1249"/>
      <c r="R26" s="1250"/>
      <c r="S26" s="1235"/>
      <c r="T26" s="226"/>
    </row>
    <row r="27" spans="1:26" s="117" customFormat="1" x14ac:dyDescent="0.2">
      <c r="A27" s="119" t="s">
        <v>464</v>
      </c>
      <c r="B27" s="119" t="s">
        <v>1396</v>
      </c>
      <c r="C27" s="1242">
        <v>100.15</v>
      </c>
      <c r="D27" s="1243">
        <v>4.7E-2</v>
      </c>
      <c r="E27" s="1243">
        <v>5.2999999999999999E-2</v>
      </c>
      <c r="F27" s="1244">
        <v>7.0999999999999994E-2</v>
      </c>
      <c r="G27" s="1242">
        <v>100.31</v>
      </c>
      <c r="H27" s="1245">
        <v>0.63</v>
      </c>
      <c r="I27" s="1242">
        <v>0.16</v>
      </c>
      <c r="J27" s="1246">
        <v>2</v>
      </c>
      <c r="K27" s="1251">
        <v>1.3</v>
      </c>
      <c r="L27" s="1248">
        <v>0.16</v>
      </c>
      <c r="M27" s="1251">
        <v>1.3</v>
      </c>
      <c r="N27" s="226"/>
      <c r="O27" s="226"/>
      <c r="P27" s="1249"/>
      <c r="Q27" s="1249"/>
      <c r="R27" s="1250"/>
      <c r="S27" s="1235"/>
      <c r="T27" s="226"/>
    </row>
    <row r="28" spans="1:26" s="117" customFormat="1" ht="38.25" x14ac:dyDescent="0.2">
      <c r="A28" s="119" t="s">
        <v>1391</v>
      </c>
      <c r="B28" s="1252" t="s">
        <v>1397</v>
      </c>
      <c r="C28" s="1253">
        <v>100.48</v>
      </c>
      <c r="D28" s="1254">
        <v>4.7E-2</v>
      </c>
      <c r="E28" s="1254">
        <v>5.2999999999999999E-2</v>
      </c>
      <c r="F28" s="1255">
        <v>7.0999999999999994E-2</v>
      </c>
      <c r="G28" s="1253">
        <v>100.14</v>
      </c>
      <c r="H28" s="1256">
        <v>0.5</v>
      </c>
      <c r="I28" s="1253">
        <v>-0.34</v>
      </c>
      <c r="J28" s="1257">
        <v>2</v>
      </c>
      <c r="K28" s="1258">
        <v>1</v>
      </c>
      <c r="L28" s="1259">
        <v>-0.34</v>
      </c>
      <c r="M28" s="1258">
        <v>1</v>
      </c>
      <c r="N28" s="226"/>
      <c r="O28" s="226"/>
      <c r="P28" s="1249"/>
      <c r="Q28" s="1249"/>
      <c r="R28" s="1250"/>
      <c r="S28" s="1235"/>
      <c r="T28" s="226"/>
    </row>
    <row r="29" spans="1:26" s="117" customFormat="1" x14ac:dyDescent="0.2">
      <c r="A29" s="119" t="s">
        <v>1390</v>
      </c>
      <c r="B29" s="119" t="s">
        <v>1398</v>
      </c>
      <c r="C29" s="1242">
        <v>100.74</v>
      </c>
      <c r="D29" s="1243">
        <v>4.7E-2</v>
      </c>
      <c r="E29" s="1243">
        <v>5.2999999999999999E-2</v>
      </c>
      <c r="F29" s="1244">
        <v>7.0999999999999994E-2</v>
      </c>
      <c r="G29" s="1242">
        <v>100.14</v>
      </c>
      <c r="H29" s="1245">
        <v>0.56000000000000005</v>
      </c>
      <c r="I29" s="1242">
        <v>-0.6</v>
      </c>
      <c r="J29" s="1246">
        <v>2</v>
      </c>
      <c r="K29" s="1251">
        <v>1.1000000000000001</v>
      </c>
      <c r="L29" s="1248">
        <v>-0.6</v>
      </c>
      <c r="M29" s="1251">
        <v>1.1000000000000001</v>
      </c>
      <c r="N29" s="226"/>
      <c r="O29" s="226"/>
      <c r="P29" s="1249"/>
      <c r="Q29" s="1249"/>
      <c r="R29" s="1250"/>
      <c r="S29" s="1235"/>
      <c r="T29" s="226"/>
    </row>
    <row r="30" spans="1:26" ht="14.25" x14ac:dyDescent="0.2">
      <c r="H30" s="9"/>
      <c r="U30" s="152"/>
      <c r="V30" s="21"/>
      <c r="W30" s="21"/>
      <c r="X30" s="21"/>
      <c r="Y30" s="21"/>
      <c r="Z30" s="21"/>
    </row>
    <row r="31" spans="1:26" ht="14.25" x14ac:dyDescent="0.2">
      <c r="H31" s="9"/>
      <c r="U31" s="152"/>
      <c r="V31" s="21"/>
      <c r="W31" s="21"/>
      <c r="X31" s="21"/>
      <c r="Y31" s="21"/>
      <c r="Z31" s="21"/>
    </row>
    <row r="32" spans="1:26" ht="14.25" x14ac:dyDescent="0.2">
      <c r="H32" s="9"/>
      <c r="U32" s="152"/>
      <c r="V32" s="21"/>
      <c r="W32" s="21"/>
      <c r="X32" s="21"/>
      <c r="Y32" s="21"/>
      <c r="Z32" s="21"/>
    </row>
    <row r="33" spans="8:26" ht="14.25" x14ac:dyDescent="0.2">
      <c r="H33" s="9"/>
      <c r="U33" s="152"/>
      <c r="V33" s="21"/>
      <c r="W33" s="21"/>
      <c r="X33" s="21"/>
      <c r="Y33" s="21"/>
      <c r="Z33" s="21"/>
    </row>
    <row r="34" spans="8:26" ht="14.25" x14ac:dyDescent="0.2">
      <c r="H34" s="9"/>
      <c r="U34" s="152"/>
      <c r="V34" s="21"/>
      <c r="W34" s="21"/>
      <c r="X34" s="21"/>
      <c r="Y34" s="21"/>
      <c r="Z34" s="21"/>
    </row>
    <row r="35" spans="8:26" ht="14.25" x14ac:dyDescent="0.2">
      <c r="H35" s="9"/>
      <c r="X35" s="21"/>
      <c r="Y35" s="21"/>
      <c r="Z35" s="21"/>
    </row>
    <row r="36" spans="8:26" ht="14.25" x14ac:dyDescent="0.2">
      <c r="H36" s="9"/>
      <c r="X36" s="21"/>
      <c r="Y36" s="21"/>
      <c r="Z36" s="21"/>
    </row>
    <row r="37" spans="8:26" ht="14.25" x14ac:dyDescent="0.2">
      <c r="H37" s="9"/>
      <c r="X37" s="21"/>
      <c r="Y37" s="21"/>
      <c r="Z37" s="21"/>
    </row>
    <row r="38" spans="8:26" ht="14.25" x14ac:dyDescent="0.2">
      <c r="H38" s="9"/>
      <c r="X38" s="21"/>
      <c r="Y38" s="21"/>
      <c r="Z38" s="21"/>
    </row>
    <row r="39" spans="8:26" ht="14.25" x14ac:dyDescent="0.2">
      <c r="H39" s="9"/>
      <c r="X39" s="21"/>
      <c r="Y39" s="21"/>
      <c r="Z39" s="21"/>
    </row>
    <row r="40" spans="8:26" ht="14.25" x14ac:dyDescent="0.2">
      <c r="H40" s="9"/>
      <c r="X40" s="21"/>
      <c r="Y40" s="21"/>
      <c r="Z40" s="21"/>
    </row>
    <row r="41" spans="8:26" ht="14.25" x14ac:dyDescent="0.2">
      <c r="H41" s="9"/>
      <c r="X41" s="21"/>
      <c r="Y41" s="21"/>
      <c r="Z41" s="21"/>
    </row>
    <row r="42" spans="8:26" ht="14.25" x14ac:dyDescent="0.2">
      <c r="H42" s="9"/>
      <c r="X42" s="21"/>
      <c r="Y42" s="21"/>
      <c r="Z42" s="21"/>
    </row>
    <row r="43" spans="8:26" ht="14.25" x14ac:dyDescent="0.2">
      <c r="H43" s="9"/>
      <c r="X43" s="21"/>
      <c r="Y43" s="21"/>
      <c r="Z43" s="21"/>
    </row>
    <row r="44" spans="8:26" ht="14.25" x14ac:dyDescent="0.2">
      <c r="H44" s="9"/>
      <c r="X44" s="21"/>
      <c r="Y44" s="21"/>
      <c r="Z44" s="21"/>
    </row>
    <row r="45" spans="8:26" ht="14.25" x14ac:dyDescent="0.2">
      <c r="H45" s="9"/>
      <c r="X45" s="21"/>
      <c r="Y45" s="21"/>
      <c r="Z45" s="21"/>
    </row>
    <row r="46" spans="8:26" ht="14.25" x14ac:dyDescent="0.2">
      <c r="H46" s="9"/>
      <c r="X46" s="21"/>
      <c r="Y46" s="21"/>
      <c r="Z46" s="21"/>
    </row>
    <row r="47" spans="8:26" ht="14.25" x14ac:dyDescent="0.2">
      <c r="H47" s="9"/>
      <c r="X47" s="21"/>
      <c r="Y47" s="21"/>
      <c r="Z47" s="21"/>
    </row>
    <row r="48" spans="8:26" ht="14.25" x14ac:dyDescent="0.2">
      <c r="H48" s="9"/>
      <c r="X48" s="21"/>
      <c r="Y48" s="21"/>
      <c r="Z48" s="21"/>
    </row>
    <row r="49" spans="8:26" ht="14.25" x14ac:dyDescent="0.2">
      <c r="H49" s="9"/>
      <c r="X49" s="21"/>
      <c r="Y49" s="21"/>
      <c r="Z49" s="21"/>
    </row>
    <row r="50" spans="8:26" ht="14.25" x14ac:dyDescent="0.2">
      <c r="H50" s="9"/>
      <c r="U50" s="152"/>
      <c r="V50" s="21"/>
      <c r="W50" s="21"/>
      <c r="X50" s="21"/>
      <c r="Y50" s="21"/>
      <c r="Z50" s="21"/>
    </row>
    <row r="51" spans="8:26" ht="14.25" x14ac:dyDescent="0.2">
      <c r="H51" s="9"/>
      <c r="U51" s="152"/>
      <c r="V51" s="21"/>
      <c r="W51" s="21"/>
      <c r="X51" s="21"/>
      <c r="Y51" s="21"/>
      <c r="Z51" s="21"/>
    </row>
    <row r="52" spans="8:26" ht="14.25" x14ac:dyDescent="0.2">
      <c r="H52" s="9"/>
      <c r="U52" s="152"/>
      <c r="V52" s="21"/>
      <c r="W52" s="21"/>
      <c r="X52" s="21"/>
      <c r="Y52" s="21"/>
      <c r="Z52" s="21"/>
    </row>
    <row r="53" spans="8:26" ht="14.25" x14ac:dyDescent="0.2">
      <c r="H53" s="9"/>
      <c r="U53" s="152"/>
      <c r="V53" s="21"/>
      <c r="W53" s="21"/>
      <c r="X53" s="21"/>
      <c r="Y53" s="21"/>
      <c r="Z53" s="21"/>
    </row>
    <row r="54" spans="8:26" ht="14.25" x14ac:dyDescent="0.2">
      <c r="H54" s="9"/>
      <c r="U54" s="152"/>
      <c r="V54" s="21"/>
      <c r="W54" s="21"/>
      <c r="X54" s="21"/>
      <c r="Y54" s="21"/>
      <c r="Z54" s="21"/>
    </row>
    <row r="55" spans="8:26" ht="14.25" x14ac:dyDescent="0.2">
      <c r="H55" s="9"/>
      <c r="U55" s="152"/>
      <c r="V55" s="21"/>
      <c r="W55" s="21"/>
      <c r="X55" s="21"/>
      <c r="Y55" s="21"/>
      <c r="Z55" s="21"/>
    </row>
    <row r="56" spans="8:26" ht="14.25" x14ac:dyDescent="0.2">
      <c r="H56" s="9"/>
      <c r="U56" s="152"/>
      <c r="V56" s="21"/>
      <c r="W56" s="21"/>
      <c r="X56" s="21"/>
      <c r="Y56" s="21"/>
      <c r="Z56" s="21"/>
    </row>
    <row r="57" spans="8:26" ht="14.25" x14ac:dyDescent="0.2">
      <c r="H57" s="9"/>
      <c r="U57" s="152"/>
      <c r="V57" s="21"/>
      <c r="W57" s="21"/>
      <c r="X57" s="21"/>
      <c r="Y57" s="21"/>
      <c r="Z57" s="21"/>
    </row>
    <row r="58" spans="8:26" ht="14.25" x14ac:dyDescent="0.2">
      <c r="H58" s="9"/>
      <c r="U58" s="152"/>
      <c r="V58" s="21"/>
      <c r="W58" s="21"/>
      <c r="X58" s="21"/>
      <c r="Y58" s="21"/>
      <c r="Z58" s="21"/>
    </row>
    <row r="59" spans="8:26" ht="14.25" x14ac:dyDescent="0.2">
      <c r="H59" s="9"/>
      <c r="U59" s="152"/>
      <c r="V59" s="21"/>
      <c r="W59" s="21"/>
      <c r="X59" s="21"/>
      <c r="Y59" s="21"/>
      <c r="Z59" s="21"/>
    </row>
    <row r="60" spans="8:26" ht="14.25" x14ac:dyDescent="0.2">
      <c r="H60" s="9"/>
      <c r="U60" s="152"/>
      <c r="V60" s="21"/>
      <c r="W60" s="21"/>
      <c r="X60" s="21"/>
      <c r="Y60" s="21"/>
      <c r="Z60" s="21"/>
    </row>
    <row r="61" spans="8:26" ht="14.25" x14ac:dyDescent="0.2">
      <c r="H61" s="9"/>
      <c r="U61" s="152"/>
      <c r="V61" s="21"/>
      <c r="W61" s="21"/>
      <c r="X61" s="21"/>
      <c r="Y61" s="21"/>
      <c r="Z61" s="21"/>
    </row>
    <row r="62" spans="8:26" ht="14.25" x14ac:dyDescent="0.2">
      <c r="H62" s="9"/>
      <c r="U62" s="152"/>
      <c r="V62" s="21"/>
      <c r="W62" s="21"/>
      <c r="X62" s="21"/>
      <c r="Y62" s="21"/>
      <c r="Z62" s="21"/>
    </row>
    <row r="63" spans="8:26" ht="14.25" x14ac:dyDescent="0.2">
      <c r="H63" s="9"/>
      <c r="U63" s="152"/>
      <c r="V63" s="21"/>
      <c r="W63" s="21"/>
      <c r="X63" s="21"/>
      <c r="Y63" s="21"/>
      <c r="Z63" s="21"/>
    </row>
    <row r="64" spans="8:26" ht="14.25" x14ac:dyDescent="0.2">
      <c r="H64" s="9"/>
      <c r="U64" s="152"/>
      <c r="V64" s="21"/>
      <c r="W64" s="21"/>
      <c r="X64" s="21"/>
      <c r="Y64" s="21"/>
      <c r="Z64" s="21"/>
    </row>
    <row r="65" spans="8:26" ht="14.25" x14ac:dyDescent="0.2">
      <c r="H65" s="9"/>
      <c r="U65" s="152"/>
      <c r="V65" s="21"/>
      <c r="W65" s="21"/>
      <c r="X65" s="21"/>
      <c r="Y65" s="21"/>
      <c r="Z65" s="21"/>
    </row>
    <row r="66" spans="8:26" ht="14.25" x14ac:dyDescent="0.2">
      <c r="H66" s="9"/>
      <c r="U66" s="152"/>
      <c r="V66" s="21"/>
      <c r="W66" s="21"/>
      <c r="X66" s="21"/>
      <c r="Y66" s="21"/>
      <c r="Z66" s="21"/>
    </row>
    <row r="67" spans="8:26" ht="14.25" x14ac:dyDescent="0.2">
      <c r="H67" s="9"/>
      <c r="U67" s="152"/>
      <c r="V67" s="21"/>
      <c r="W67" s="21"/>
      <c r="X67" s="21"/>
      <c r="Y67" s="21"/>
      <c r="Z67" s="21"/>
    </row>
    <row r="68" spans="8:26" ht="14.25" x14ac:dyDescent="0.2">
      <c r="U68" s="152"/>
      <c r="V68" s="21"/>
      <c r="W68" s="21"/>
      <c r="X68" s="21"/>
      <c r="Y68" s="21"/>
      <c r="Z68" s="21"/>
    </row>
    <row r="69" spans="8:26" ht="14.25" x14ac:dyDescent="0.2">
      <c r="H69" s="9"/>
      <c r="U69" s="152"/>
      <c r="V69" s="21"/>
      <c r="W69" s="21"/>
      <c r="X69" s="21"/>
      <c r="Y69" s="21"/>
      <c r="Z69" s="21"/>
    </row>
    <row r="70" spans="8:26" ht="14.25" x14ac:dyDescent="0.2">
      <c r="H70" s="9"/>
      <c r="U70" s="152"/>
      <c r="V70" s="21"/>
      <c r="W70" s="21"/>
      <c r="X70" s="21"/>
      <c r="Y70" s="21"/>
      <c r="Z70" s="21"/>
    </row>
    <row r="71" spans="8:26" ht="14.25" x14ac:dyDescent="0.2">
      <c r="H71" s="9"/>
      <c r="U71" s="152"/>
      <c r="V71" s="21"/>
      <c r="W71" s="21"/>
      <c r="X71" s="21"/>
      <c r="Y71" s="21"/>
      <c r="Z71" s="21"/>
    </row>
    <row r="72" spans="8:26" ht="14.25" x14ac:dyDescent="0.2">
      <c r="H72" s="9"/>
      <c r="U72" s="152"/>
      <c r="V72" s="21"/>
      <c r="W72" s="21"/>
      <c r="X72" s="21"/>
      <c r="Y72" s="21"/>
      <c r="Z72" s="21"/>
    </row>
    <row r="73" spans="8:26" ht="14.25" x14ac:dyDescent="0.2">
      <c r="H73" s="9"/>
      <c r="U73" s="152"/>
      <c r="V73" s="21"/>
      <c r="W73" s="21"/>
      <c r="X73" s="21"/>
      <c r="Y73" s="21"/>
      <c r="Z73" s="21"/>
    </row>
    <row r="74" spans="8:26" ht="14.25" x14ac:dyDescent="0.2">
      <c r="H74" s="9"/>
      <c r="U74" s="152"/>
      <c r="V74" s="21"/>
      <c r="W74" s="21"/>
      <c r="X74" s="21"/>
      <c r="Y74" s="21"/>
      <c r="Z74" s="21"/>
    </row>
    <row r="75" spans="8:26" ht="14.25" x14ac:dyDescent="0.2">
      <c r="U75" s="152"/>
      <c r="V75" s="21"/>
      <c r="W75" s="21"/>
      <c r="X75" s="21"/>
      <c r="Y75" s="21"/>
      <c r="Z75" s="21"/>
    </row>
    <row r="76" spans="8:26" ht="14.25" x14ac:dyDescent="0.2">
      <c r="U76" s="152"/>
      <c r="V76" s="21"/>
      <c r="W76" s="21"/>
      <c r="X76" s="21"/>
      <c r="Y76" s="21"/>
      <c r="Z76" s="21"/>
    </row>
    <row r="77" spans="8:26" ht="14.25" x14ac:dyDescent="0.2">
      <c r="U77" s="152"/>
      <c r="V77" s="21"/>
      <c r="W77" s="21"/>
      <c r="X77" s="21"/>
      <c r="Y77" s="21"/>
      <c r="Z77" s="21"/>
    </row>
    <row r="78" spans="8:26" ht="14.25" x14ac:dyDescent="0.2">
      <c r="U78" s="152"/>
      <c r="V78" s="21"/>
      <c r="W78" s="21"/>
      <c r="X78" s="21"/>
      <c r="Y78" s="21"/>
      <c r="Z78" s="21"/>
    </row>
    <row r="79" spans="8:26" ht="14.25" x14ac:dyDescent="0.2">
      <c r="U79" s="152"/>
      <c r="V79" s="21"/>
      <c r="W79" s="21"/>
      <c r="X79" s="21"/>
      <c r="Y79" s="21"/>
      <c r="Z79" s="21"/>
    </row>
    <row r="80" spans="8:26" ht="14.25" x14ac:dyDescent="0.2">
      <c r="U80" s="152"/>
      <c r="V80" s="21"/>
      <c r="W80" s="21"/>
      <c r="X80" s="21"/>
      <c r="Y80" s="21"/>
      <c r="Z80" s="21"/>
    </row>
    <row r="81" spans="1:26" ht="14.25" x14ac:dyDescent="0.2">
      <c r="A81" s="23"/>
      <c r="B81" s="23"/>
      <c r="C81" s="23"/>
      <c r="D81" s="23"/>
      <c r="T81" s="151"/>
      <c r="U81" s="152"/>
      <c r="V81" s="21"/>
      <c r="W81" s="21"/>
      <c r="X81" s="21"/>
      <c r="Y81" s="21"/>
      <c r="Z81" s="21"/>
    </row>
    <row r="82" spans="1:26" ht="14.25" x14ac:dyDescent="0.2">
      <c r="T82" s="151"/>
      <c r="U82" s="152"/>
      <c r="V82" s="21"/>
      <c r="W82" s="21"/>
      <c r="X82" s="21"/>
      <c r="Y82" s="21"/>
      <c r="Z82" s="21"/>
    </row>
    <row r="83" spans="1:26" ht="14.25" x14ac:dyDescent="0.2">
      <c r="T83" s="151"/>
      <c r="U83" s="152"/>
      <c r="V83" s="21"/>
      <c r="W83" s="21"/>
      <c r="X83" s="21"/>
      <c r="Y83" s="21"/>
      <c r="Z83" s="21"/>
    </row>
    <row r="84" spans="1:26" ht="14.25" x14ac:dyDescent="0.2">
      <c r="T84" s="151"/>
      <c r="U84" s="152"/>
      <c r="V84" s="21"/>
      <c r="W84" s="21"/>
      <c r="X84" s="21"/>
      <c r="Y84" s="21"/>
      <c r="Z84" s="21"/>
    </row>
    <row r="85" spans="1:26" ht="14.25" x14ac:dyDescent="0.2">
      <c r="T85" s="151"/>
      <c r="U85" s="152"/>
      <c r="V85" s="21"/>
      <c r="W85" s="21"/>
      <c r="X85" s="21"/>
      <c r="Y85" s="21"/>
      <c r="Z85" s="21"/>
    </row>
    <row r="86" spans="1:26" ht="14.25" x14ac:dyDescent="0.2">
      <c r="T86" s="151"/>
      <c r="U86" s="152"/>
      <c r="V86" s="21"/>
      <c r="W86" s="21"/>
      <c r="X86" s="21"/>
      <c r="Y86" s="21"/>
      <c r="Z86" s="21"/>
    </row>
    <row r="87" spans="1:26" ht="14.25" x14ac:dyDescent="0.2">
      <c r="T87" s="151"/>
      <c r="U87" s="152"/>
      <c r="V87" s="21"/>
      <c r="W87" s="21"/>
      <c r="X87" s="21"/>
      <c r="Y87" s="21"/>
      <c r="Z87" s="21"/>
    </row>
    <row r="88" spans="1:26" ht="14.25" x14ac:dyDescent="0.2">
      <c r="T88" s="151"/>
      <c r="U88" s="152"/>
      <c r="V88" s="21"/>
      <c r="W88" s="21"/>
      <c r="X88" s="21"/>
      <c r="Y88" s="21"/>
      <c r="Z88" s="21"/>
    </row>
    <row r="89" spans="1:26" ht="14.25" x14ac:dyDescent="0.2">
      <c r="T89" s="151"/>
      <c r="U89" s="152"/>
      <c r="V89" s="21"/>
      <c r="W89" s="21"/>
      <c r="X89" s="21"/>
      <c r="Y89" s="21"/>
      <c r="Z89" s="21"/>
    </row>
    <row r="90" spans="1:26" ht="14.25" x14ac:dyDescent="0.2">
      <c r="T90" s="151"/>
      <c r="U90" s="152"/>
      <c r="V90" s="21"/>
      <c r="W90" s="21"/>
      <c r="X90" s="21"/>
      <c r="Y90" s="21"/>
      <c r="Z90" s="21"/>
    </row>
    <row r="91" spans="1:26" ht="14.25" x14ac:dyDescent="0.2">
      <c r="T91" s="151"/>
      <c r="U91" s="152"/>
      <c r="V91" s="21"/>
      <c r="W91" s="21"/>
      <c r="X91" s="21"/>
      <c r="Y91" s="21"/>
      <c r="Z91" s="21"/>
    </row>
    <row r="92" spans="1:26" ht="14.25" x14ac:dyDescent="0.2">
      <c r="T92" s="151"/>
      <c r="U92" s="152"/>
      <c r="V92" s="21"/>
      <c r="W92" s="21"/>
      <c r="X92" s="21"/>
      <c r="Y92" s="21"/>
      <c r="Z92" s="21"/>
    </row>
    <row r="93" spans="1:26" ht="14.25" x14ac:dyDescent="0.2">
      <c r="T93" s="151"/>
      <c r="U93" s="152"/>
      <c r="V93" s="21"/>
      <c r="W93" s="21"/>
      <c r="X93" s="21"/>
      <c r="Y93" s="21"/>
      <c r="Z93" s="21"/>
    </row>
    <row r="94" spans="1:26" ht="14.25" x14ac:dyDescent="0.2">
      <c r="A94" s="23"/>
      <c r="B94" s="23"/>
      <c r="C94" s="23"/>
      <c r="D94" s="23"/>
      <c r="T94" s="151"/>
      <c r="U94" s="152"/>
      <c r="V94" s="21"/>
      <c r="W94" s="21"/>
      <c r="X94" s="21"/>
      <c r="Y94" s="21"/>
      <c r="Z94" s="21"/>
    </row>
    <row r="95" spans="1:26" ht="14.25" x14ac:dyDescent="0.2">
      <c r="A95" s="23"/>
      <c r="B95" s="23"/>
      <c r="C95" s="23"/>
      <c r="D95" s="23"/>
      <c r="T95" s="151"/>
      <c r="U95" s="152"/>
      <c r="V95" s="21"/>
      <c r="W95" s="21"/>
      <c r="X95" s="21"/>
      <c r="Y95" s="21"/>
      <c r="Z95" s="21"/>
    </row>
    <row r="96" spans="1:26" ht="14.25" x14ac:dyDescent="0.2">
      <c r="A96" s="23"/>
      <c r="B96" s="23"/>
      <c r="C96" s="23"/>
      <c r="D96" s="23"/>
      <c r="T96" s="151"/>
      <c r="U96" s="152"/>
      <c r="V96" s="21"/>
      <c r="W96" s="21"/>
      <c r="X96" s="21"/>
      <c r="Y96" s="21"/>
      <c r="Z96" s="21"/>
    </row>
    <row r="97" spans="1:26" ht="14.25" x14ac:dyDescent="0.2">
      <c r="A97" s="23"/>
      <c r="B97" s="23"/>
      <c r="C97" s="23"/>
      <c r="D97" s="23"/>
      <c r="T97" s="151"/>
      <c r="U97" s="152"/>
      <c r="V97" s="21"/>
      <c r="W97" s="21"/>
      <c r="X97" s="21"/>
      <c r="Y97" s="21"/>
      <c r="Z97" s="21"/>
    </row>
    <row r="98" spans="1:26" ht="14.25" x14ac:dyDescent="0.2">
      <c r="A98" s="23"/>
      <c r="B98" s="23"/>
      <c r="C98" s="23"/>
      <c r="D98" s="23"/>
      <c r="T98" s="151"/>
      <c r="U98" s="152"/>
      <c r="V98" s="21"/>
      <c r="W98" s="21"/>
      <c r="X98" s="21"/>
      <c r="Y98" s="21"/>
      <c r="Z98" s="21"/>
    </row>
    <row r="99" spans="1:26" ht="14.25" x14ac:dyDescent="0.2">
      <c r="A99" s="23"/>
      <c r="B99" s="23"/>
      <c r="C99" s="23"/>
      <c r="D99" s="23"/>
      <c r="T99" s="151"/>
      <c r="U99" s="152"/>
      <c r="V99" s="21"/>
      <c r="W99" s="21"/>
      <c r="X99" s="21"/>
      <c r="Y99" s="21"/>
      <c r="Z99" s="21"/>
    </row>
    <row r="100" spans="1:26" ht="14.25" x14ac:dyDescent="0.2">
      <c r="A100" s="23"/>
      <c r="B100" s="23"/>
      <c r="C100" s="23"/>
      <c r="D100" s="23"/>
      <c r="T100" s="151"/>
      <c r="U100" s="152"/>
      <c r="V100" s="21"/>
      <c r="W100" s="21"/>
      <c r="X100" s="21"/>
      <c r="Y100" s="21"/>
      <c r="Z100" s="21"/>
    </row>
    <row r="101" spans="1:26" ht="14.25" x14ac:dyDescent="0.2">
      <c r="A101" s="23"/>
      <c r="B101" s="23"/>
      <c r="C101" s="23"/>
      <c r="D101" s="23"/>
      <c r="T101" s="151"/>
      <c r="U101" s="152"/>
      <c r="V101" s="21"/>
      <c r="W101" s="21"/>
      <c r="X101" s="21"/>
      <c r="Y101" s="21"/>
      <c r="Z101" s="21"/>
    </row>
    <row r="102" spans="1:26" ht="14.25" x14ac:dyDescent="0.2">
      <c r="A102" s="23"/>
      <c r="B102" s="23"/>
      <c r="C102" s="23"/>
      <c r="D102" s="23"/>
      <c r="T102" s="151"/>
      <c r="U102" s="152"/>
      <c r="V102" s="21"/>
      <c r="W102" s="21"/>
      <c r="X102" s="21"/>
      <c r="Y102" s="21"/>
      <c r="Z102" s="21"/>
    </row>
    <row r="103" spans="1:26" ht="14.25" x14ac:dyDescent="0.2">
      <c r="A103" s="23"/>
      <c r="B103" s="23"/>
      <c r="C103" s="23"/>
      <c r="D103" s="23"/>
      <c r="T103" s="151"/>
      <c r="U103" s="152"/>
      <c r="V103" s="21"/>
      <c r="W103" s="21"/>
      <c r="X103" s="21"/>
      <c r="Y103" s="21"/>
      <c r="Z103" s="21"/>
    </row>
    <row r="104" spans="1:26" ht="14.25" x14ac:dyDescent="0.2">
      <c r="A104" s="23"/>
      <c r="B104" s="23"/>
      <c r="C104" s="23"/>
      <c r="D104" s="23"/>
      <c r="T104" s="151"/>
      <c r="U104" s="152"/>
      <c r="V104" s="21"/>
      <c r="W104" s="21"/>
      <c r="X104" s="21"/>
      <c r="Y104" s="21"/>
      <c r="Z104" s="21"/>
    </row>
    <row r="105" spans="1:26" ht="14.25" x14ac:dyDescent="0.2">
      <c r="A105" s="23"/>
      <c r="B105" s="23"/>
      <c r="C105" s="23"/>
      <c r="D105" s="23"/>
      <c r="T105" s="151"/>
      <c r="U105" s="152"/>
      <c r="V105" s="21"/>
      <c r="W105" s="21"/>
      <c r="X105" s="21"/>
      <c r="Y105" s="21"/>
      <c r="Z105" s="21"/>
    </row>
    <row r="106" spans="1:26" ht="14.25" x14ac:dyDescent="0.2">
      <c r="A106" s="23"/>
      <c r="B106" s="23"/>
      <c r="C106" s="23"/>
      <c r="D106" s="23"/>
      <c r="T106" s="151"/>
      <c r="U106" s="152"/>
      <c r="V106" s="21"/>
      <c r="W106" s="21"/>
      <c r="X106" s="21"/>
      <c r="Y106" s="21"/>
      <c r="Z106" s="21"/>
    </row>
    <row r="107" spans="1:26" ht="14.25" x14ac:dyDescent="0.2">
      <c r="A107" s="23"/>
      <c r="B107" s="23"/>
      <c r="C107" s="23"/>
      <c r="D107" s="23"/>
      <c r="T107" s="151"/>
      <c r="U107" s="152"/>
      <c r="V107" s="21"/>
      <c r="W107" s="21"/>
      <c r="X107" s="21"/>
      <c r="Y107" s="21"/>
      <c r="Z107" s="21"/>
    </row>
    <row r="108" spans="1:26" ht="13.5" x14ac:dyDescent="0.2">
      <c r="A108" s="24"/>
      <c r="B108" s="24"/>
      <c r="T108" s="153"/>
      <c r="V108" s="21"/>
      <c r="W108" s="21"/>
      <c r="X108" s="21"/>
      <c r="Y108" s="21"/>
      <c r="Z108" s="21"/>
    </row>
    <row r="122" spans="1:26" ht="16.899999999999999" customHeight="1" x14ac:dyDescent="0.2">
      <c r="A122" s="25"/>
    </row>
    <row r="123" spans="1:26" ht="12" customHeight="1" x14ac:dyDescent="0.2">
      <c r="A123" s="4"/>
    </row>
    <row r="124" spans="1:26" ht="13.15" customHeight="1" x14ac:dyDescent="0.2"/>
    <row r="125" spans="1:26" ht="13.15" customHeight="1" x14ac:dyDescent="0.2"/>
    <row r="126" spans="1:26" ht="13.15" customHeight="1" x14ac:dyDescent="0.2"/>
    <row r="127" spans="1:26" s="149" customFormat="1" ht="13.15" customHeight="1" x14ac:dyDescent="0.2">
      <c r="A127" s="1"/>
      <c r="B127" s="1"/>
      <c r="C127" s="1"/>
      <c r="D127" s="1"/>
      <c r="E127" s="1"/>
      <c r="F127" s="1"/>
      <c r="G127" s="1"/>
      <c r="H127" s="1"/>
      <c r="P127" s="1"/>
      <c r="Q127" s="1"/>
      <c r="T127" s="150"/>
      <c r="U127" s="150"/>
      <c r="V127" s="1"/>
      <c r="W127" s="1"/>
      <c r="X127" s="1"/>
      <c r="Y127" s="1"/>
      <c r="Z127" s="1"/>
    </row>
    <row r="128" spans="1:26" s="149" customFormat="1" ht="13.15" customHeight="1" x14ac:dyDescent="0.2">
      <c r="A128" s="1"/>
      <c r="B128" s="1"/>
      <c r="C128" s="1"/>
      <c r="D128" s="1"/>
      <c r="E128" s="1"/>
      <c r="F128" s="1"/>
      <c r="G128" s="1"/>
      <c r="H128" s="1"/>
      <c r="P128" s="1"/>
      <c r="Q128" s="1"/>
      <c r="T128" s="150"/>
      <c r="U128" s="150"/>
      <c r="V128" s="1"/>
      <c r="W128" s="1"/>
      <c r="X128" s="1"/>
      <c r="Y128" s="1"/>
      <c r="Z128" s="1"/>
    </row>
    <row r="129" spans="1:26" s="149" customFormat="1" ht="13.15" customHeight="1" x14ac:dyDescent="0.2">
      <c r="A129" s="1"/>
      <c r="B129" s="1"/>
      <c r="C129" s="1"/>
      <c r="D129" s="1"/>
      <c r="E129" s="1"/>
      <c r="F129" s="1"/>
      <c r="G129" s="1"/>
      <c r="H129" s="1"/>
      <c r="P129" s="1"/>
      <c r="Q129" s="1"/>
      <c r="T129" s="150"/>
      <c r="U129" s="150"/>
      <c r="V129" s="1"/>
      <c r="W129" s="1"/>
      <c r="X129" s="1"/>
      <c r="Y129" s="1"/>
      <c r="Z129" s="1"/>
    </row>
    <row r="130" spans="1:26" s="149" customFormat="1" ht="12" customHeight="1" x14ac:dyDescent="0.2">
      <c r="A130" s="1"/>
      <c r="B130" s="1"/>
      <c r="C130" s="1"/>
      <c r="D130" s="1"/>
      <c r="E130" s="1"/>
      <c r="F130" s="1"/>
      <c r="G130" s="1"/>
      <c r="H130" s="1"/>
      <c r="P130" s="1"/>
      <c r="Q130" s="1"/>
      <c r="T130" s="150"/>
      <c r="U130" s="150"/>
      <c r="V130" s="1"/>
      <c r="W130" s="1"/>
      <c r="X130" s="1"/>
      <c r="Y130" s="1"/>
      <c r="Z130" s="1"/>
    </row>
    <row r="131" spans="1:26" s="149" customFormat="1" ht="12" customHeight="1" x14ac:dyDescent="0.2">
      <c r="A131" s="1"/>
      <c r="B131" s="1"/>
      <c r="C131" s="1"/>
      <c r="D131" s="1"/>
      <c r="E131" s="1"/>
      <c r="F131" s="1"/>
      <c r="G131" s="1"/>
      <c r="H131" s="1"/>
      <c r="P131" s="1"/>
      <c r="Q131" s="1"/>
      <c r="T131" s="150"/>
      <c r="U131" s="150"/>
      <c r="V131" s="1"/>
      <c r="W131" s="1"/>
      <c r="X131" s="1"/>
      <c r="Y131" s="1"/>
      <c r="Z131" s="1"/>
    </row>
    <row r="132" spans="1:26" s="149" customFormat="1" ht="15" customHeight="1" x14ac:dyDescent="0.2">
      <c r="A132" s="1"/>
      <c r="B132" s="1"/>
      <c r="C132" s="1"/>
      <c r="D132" s="1"/>
      <c r="E132" s="1"/>
      <c r="F132" s="1"/>
      <c r="G132" s="1"/>
      <c r="H132" s="1"/>
      <c r="P132" s="1"/>
      <c r="Q132" s="1"/>
      <c r="T132" s="150"/>
      <c r="U132" s="150"/>
      <c r="V132" s="1"/>
      <c r="W132" s="1"/>
      <c r="X132" s="1"/>
      <c r="Y132" s="1"/>
      <c r="Z132" s="1"/>
    </row>
    <row r="133" spans="1:26" s="149" customFormat="1" ht="15" customHeight="1" x14ac:dyDescent="0.2">
      <c r="A133" s="1"/>
      <c r="B133" s="1"/>
      <c r="C133" s="1"/>
      <c r="D133" s="1"/>
      <c r="E133" s="1"/>
      <c r="F133" s="1"/>
      <c r="G133" s="1"/>
      <c r="H133" s="1"/>
      <c r="P133" s="1"/>
      <c r="Q133" s="1"/>
      <c r="T133" s="150"/>
      <c r="U133" s="150"/>
      <c r="V133" s="1"/>
      <c r="W133" s="1"/>
      <c r="X133" s="1"/>
      <c r="Y133" s="1"/>
      <c r="Z133" s="1"/>
    </row>
  </sheetData>
  <sheetProtection sheet="1" formatCells="0" formatColumns="0" formatRows="0"/>
  <phoneticPr fontId="4"/>
  <pageMargins left="0.7" right="0.7" top="0.75" bottom="0.75" header="0.3" footer="0.3"/>
  <pageSetup paperSize="9" orientation="portrait" verticalDpi="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7BAD6-1E5E-404B-A019-9EC46BC51E20}">
  <dimension ref="A1:Z133"/>
  <sheetViews>
    <sheetView zoomScale="160" zoomScaleNormal="160" workbookViewId="0">
      <selection activeCell="D18" sqref="D18"/>
    </sheetView>
  </sheetViews>
  <sheetFormatPr defaultColWidth="9.33203125" defaultRowHeight="12.75" x14ac:dyDescent="0.2"/>
  <cols>
    <col min="1" max="2" width="9.33203125" style="1"/>
    <col min="3" max="7" width="10.1640625" style="1" customWidth="1"/>
    <col min="8" max="8" width="9.33203125" style="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1399</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1037</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 customFormat="1" x14ac:dyDescent="0.2">
      <c r="A6" s="113"/>
      <c r="B6" s="99"/>
      <c r="C6" s="99"/>
      <c r="D6" s="99"/>
      <c r="E6" s="99"/>
      <c r="F6" s="99"/>
      <c r="G6" s="99"/>
      <c r="H6" s="99"/>
      <c r="I6" s="113"/>
      <c r="J6" s="113"/>
      <c r="K6" s="113"/>
      <c r="L6" s="113"/>
      <c r="M6" s="113"/>
      <c r="N6" s="113"/>
      <c r="O6" s="113"/>
      <c r="R6" s="113"/>
      <c r="S6" s="113"/>
      <c r="T6" s="146"/>
      <c r="U6" s="146"/>
    </row>
    <row r="7" spans="1:25" s="2" customFormat="1" x14ac:dyDescent="0.2">
      <c r="A7" s="113"/>
      <c r="B7" s="99"/>
      <c r="C7" s="99"/>
      <c r="D7" s="99"/>
      <c r="E7" s="99"/>
      <c r="F7" s="99"/>
      <c r="G7" s="99"/>
      <c r="H7" s="99"/>
      <c r="I7" s="113"/>
      <c r="J7" s="113"/>
      <c r="K7" s="113"/>
      <c r="L7" s="113"/>
      <c r="M7" s="113"/>
      <c r="N7" s="113"/>
      <c r="O7" s="113"/>
      <c r="R7" s="113"/>
      <c r="S7" s="113"/>
      <c r="T7" s="146"/>
      <c r="U7" s="146"/>
    </row>
    <row r="8" spans="1:25" s="2" customFormat="1" x14ac:dyDescent="0.2">
      <c r="A8" s="99"/>
      <c r="B8" s="99"/>
      <c r="C8" s="99"/>
      <c r="D8" s="99"/>
      <c r="E8" s="99"/>
      <c r="F8" s="99"/>
      <c r="G8" s="99"/>
      <c r="H8" s="99"/>
      <c r="I8" s="113"/>
      <c r="J8" s="113"/>
      <c r="K8" s="113"/>
      <c r="L8" s="113"/>
      <c r="M8" s="113"/>
      <c r="N8" s="113"/>
      <c r="O8" s="113"/>
      <c r="R8" s="113"/>
      <c r="S8" s="113"/>
      <c r="T8" s="146"/>
      <c r="U8" s="146"/>
    </row>
    <row r="9" spans="1:25" s="2" customFormat="1" x14ac:dyDescent="0.2">
      <c r="A9" s="113"/>
      <c r="B9" s="99"/>
      <c r="C9" s="99"/>
      <c r="D9" s="99"/>
      <c r="E9" s="99"/>
      <c r="F9" s="99"/>
      <c r="G9" s="99"/>
      <c r="H9" s="99"/>
      <c r="I9" s="113"/>
      <c r="J9" s="113"/>
      <c r="K9" s="113"/>
      <c r="L9" s="113"/>
      <c r="M9" s="113"/>
      <c r="N9" s="113"/>
      <c r="O9" s="113"/>
      <c r="R9" s="113"/>
      <c r="S9" s="113"/>
      <c r="T9" s="146"/>
      <c r="U9" s="146"/>
    </row>
    <row r="10" spans="1:25" x14ac:dyDescent="0.2">
      <c r="A10" s="102"/>
      <c r="B10" s="97"/>
      <c r="C10" s="97"/>
      <c r="D10" s="97"/>
      <c r="E10" s="97"/>
      <c r="F10" s="97"/>
      <c r="G10" s="97"/>
      <c r="H10" s="97"/>
      <c r="I10" s="113"/>
      <c r="J10" s="113"/>
      <c r="K10" s="113"/>
      <c r="L10" s="113"/>
      <c r="M10" s="113"/>
      <c r="N10" s="113"/>
      <c r="O10" s="113"/>
      <c r="R10" s="113"/>
      <c r="S10" s="113"/>
      <c r="T10" s="146"/>
      <c r="U10" s="146"/>
    </row>
    <row r="11" spans="1:25" x14ac:dyDescent="0.2">
      <c r="A11" s="97"/>
      <c r="B11" s="97"/>
      <c r="C11" s="97"/>
      <c r="D11" s="97"/>
      <c r="E11" s="97"/>
      <c r="F11" s="97"/>
      <c r="G11" s="97"/>
      <c r="H11" s="97"/>
      <c r="I11" s="113"/>
      <c r="J11" s="113"/>
      <c r="K11" s="113"/>
      <c r="L11" s="113"/>
      <c r="M11" s="113"/>
      <c r="N11" s="113"/>
      <c r="O11" s="113"/>
      <c r="R11" s="113"/>
      <c r="S11" s="113"/>
      <c r="T11" s="146"/>
      <c r="U11" s="146"/>
    </row>
    <row r="12" spans="1:25" x14ac:dyDescent="0.2">
      <c r="A12" s="97"/>
      <c r="B12" s="97"/>
      <c r="C12" s="97"/>
      <c r="D12" s="97"/>
      <c r="E12" s="97"/>
      <c r="F12" s="97"/>
      <c r="G12" s="97"/>
      <c r="H12" s="97"/>
      <c r="I12" s="113"/>
      <c r="J12" s="113"/>
      <c r="K12" s="113"/>
      <c r="L12" s="113"/>
      <c r="M12" s="113"/>
      <c r="N12" s="113"/>
      <c r="O12" s="113"/>
      <c r="R12" s="113"/>
      <c r="S12" s="113"/>
      <c r="T12" s="146"/>
      <c r="U12" s="146"/>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
        <v>1249</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1057</v>
      </c>
      <c r="N16" s="104" t="s">
        <v>1058</v>
      </c>
      <c r="O16" s="104" t="s">
        <v>100</v>
      </c>
      <c r="P16" s="6" t="s">
        <v>105</v>
      </c>
      <c r="Q16" s="6" t="s">
        <v>106</v>
      </c>
      <c r="R16" s="104" t="s">
        <v>1051</v>
      </c>
      <c r="S16" s="104" t="s">
        <v>1052</v>
      </c>
      <c r="T16" s="147" t="s">
        <v>1053</v>
      </c>
      <c r="U16" s="147" t="s">
        <v>1054</v>
      </c>
      <c r="V16" s="5" t="s">
        <v>101</v>
      </c>
      <c r="W16" s="5" t="s">
        <v>102</v>
      </c>
      <c r="X16" s="112" t="s">
        <v>1055</v>
      </c>
      <c r="Y16" s="112" t="s">
        <v>1056</v>
      </c>
    </row>
    <row r="17" spans="1:26" x14ac:dyDescent="0.2">
      <c r="A17" s="213" t="str">
        <f>A25</f>
        <v>BelGIM</v>
      </c>
      <c r="B17" s="213" t="str">
        <f t="shared" ref="B17:C17" si="0">B25</f>
        <v>D158049</v>
      </c>
      <c r="C17" s="213">
        <f t="shared" si="0"/>
        <v>1004.42</v>
      </c>
      <c r="D17" s="217">
        <f>F25</f>
        <v>0.32</v>
      </c>
      <c r="E17" s="1275">
        <f>G25</f>
        <v>1000.7</v>
      </c>
      <c r="F17" s="1275">
        <f>H25/2</f>
        <v>1.2</v>
      </c>
      <c r="G17" s="1275">
        <f>J25</f>
        <v>-3.7</v>
      </c>
      <c r="H17" s="1275">
        <f>L25</f>
        <v>2.5</v>
      </c>
      <c r="I17" s="155">
        <f t="shared" ref="I17:I20" si="1">IF(ABS(G17)&gt;ABS(H17), 1, 0)</f>
        <v>1</v>
      </c>
      <c r="J17" s="155">
        <f t="shared" ref="J17:J20" si="2">I17*ABS(C17-E17)</f>
        <v>3.7199999999999136</v>
      </c>
      <c r="K17" s="155">
        <f t="shared" ref="K17:K20" si="3">SQRT(SUMSQ(F17,J17))*2</f>
        <v>7.8175187879529542</v>
      </c>
      <c r="L17" s="155">
        <f t="shared" ref="L17:L20" si="4">IF(C17&lt;$K$2, C17, $K$1)</f>
        <v>10</v>
      </c>
      <c r="M17" s="156">
        <f t="shared" ref="M17:M20" si="5">IF(AND(C17&lt;$K$1,C17&gt; $K$2), K17/L17*100, K17/C17*100)</f>
        <v>0.77831174090051514</v>
      </c>
      <c r="N17" s="157">
        <f t="shared" ref="N17:N20" si="6">M17*L17/100</f>
        <v>7.7831174090051511E-2</v>
      </c>
      <c r="O17" s="155">
        <f t="shared" ref="O17:O20" si="7">N17/(M17*L17/100)*100</f>
        <v>100</v>
      </c>
      <c r="P17" s="250">
        <v>10</v>
      </c>
      <c r="Q17" s="250">
        <v>1000</v>
      </c>
      <c r="R17" s="148">
        <f>IF( IF(P17&lt;L17, M17*L17/P17, M17)&gt;100, "ERROR",  IF(P17&lt;L17, M17*L17/P17, M17))</f>
        <v>0.77831174090051514</v>
      </c>
      <c r="S17" s="148">
        <f>IF(IF(Q17&lt;L17, M17*L17/Q17, M17)&gt;100, "ERROR", IF(Q17&lt;L17, M17*L17/Q17, M17))</f>
        <v>0.77831174090051514</v>
      </c>
      <c r="T17" s="148">
        <f>R17*P17*0.01</f>
        <v>7.7831174090051511E-2</v>
      </c>
      <c r="U17" s="148">
        <f>S17*Q17*0.01</f>
        <v>7.7831174090051514</v>
      </c>
      <c r="V17" s="7">
        <f>P17*1000</f>
        <v>10000</v>
      </c>
      <c r="W17" s="7">
        <f>Q17*1000</f>
        <v>1000000</v>
      </c>
      <c r="X17" s="1345">
        <f>T17*1000</f>
        <v>77.831174090051505</v>
      </c>
      <c r="Y17" s="1345">
        <f>U17*1000</f>
        <v>7783.1174090051518</v>
      </c>
    </row>
    <row r="18" spans="1:26" x14ac:dyDescent="0.2">
      <c r="A18" s="213" t="str">
        <f t="shared" ref="A18:C20" si="8">A26</f>
        <v>KazInMetr</v>
      </c>
      <c r="B18" s="213" t="str">
        <f t="shared" si="8"/>
        <v>D158025</v>
      </c>
      <c r="C18" s="213">
        <f t="shared" si="8"/>
        <v>997.64</v>
      </c>
      <c r="D18" s="217">
        <f t="shared" ref="D18:D20" si="9">F26</f>
        <v>0.48</v>
      </c>
      <c r="E18" s="1275">
        <f t="shared" ref="E18:E20" si="10">G26</f>
        <v>998.2</v>
      </c>
      <c r="F18" s="1275">
        <f t="shared" ref="F18:F20" si="11">H26/2</f>
        <v>7.25</v>
      </c>
      <c r="G18" s="1275">
        <f t="shared" ref="G18:G20" si="12">J26</f>
        <v>0.6</v>
      </c>
      <c r="H18" s="1275">
        <f t="shared" ref="H18:H20" si="13">L26</f>
        <v>14.5</v>
      </c>
      <c r="I18" s="155">
        <f t="shared" si="1"/>
        <v>0</v>
      </c>
      <c r="J18" s="155">
        <f t="shared" si="2"/>
        <v>0</v>
      </c>
      <c r="K18" s="155">
        <f t="shared" si="3"/>
        <v>14.5</v>
      </c>
      <c r="L18" s="155">
        <f t="shared" si="4"/>
        <v>10</v>
      </c>
      <c r="M18" s="156">
        <f t="shared" si="5"/>
        <v>1.4534300950242571</v>
      </c>
      <c r="N18" s="157">
        <f t="shared" si="6"/>
        <v>0.14534300950242571</v>
      </c>
      <c r="O18" s="155">
        <f t="shared" si="7"/>
        <v>100</v>
      </c>
      <c r="P18" s="250">
        <v>10</v>
      </c>
      <c r="Q18" s="250">
        <v>1000</v>
      </c>
      <c r="R18" s="148">
        <f t="shared" ref="R18:R20" si="14">IF( IF(P18&lt;L18, M18*L18/P18, M18)&gt;100, "ERROR",  IF(P18&lt;L18, M18*L18/P18, M18))</f>
        <v>1.4534300950242571</v>
      </c>
      <c r="S18" s="148">
        <f t="shared" ref="S18:S20" si="15">IF(IF(Q18&lt;L18, M18*L18/Q18, M18)&gt;100, "ERROR", IF(Q18&lt;L18, M18*L18/Q18, M18))</f>
        <v>1.4534300950242571</v>
      </c>
      <c r="T18" s="148">
        <f t="shared" ref="T18:U20" si="16">R18*P18*0.01</f>
        <v>0.14534300950242571</v>
      </c>
      <c r="U18" s="148">
        <f t="shared" si="16"/>
        <v>14.534300950242571</v>
      </c>
      <c r="V18" s="7">
        <f t="shared" ref="V18:W20" si="17">P18*1000</f>
        <v>10000</v>
      </c>
      <c r="W18" s="7">
        <f t="shared" si="17"/>
        <v>1000000</v>
      </c>
      <c r="X18" s="1345">
        <f t="shared" ref="X18:Y20" si="18">T18*1000</f>
        <v>145.3430095024257</v>
      </c>
      <c r="Y18" s="1345">
        <f t="shared" si="18"/>
        <v>14534.30095024257</v>
      </c>
    </row>
    <row r="19" spans="1:26" x14ac:dyDescent="0.2">
      <c r="A19" s="213" t="str">
        <f t="shared" si="8"/>
        <v>Ukrmetrtest
-standart</v>
      </c>
      <c r="B19" s="213" t="str">
        <f t="shared" si="8"/>
        <v>D158027</v>
      </c>
      <c r="C19" s="213">
        <f t="shared" si="8"/>
        <v>1003.7</v>
      </c>
      <c r="D19" s="217">
        <f t="shared" si="9"/>
        <v>0.3</v>
      </c>
      <c r="E19" s="1275">
        <f t="shared" si="10"/>
        <v>1002.9</v>
      </c>
      <c r="F19" s="1275">
        <f t="shared" si="11"/>
        <v>0.5</v>
      </c>
      <c r="G19" s="1275">
        <f t="shared" si="12"/>
        <v>-0.8</v>
      </c>
      <c r="H19" s="1275">
        <f t="shared" si="13"/>
        <v>1.2</v>
      </c>
      <c r="I19" s="155">
        <f t="shared" si="1"/>
        <v>0</v>
      </c>
      <c r="J19" s="155">
        <f t="shared" si="2"/>
        <v>0</v>
      </c>
      <c r="K19" s="155">
        <f t="shared" si="3"/>
        <v>1</v>
      </c>
      <c r="L19" s="155">
        <f t="shared" si="4"/>
        <v>10</v>
      </c>
      <c r="M19" s="156">
        <f t="shared" si="5"/>
        <v>9.963136395337252E-2</v>
      </c>
      <c r="N19" s="157">
        <f t="shared" si="6"/>
        <v>9.9631363953372517E-3</v>
      </c>
      <c r="O19" s="155">
        <f t="shared" si="7"/>
        <v>100</v>
      </c>
      <c r="P19" s="250">
        <v>10</v>
      </c>
      <c r="Q19" s="250">
        <v>1000</v>
      </c>
      <c r="R19" s="148">
        <f t="shared" si="14"/>
        <v>9.963136395337252E-2</v>
      </c>
      <c r="S19" s="148">
        <f t="shared" si="15"/>
        <v>9.963136395337252E-2</v>
      </c>
      <c r="T19" s="148">
        <f t="shared" si="16"/>
        <v>9.9631363953372517E-3</v>
      </c>
      <c r="U19" s="148">
        <f t="shared" si="16"/>
        <v>0.9963136395337252</v>
      </c>
      <c r="V19" s="7">
        <f t="shared" si="17"/>
        <v>10000</v>
      </c>
      <c r="W19" s="7">
        <f t="shared" si="17"/>
        <v>1000000</v>
      </c>
      <c r="X19" s="1345">
        <f t="shared" si="18"/>
        <v>9.9631363953372514</v>
      </c>
      <c r="Y19" s="1345">
        <f t="shared" si="18"/>
        <v>996.31363953372522</v>
      </c>
    </row>
    <row r="20" spans="1:26" x14ac:dyDescent="0.2">
      <c r="A20" s="213" t="str">
        <f t="shared" si="8"/>
        <v>VNIIM</v>
      </c>
      <c r="B20" s="213" t="str">
        <f t="shared" si="8"/>
        <v>D158053</v>
      </c>
      <c r="C20" s="213">
        <f t="shared" si="8"/>
        <v>1005.16</v>
      </c>
      <c r="D20" s="217">
        <f t="shared" si="9"/>
        <v>0.31</v>
      </c>
      <c r="E20" s="1275">
        <f t="shared" si="10"/>
        <v>1005.2</v>
      </c>
      <c r="F20" s="1275">
        <f t="shared" si="11"/>
        <v>0.5</v>
      </c>
      <c r="G20" s="1275">
        <f t="shared" si="12"/>
        <v>0.05</v>
      </c>
      <c r="H20" s="1275">
        <f t="shared" si="13"/>
        <v>1.2</v>
      </c>
      <c r="I20" s="155">
        <f t="shared" si="1"/>
        <v>0</v>
      </c>
      <c r="J20" s="155">
        <f t="shared" si="2"/>
        <v>0</v>
      </c>
      <c r="K20" s="155">
        <f t="shared" si="3"/>
        <v>1</v>
      </c>
      <c r="L20" s="155">
        <f t="shared" si="4"/>
        <v>10</v>
      </c>
      <c r="M20" s="156">
        <f t="shared" si="5"/>
        <v>9.9486648891718737E-2</v>
      </c>
      <c r="N20" s="157">
        <f t="shared" si="6"/>
        <v>9.9486648891718744E-3</v>
      </c>
      <c r="O20" s="155">
        <f t="shared" si="7"/>
        <v>100</v>
      </c>
      <c r="P20" s="250">
        <v>10</v>
      </c>
      <c r="Q20" s="250">
        <v>1000</v>
      </c>
      <c r="R20" s="148">
        <f t="shared" si="14"/>
        <v>9.9486648891718737E-2</v>
      </c>
      <c r="S20" s="148">
        <f t="shared" si="15"/>
        <v>9.9486648891718737E-2</v>
      </c>
      <c r="T20" s="148">
        <f t="shared" si="16"/>
        <v>9.9486648891718744E-3</v>
      </c>
      <c r="U20" s="148">
        <f t="shared" si="16"/>
        <v>0.99486648891718743</v>
      </c>
      <c r="V20" s="7">
        <f t="shared" si="17"/>
        <v>10000</v>
      </c>
      <c r="W20" s="7">
        <f t="shared" si="17"/>
        <v>1000000</v>
      </c>
      <c r="X20" s="1345">
        <f t="shared" si="18"/>
        <v>9.9486648891718747</v>
      </c>
      <c r="Y20" s="1345">
        <f t="shared" si="18"/>
        <v>994.86648891718744</v>
      </c>
    </row>
    <row r="21" spans="1:26" ht="14.25" x14ac:dyDescent="0.2">
      <c r="H21" s="9"/>
      <c r="U21" s="152"/>
      <c r="V21" s="21"/>
      <c r="W21" s="21"/>
      <c r="X21" s="21"/>
      <c r="Y21" s="21"/>
      <c r="Z21" s="21"/>
    </row>
    <row r="22" spans="1:26" ht="14.25" x14ac:dyDescent="0.2">
      <c r="H22" s="9"/>
      <c r="U22" s="152"/>
      <c r="V22" s="21"/>
      <c r="W22" s="21"/>
      <c r="X22" s="21"/>
      <c r="Y22" s="21"/>
      <c r="Z22" s="21"/>
    </row>
    <row r="23" spans="1:26" s="117" customFormat="1" ht="17.100000000000001" customHeight="1" x14ac:dyDescent="0.2">
      <c r="A23" s="118" t="s">
        <v>1400</v>
      </c>
    </row>
    <row r="24" spans="1:26" s="117" customFormat="1" ht="25.5" x14ac:dyDescent="0.2">
      <c r="A24" s="1260" t="s">
        <v>0</v>
      </c>
      <c r="B24" s="1260" t="s">
        <v>1</v>
      </c>
      <c r="C24" s="1261" t="s">
        <v>1401</v>
      </c>
      <c r="D24" s="1262" t="s">
        <v>1402</v>
      </c>
      <c r="E24" s="1263" t="s">
        <v>1403</v>
      </c>
      <c r="F24" s="1240" t="s">
        <v>1404</v>
      </c>
      <c r="G24" s="1240" t="s">
        <v>1405</v>
      </c>
      <c r="H24" s="1240" t="s">
        <v>1406</v>
      </c>
      <c r="I24" s="1240" t="s">
        <v>1407</v>
      </c>
      <c r="J24" s="1240" t="s">
        <v>1408</v>
      </c>
      <c r="K24" s="1261" t="s">
        <v>131</v>
      </c>
      <c r="L24" s="1264" t="s">
        <v>1409</v>
      </c>
      <c r="M24" s="1265"/>
      <c r="N24" s="1265"/>
      <c r="O24" s="1266"/>
      <c r="P24" s="1266"/>
      <c r="Q24" s="1266"/>
      <c r="R24" s="1267"/>
      <c r="S24" s="1265"/>
    </row>
    <row r="25" spans="1:26" s="117" customFormat="1" ht="15.95" customHeight="1" x14ac:dyDescent="0.2">
      <c r="A25" s="119" t="s">
        <v>1390</v>
      </c>
      <c r="B25" s="119" t="s">
        <v>1410</v>
      </c>
      <c r="C25" s="1242">
        <v>1004.42</v>
      </c>
      <c r="D25" s="1268">
        <v>0.17</v>
      </c>
      <c r="E25" s="1269">
        <v>0.28000000000000003</v>
      </c>
      <c r="F25" s="1242">
        <v>0.32</v>
      </c>
      <c r="G25" s="1251">
        <v>1000.7</v>
      </c>
      <c r="H25" s="1251">
        <v>2.4</v>
      </c>
      <c r="I25" s="1246">
        <v>2</v>
      </c>
      <c r="J25" s="1251">
        <v>-3.7</v>
      </c>
      <c r="K25" s="1246">
        <v>2</v>
      </c>
      <c r="L25" s="1270">
        <v>2.5</v>
      </c>
      <c r="M25" s="1271"/>
      <c r="N25" s="1271"/>
      <c r="O25" s="1272"/>
      <c r="P25" s="1272"/>
      <c r="Q25" s="1273"/>
      <c r="R25" s="1274"/>
      <c r="S25" s="1271"/>
    </row>
    <row r="26" spans="1:26" s="117" customFormat="1" ht="15.95" customHeight="1" x14ac:dyDescent="0.2">
      <c r="A26" s="119" t="s">
        <v>1066</v>
      </c>
      <c r="B26" s="119" t="s">
        <v>1411</v>
      </c>
      <c r="C26" s="1242">
        <v>997.64</v>
      </c>
      <c r="D26" s="1268">
        <v>0.13</v>
      </c>
      <c r="E26" s="1269">
        <v>0.46</v>
      </c>
      <c r="F26" s="1242">
        <v>0.48</v>
      </c>
      <c r="G26" s="1251">
        <v>998.2</v>
      </c>
      <c r="H26" s="1251">
        <v>14.5</v>
      </c>
      <c r="I26" s="1246">
        <v>2</v>
      </c>
      <c r="J26" s="1251">
        <v>0.6</v>
      </c>
      <c r="K26" s="1246">
        <v>2</v>
      </c>
      <c r="L26" s="1270">
        <v>14.5</v>
      </c>
      <c r="M26" s="1271"/>
      <c r="N26" s="1271"/>
      <c r="O26" s="1272"/>
      <c r="P26" s="1272"/>
      <c r="Q26" s="1273"/>
      <c r="R26" s="1274"/>
      <c r="S26" s="1271"/>
    </row>
    <row r="27" spans="1:26" s="117" customFormat="1" ht="26.1" customHeight="1" x14ac:dyDescent="0.2">
      <c r="A27" s="1264" t="s">
        <v>1412</v>
      </c>
      <c r="B27" s="119" t="s">
        <v>1413</v>
      </c>
      <c r="C27" s="1242">
        <v>1003.7</v>
      </c>
      <c r="D27" s="1268">
        <v>0.13</v>
      </c>
      <c r="E27" s="1269">
        <v>0.27</v>
      </c>
      <c r="F27" s="1242">
        <v>0.3</v>
      </c>
      <c r="G27" s="1251">
        <v>1002.9</v>
      </c>
      <c r="H27" s="1251">
        <v>1</v>
      </c>
      <c r="I27" s="1246">
        <v>2</v>
      </c>
      <c r="J27" s="1251">
        <v>-0.8</v>
      </c>
      <c r="K27" s="1246">
        <v>2</v>
      </c>
      <c r="L27" s="1270">
        <v>1.2</v>
      </c>
      <c r="M27" s="1271"/>
      <c r="N27" s="1271"/>
      <c r="O27" s="1272"/>
      <c r="P27" s="1272"/>
      <c r="Q27" s="1273"/>
      <c r="R27" s="1274"/>
      <c r="S27" s="1271"/>
    </row>
    <row r="28" spans="1:26" s="117" customFormat="1" ht="15.95" customHeight="1" x14ac:dyDescent="0.2">
      <c r="A28" s="119" t="s">
        <v>2</v>
      </c>
      <c r="B28" s="119" t="s">
        <v>1414</v>
      </c>
      <c r="C28" s="1242">
        <v>1005.16</v>
      </c>
      <c r="D28" s="1268">
        <v>0.13</v>
      </c>
      <c r="E28" s="1269">
        <v>0.28000000000000003</v>
      </c>
      <c r="F28" s="1242">
        <v>0.31</v>
      </c>
      <c r="G28" s="1251">
        <v>1005.2</v>
      </c>
      <c r="H28" s="1251">
        <v>1</v>
      </c>
      <c r="I28" s="1246">
        <v>2</v>
      </c>
      <c r="J28" s="1242">
        <v>0.05</v>
      </c>
      <c r="K28" s="1246">
        <v>2</v>
      </c>
      <c r="L28" s="1270">
        <v>1.2</v>
      </c>
      <c r="M28" s="1271"/>
      <c r="N28" s="1271"/>
      <c r="O28" s="1272"/>
      <c r="P28" s="1272"/>
      <c r="Q28" s="1273"/>
      <c r="R28" s="1274"/>
      <c r="S28" s="1271"/>
    </row>
    <row r="29" spans="1:26" ht="14.25" x14ac:dyDescent="0.2">
      <c r="H29" s="9"/>
      <c r="U29" s="152"/>
      <c r="V29" s="21"/>
      <c r="W29" s="21"/>
      <c r="X29" s="21"/>
      <c r="Y29" s="21"/>
      <c r="Z29" s="21"/>
    </row>
    <row r="30" spans="1:26" ht="14.25" x14ac:dyDescent="0.2">
      <c r="H30" s="9"/>
      <c r="U30" s="152"/>
      <c r="V30" s="21"/>
      <c r="W30" s="21"/>
      <c r="X30" s="21"/>
      <c r="Y30" s="21"/>
      <c r="Z30" s="21"/>
    </row>
    <row r="31" spans="1:26" ht="14.25" x14ac:dyDescent="0.2">
      <c r="H31" s="9"/>
      <c r="U31" s="152"/>
      <c r="V31" s="21"/>
      <c r="W31" s="21"/>
      <c r="X31" s="21"/>
      <c r="Y31" s="21"/>
      <c r="Z31" s="21"/>
    </row>
    <row r="32" spans="1:26" ht="14.25" x14ac:dyDescent="0.2">
      <c r="H32" s="9"/>
      <c r="U32" s="152"/>
      <c r="V32" s="21"/>
      <c r="W32" s="21"/>
      <c r="X32" s="21"/>
      <c r="Y32" s="21"/>
      <c r="Z32" s="21"/>
    </row>
    <row r="33" spans="8:26" ht="14.25" x14ac:dyDescent="0.2">
      <c r="H33" s="9"/>
      <c r="U33" s="152"/>
      <c r="V33" s="21"/>
      <c r="W33" s="21"/>
      <c r="X33" s="21"/>
      <c r="Y33" s="21"/>
      <c r="Z33" s="21"/>
    </row>
    <row r="34" spans="8:26" ht="14.25" x14ac:dyDescent="0.2">
      <c r="H34" s="9"/>
      <c r="U34" s="152"/>
      <c r="V34" s="21"/>
      <c r="W34" s="21"/>
      <c r="X34" s="21"/>
      <c r="Y34" s="21"/>
      <c r="Z34" s="21"/>
    </row>
    <row r="35" spans="8:26" ht="14.25" x14ac:dyDescent="0.2">
      <c r="H35" s="9"/>
      <c r="X35" s="21"/>
      <c r="Y35" s="21"/>
      <c r="Z35" s="21"/>
    </row>
    <row r="36" spans="8:26" ht="14.25" x14ac:dyDescent="0.2">
      <c r="H36" s="9"/>
      <c r="X36" s="21"/>
      <c r="Y36" s="21"/>
      <c r="Z36" s="21"/>
    </row>
    <row r="37" spans="8:26" ht="14.25" x14ac:dyDescent="0.2">
      <c r="H37" s="9"/>
      <c r="X37" s="21"/>
      <c r="Y37" s="21"/>
      <c r="Z37" s="21"/>
    </row>
    <row r="38" spans="8:26" ht="14.25" x14ac:dyDescent="0.2">
      <c r="H38" s="9"/>
      <c r="X38" s="21"/>
      <c r="Y38" s="21"/>
      <c r="Z38" s="21"/>
    </row>
    <row r="39" spans="8:26" ht="14.25" x14ac:dyDescent="0.2">
      <c r="H39" s="9"/>
      <c r="X39" s="21"/>
      <c r="Y39" s="21"/>
      <c r="Z39" s="21"/>
    </row>
    <row r="40" spans="8:26" ht="14.25" x14ac:dyDescent="0.2">
      <c r="H40" s="9"/>
      <c r="X40" s="21"/>
      <c r="Y40" s="21"/>
      <c r="Z40" s="21"/>
    </row>
    <row r="41" spans="8:26" ht="14.25" x14ac:dyDescent="0.2">
      <c r="H41" s="9"/>
      <c r="X41" s="21"/>
      <c r="Y41" s="21"/>
      <c r="Z41" s="21"/>
    </row>
    <row r="42" spans="8:26" ht="14.25" x14ac:dyDescent="0.2">
      <c r="H42" s="9"/>
      <c r="X42" s="21"/>
      <c r="Y42" s="21"/>
      <c r="Z42" s="21"/>
    </row>
    <row r="43" spans="8:26" ht="14.25" x14ac:dyDescent="0.2">
      <c r="H43" s="9"/>
      <c r="X43" s="21"/>
      <c r="Y43" s="21"/>
      <c r="Z43" s="21"/>
    </row>
    <row r="44" spans="8:26" ht="14.25" x14ac:dyDescent="0.2">
      <c r="H44" s="9"/>
      <c r="X44" s="21"/>
      <c r="Y44" s="21"/>
      <c r="Z44" s="21"/>
    </row>
    <row r="45" spans="8:26" ht="14.25" x14ac:dyDescent="0.2">
      <c r="H45" s="9"/>
      <c r="X45" s="21"/>
      <c r="Y45" s="21"/>
      <c r="Z45" s="21"/>
    </row>
    <row r="46" spans="8:26" ht="14.25" x14ac:dyDescent="0.2">
      <c r="H46" s="9"/>
      <c r="X46" s="21"/>
      <c r="Y46" s="21"/>
      <c r="Z46" s="21"/>
    </row>
    <row r="47" spans="8:26" ht="14.25" x14ac:dyDescent="0.2">
      <c r="H47" s="9"/>
      <c r="X47" s="21"/>
      <c r="Y47" s="21"/>
      <c r="Z47" s="21"/>
    </row>
    <row r="48" spans="8:26" ht="14.25" x14ac:dyDescent="0.2">
      <c r="H48" s="9"/>
      <c r="X48" s="21"/>
      <c r="Y48" s="21"/>
      <c r="Z48" s="21"/>
    </row>
    <row r="49" spans="8:26" ht="14.25" x14ac:dyDescent="0.2">
      <c r="H49" s="9"/>
      <c r="X49" s="21"/>
      <c r="Y49" s="21"/>
      <c r="Z49" s="21"/>
    </row>
    <row r="50" spans="8:26" ht="14.25" x14ac:dyDescent="0.2">
      <c r="H50" s="9"/>
      <c r="U50" s="152"/>
      <c r="V50" s="21"/>
      <c r="W50" s="21"/>
      <c r="X50" s="21"/>
      <c r="Y50" s="21"/>
      <c r="Z50" s="21"/>
    </row>
    <row r="51" spans="8:26" ht="14.25" x14ac:dyDescent="0.2">
      <c r="H51" s="9"/>
      <c r="U51" s="152"/>
      <c r="V51" s="21"/>
      <c r="W51" s="21"/>
      <c r="X51" s="21"/>
      <c r="Y51" s="21"/>
      <c r="Z51" s="21"/>
    </row>
    <row r="52" spans="8:26" ht="14.25" x14ac:dyDescent="0.2">
      <c r="H52" s="9"/>
      <c r="U52" s="152"/>
      <c r="V52" s="21"/>
      <c r="W52" s="21"/>
      <c r="X52" s="21"/>
      <c r="Y52" s="21"/>
      <c r="Z52" s="21"/>
    </row>
    <row r="53" spans="8:26" ht="14.25" x14ac:dyDescent="0.2">
      <c r="H53" s="9"/>
      <c r="U53" s="152"/>
      <c r="V53" s="21"/>
      <c r="W53" s="21"/>
      <c r="X53" s="21"/>
      <c r="Y53" s="21"/>
      <c r="Z53" s="21"/>
    </row>
    <row r="54" spans="8:26" ht="14.25" x14ac:dyDescent="0.2">
      <c r="H54" s="9"/>
      <c r="U54" s="152"/>
      <c r="V54" s="21"/>
      <c r="W54" s="21"/>
      <c r="X54" s="21"/>
      <c r="Y54" s="21"/>
      <c r="Z54" s="21"/>
    </row>
    <row r="55" spans="8:26" ht="14.25" x14ac:dyDescent="0.2">
      <c r="H55" s="9"/>
      <c r="U55" s="152"/>
      <c r="V55" s="21"/>
      <c r="W55" s="21"/>
      <c r="X55" s="21"/>
      <c r="Y55" s="21"/>
      <c r="Z55" s="21"/>
    </row>
    <row r="56" spans="8:26" ht="14.25" x14ac:dyDescent="0.2">
      <c r="H56" s="9"/>
      <c r="U56" s="152"/>
      <c r="V56" s="21"/>
      <c r="W56" s="21"/>
      <c r="X56" s="21"/>
      <c r="Y56" s="21"/>
      <c r="Z56" s="21"/>
    </row>
    <row r="57" spans="8:26" ht="14.25" x14ac:dyDescent="0.2">
      <c r="H57" s="9"/>
      <c r="U57" s="152"/>
      <c r="V57" s="21"/>
      <c r="W57" s="21"/>
      <c r="X57" s="21"/>
      <c r="Y57" s="21"/>
      <c r="Z57" s="21"/>
    </row>
    <row r="58" spans="8:26" ht="14.25" x14ac:dyDescent="0.2">
      <c r="H58" s="9"/>
      <c r="U58" s="152"/>
      <c r="V58" s="21"/>
      <c r="W58" s="21"/>
      <c r="X58" s="21"/>
      <c r="Y58" s="21"/>
      <c r="Z58" s="21"/>
    </row>
    <row r="59" spans="8:26" ht="14.25" x14ac:dyDescent="0.2">
      <c r="H59" s="9"/>
      <c r="U59" s="152"/>
      <c r="V59" s="21"/>
      <c r="W59" s="21"/>
      <c r="X59" s="21"/>
      <c r="Y59" s="21"/>
      <c r="Z59" s="21"/>
    </row>
    <row r="60" spans="8:26" ht="14.25" x14ac:dyDescent="0.2">
      <c r="H60" s="9"/>
      <c r="U60" s="152"/>
      <c r="V60" s="21"/>
      <c r="W60" s="21"/>
      <c r="X60" s="21"/>
      <c r="Y60" s="21"/>
      <c r="Z60" s="21"/>
    </row>
    <row r="61" spans="8:26" ht="14.25" x14ac:dyDescent="0.2">
      <c r="H61" s="9"/>
      <c r="U61" s="152"/>
      <c r="V61" s="21"/>
      <c r="W61" s="21"/>
      <c r="X61" s="21"/>
      <c r="Y61" s="21"/>
      <c r="Z61" s="21"/>
    </row>
    <row r="62" spans="8:26" ht="14.25" x14ac:dyDescent="0.2">
      <c r="H62" s="9"/>
      <c r="U62" s="152"/>
      <c r="V62" s="21"/>
      <c r="W62" s="21"/>
      <c r="X62" s="21"/>
      <c r="Y62" s="21"/>
      <c r="Z62" s="21"/>
    </row>
    <row r="63" spans="8:26" ht="14.25" x14ac:dyDescent="0.2">
      <c r="H63" s="9"/>
      <c r="U63" s="152"/>
      <c r="V63" s="21"/>
      <c r="W63" s="21"/>
      <c r="X63" s="21"/>
      <c r="Y63" s="21"/>
      <c r="Z63" s="21"/>
    </row>
    <row r="64" spans="8:26" ht="14.25" x14ac:dyDescent="0.2">
      <c r="H64" s="9"/>
      <c r="U64" s="152"/>
      <c r="V64" s="21"/>
      <c r="W64" s="21"/>
      <c r="X64" s="21"/>
      <c r="Y64" s="21"/>
      <c r="Z64" s="21"/>
    </row>
    <row r="65" spans="8:26" ht="14.25" x14ac:dyDescent="0.2">
      <c r="H65" s="9"/>
      <c r="U65" s="152"/>
      <c r="V65" s="21"/>
      <c r="W65" s="21"/>
      <c r="X65" s="21"/>
      <c r="Y65" s="21"/>
      <c r="Z65" s="21"/>
    </row>
    <row r="66" spans="8:26" ht="14.25" x14ac:dyDescent="0.2">
      <c r="H66" s="9"/>
      <c r="U66" s="152"/>
      <c r="V66" s="21"/>
      <c r="W66" s="21"/>
      <c r="X66" s="21"/>
      <c r="Y66" s="21"/>
      <c r="Z66" s="21"/>
    </row>
    <row r="67" spans="8:26" ht="14.25" x14ac:dyDescent="0.2">
      <c r="H67" s="9"/>
      <c r="U67" s="152"/>
      <c r="V67" s="21"/>
      <c r="W67" s="21"/>
      <c r="X67" s="21"/>
      <c r="Y67" s="21"/>
      <c r="Z67" s="21"/>
    </row>
    <row r="68" spans="8:26" ht="14.25" x14ac:dyDescent="0.2">
      <c r="U68" s="152"/>
      <c r="V68" s="21"/>
      <c r="W68" s="21"/>
      <c r="X68" s="21"/>
      <c r="Y68" s="21"/>
      <c r="Z68" s="21"/>
    </row>
    <row r="69" spans="8:26" ht="14.25" x14ac:dyDescent="0.2">
      <c r="H69" s="9"/>
      <c r="U69" s="152"/>
      <c r="V69" s="21"/>
      <c r="W69" s="21"/>
      <c r="X69" s="21"/>
      <c r="Y69" s="21"/>
      <c r="Z69" s="21"/>
    </row>
    <row r="70" spans="8:26" ht="14.25" x14ac:dyDescent="0.2">
      <c r="H70" s="9"/>
      <c r="U70" s="152"/>
      <c r="V70" s="21"/>
      <c r="W70" s="21"/>
      <c r="X70" s="21"/>
      <c r="Y70" s="21"/>
      <c r="Z70" s="21"/>
    </row>
    <row r="71" spans="8:26" ht="14.25" x14ac:dyDescent="0.2">
      <c r="H71" s="9"/>
      <c r="U71" s="152"/>
      <c r="V71" s="21"/>
      <c r="W71" s="21"/>
      <c r="X71" s="21"/>
      <c r="Y71" s="21"/>
      <c r="Z71" s="21"/>
    </row>
    <row r="72" spans="8:26" ht="14.25" x14ac:dyDescent="0.2">
      <c r="H72" s="9"/>
      <c r="U72" s="152"/>
      <c r="V72" s="21"/>
      <c r="W72" s="21"/>
      <c r="X72" s="21"/>
      <c r="Y72" s="21"/>
      <c r="Z72" s="21"/>
    </row>
    <row r="73" spans="8:26" ht="14.25" x14ac:dyDescent="0.2">
      <c r="H73" s="9"/>
      <c r="U73" s="152"/>
      <c r="V73" s="21"/>
      <c r="W73" s="21"/>
      <c r="X73" s="21"/>
      <c r="Y73" s="21"/>
      <c r="Z73" s="21"/>
    </row>
    <row r="74" spans="8:26" ht="14.25" x14ac:dyDescent="0.2">
      <c r="H74" s="9"/>
      <c r="U74" s="152"/>
      <c r="V74" s="21"/>
      <c r="W74" s="21"/>
      <c r="X74" s="21"/>
      <c r="Y74" s="21"/>
      <c r="Z74" s="21"/>
    </row>
    <row r="75" spans="8:26" ht="14.25" x14ac:dyDescent="0.2">
      <c r="U75" s="152"/>
      <c r="V75" s="21"/>
      <c r="W75" s="21"/>
      <c r="X75" s="21"/>
      <c r="Y75" s="21"/>
      <c r="Z75" s="21"/>
    </row>
    <row r="76" spans="8:26" ht="14.25" x14ac:dyDescent="0.2">
      <c r="U76" s="152"/>
      <c r="V76" s="21"/>
      <c r="W76" s="21"/>
      <c r="X76" s="21"/>
      <c r="Y76" s="21"/>
      <c r="Z76" s="21"/>
    </row>
    <row r="77" spans="8:26" ht="14.25" x14ac:dyDescent="0.2">
      <c r="U77" s="152"/>
      <c r="V77" s="21"/>
      <c r="W77" s="21"/>
      <c r="X77" s="21"/>
      <c r="Y77" s="21"/>
      <c r="Z77" s="21"/>
    </row>
    <row r="78" spans="8:26" ht="14.25" x14ac:dyDescent="0.2">
      <c r="U78" s="152"/>
      <c r="V78" s="21"/>
      <c r="W78" s="21"/>
      <c r="X78" s="21"/>
      <c r="Y78" s="21"/>
      <c r="Z78" s="21"/>
    </row>
    <row r="79" spans="8:26" ht="14.25" x14ac:dyDescent="0.2">
      <c r="U79" s="152"/>
      <c r="V79" s="21"/>
      <c r="W79" s="21"/>
      <c r="X79" s="21"/>
      <c r="Y79" s="21"/>
      <c r="Z79" s="21"/>
    </row>
    <row r="80" spans="8:26" ht="14.25" x14ac:dyDescent="0.2">
      <c r="U80" s="152"/>
      <c r="V80" s="21"/>
      <c r="W80" s="21"/>
      <c r="X80" s="21"/>
      <c r="Y80" s="21"/>
      <c r="Z80" s="21"/>
    </row>
    <row r="81" spans="1:26" ht="14.25" x14ac:dyDescent="0.2">
      <c r="A81" s="23"/>
      <c r="B81" s="23"/>
      <c r="C81" s="23"/>
      <c r="D81" s="23"/>
      <c r="T81" s="151"/>
      <c r="U81" s="152"/>
      <c r="V81" s="21"/>
      <c r="W81" s="21"/>
      <c r="X81" s="21"/>
      <c r="Y81" s="21"/>
      <c r="Z81" s="21"/>
    </row>
    <row r="82" spans="1:26" ht="14.25" x14ac:dyDescent="0.2">
      <c r="T82" s="151"/>
      <c r="U82" s="152"/>
      <c r="V82" s="21"/>
      <c r="W82" s="21"/>
      <c r="X82" s="21"/>
      <c r="Y82" s="21"/>
      <c r="Z82" s="21"/>
    </row>
    <row r="83" spans="1:26" ht="14.25" x14ac:dyDescent="0.2">
      <c r="T83" s="151"/>
      <c r="U83" s="152"/>
      <c r="V83" s="21"/>
      <c r="W83" s="21"/>
      <c r="X83" s="21"/>
      <c r="Y83" s="21"/>
      <c r="Z83" s="21"/>
    </row>
    <row r="84" spans="1:26" ht="14.25" x14ac:dyDescent="0.2">
      <c r="T84" s="151"/>
      <c r="U84" s="152"/>
      <c r="V84" s="21"/>
      <c r="W84" s="21"/>
      <c r="X84" s="21"/>
      <c r="Y84" s="21"/>
      <c r="Z84" s="21"/>
    </row>
    <row r="85" spans="1:26" ht="14.25" x14ac:dyDescent="0.2">
      <c r="T85" s="151"/>
      <c r="U85" s="152"/>
      <c r="V85" s="21"/>
      <c r="W85" s="21"/>
      <c r="X85" s="21"/>
      <c r="Y85" s="21"/>
      <c r="Z85" s="21"/>
    </row>
    <row r="86" spans="1:26" ht="14.25" x14ac:dyDescent="0.2">
      <c r="T86" s="151"/>
      <c r="U86" s="152"/>
      <c r="V86" s="21"/>
      <c r="W86" s="21"/>
      <c r="X86" s="21"/>
      <c r="Y86" s="21"/>
      <c r="Z86" s="21"/>
    </row>
    <row r="87" spans="1:26" ht="14.25" x14ac:dyDescent="0.2">
      <c r="T87" s="151"/>
      <c r="U87" s="152"/>
      <c r="V87" s="21"/>
      <c r="W87" s="21"/>
      <c r="X87" s="21"/>
      <c r="Y87" s="21"/>
      <c r="Z87" s="21"/>
    </row>
    <row r="88" spans="1:26" ht="14.25" x14ac:dyDescent="0.2">
      <c r="T88" s="151"/>
      <c r="U88" s="152"/>
      <c r="V88" s="21"/>
      <c r="W88" s="21"/>
      <c r="X88" s="21"/>
      <c r="Y88" s="21"/>
      <c r="Z88" s="21"/>
    </row>
    <row r="89" spans="1:26" ht="14.25" x14ac:dyDescent="0.2">
      <c r="T89" s="151"/>
      <c r="U89" s="152"/>
      <c r="V89" s="21"/>
      <c r="W89" s="21"/>
      <c r="X89" s="21"/>
      <c r="Y89" s="21"/>
      <c r="Z89" s="21"/>
    </row>
    <row r="90" spans="1:26" ht="14.25" x14ac:dyDescent="0.2">
      <c r="T90" s="151"/>
      <c r="U90" s="152"/>
      <c r="V90" s="21"/>
      <c r="W90" s="21"/>
      <c r="X90" s="21"/>
      <c r="Y90" s="21"/>
      <c r="Z90" s="21"/>
    </row>
    <row r="91" spans="1:26" ht="14.25" x14ac:dyDescent="0.2">
      <c r="T91" s="151"/>
      <c r="U91" s="152"/>
      <c r="V91" s="21"/>
      <c r="W91" s="21"/>
      <c r="X91" s="21"/>
      <c r="Y91" s="21"/>
      <c r="Z91" s="21"/>
    </row>
    <row r="92" spans="1:26" ht="14.25" x14ac:dyDescent="0.2">
      <c r="T92" s="151"/>
      <c r="U92" s="152"/>
      <c r="V92" s="21"/>
      <c r="W92" s="21"/>
      <c r="X92" s="21"/>
      <c r="Y92" s="21"/>
      <c r="Z92" s="21"/>
    </row>
    <row r="93" spans="1:26" ht="14.25" x14ac:dyDescent="0.2">
      <c r="T93" s="151"/>
      <c r="U93" s="152"/>
      <c r="V93" s="21"/>
      <c r="W93" s="21"/>
      <c r="X93" s="21"/>
      <c r="Y93" s="21"/>
      <c r="Z93" s="21"/>
    </row>
    <row r="94" spans="1:26" ht="14.25" x14ac:dyDescent="0.2">
      <c r="A94" s="23"/>
      <c r="B94" s="23"/>
      <c r="C94" s="23"/>
      <c r="D94" s="23"/>
      <c r="T94" s="151"/>
      <c r="U94" s="152"/>
      <c r="V94" s="21"/>
      <c r="W94" s="21"/>
      <c r="X94" s="21"/>
      <c r="Y94" s="21"/>
      <c r="Z94" s="21"/>
    </row>
    <row r="95" spans="1:26" ht="14.25" x14ac:dyDescent="0.2">
      <c r="A95" s="23"/>
      <c r="B95" s="23"/>
      <c r="C95" s="23"/>
      <c r="D95" s="23"/>
      <c r="T95" s="151"/>
      <c r="U95" s="152"/>
      <c r="V95" s="21"/>
      <c r="W95" s="21"/>
      <c r="X95" s="21"/>
      <c r="Y95" s="21"/>
      <c r="Z95" s="21"/>
    </row>
    <row r="96" spans="1:26" ht="14.25" x14ac:dyDescent="0.2">
      <c r="A96" s="23"/>
      <c r="B96" s="23"/>
      <c r="C96" s="23"/>
      <c r="D96" s="23"/>
      <c r="T96" s="151"/>
      <c r="U96" s="152"/>
      <c r="V96" s="21"/>
      <c r="W96" s="21"/>
      <c r="X96" s="21"/>
      <c r="Y96" s="21"/>
      <c r="Z96" s="21"/>
    </row>
    <row r="97" spans="1:26" ht="14.25" x14ac:dyDescent="0.2">
      <c r="A97" s="23"/>
      <c r="B97" s="23"/>
      <c r="C97" s="23"/>
      <c r="D97" s="23"/>
      <c r="T97" s="151"/>
      <c r="U97" s="152"/>
      <c r="V97" s="21"/>
      <c r="W97" s="21"/>
      <c r="X97" s="21"/>
      <c r="Y97" s="21"/>
      <c r="Z97" s="21"/>
    </row>
    <row r="98" spans="1:26" ht="14.25" x14ac:dyDescent="0.2">
      <c r="A98" s="23"/>
      <c r="B98" s="23"/>
      <c r="C98" s="23"/>
      <c r="D98" s="23"/>
      <c r="T98" s="151"/>
      <c r="U98" s="152"/>
      <c r="V98" s="21"/>
      <c r="W98" s="21"/>
      <c r="X98" s="21"/>
      <c r="Y98" s="21"/>
      <c r="Z98" s="21"/>
    </row>
    <row r="99" spans="1:26" ht="14.25" x14ac:dyDescent="0.2">
      <c r="A99" s="23"/>
      <c r="B99" s="23"/>
      <c r="C99" s="23"/>
      <c r="D99" s="23"/>
      <c r="T99" s="151"/>
      <c r="U99" s="152"/>
      <c r="V99" s="21"/>
      <c r="W99" s="21"/>
      <c r="X99" s="21"/>
      <c r="Y99" s="21"/>
      <c r="Z99" s="21"/>
    </row>
    <row r="100" spans="1:26" ht="14.25" x14ac:dyDescent="0.2">
      <c r="A100" s="23"/>
      <c r="B100" s="23"/>
      <c r="C100" s="23"/>
      <c r="D100" s="23"/>
      <c r="T100" s="151"/>
      <c r="U100" s="152"/>
      <c r="V100" s="21"/>
      <c r="W100" s="21"/>
      <c r="X100" s="21"/>
      <c r="Y100" s="21"/>
      <c r="Z100" s="21"/>
    </row>
    <row r="101" spans="1:26" ht="14.25" x14ac:dyDescent="0.2">
      <c r="A101" s="23"/>
      <c r="B101" s="23"/>
      <c r="C101" s="23"/>
      <c r="D101" s="23"/>
      <c r="T101" s="151"/>
      <c r="U101" s="152"/>
      <c r="V101" s="21"/>
      <c r="W101" s="21"/>
      <c r="X101" s="21"/>
      <c r="Y101" s="21"/>
      <c r="Z101" s="21"/>
    </row>
    <row r="102" spans="1:26" ht="14.25" x14ac:dyDescent="0.2">
      <c r="A102" s="23"/>
      <c r="B102" s="23"/>
      <c r="C102" s="23"/>
      <c r="D102" s="23"/>
      <c r="T102" s="151"/>
      <c r="U102" s="152"/>
      <c r="V102" s="21"/>
      <c r="W102" s="21"/>
      <c r="X102" s="21"/>
      <c r="Y102" s="21"/>
      <c r="Z102" s="21"/>
    </row>
    <row r="103" spans="1:26" ht="14.25" x14ac:dyDescent="0.2">
      <c r="A103" s="23"/>
      <c r="B103" s="23"/>
      <c r="C103" s="23"/>
      <c r="D103" s="23"/>
      <c r="T103" s="151"/>
      <c r="U103" s="152"/>
      <c r="V103" s="21"/>
      <c r="W103" s="21"/>
      <c r="X103" s="21"/>
      <c r="Y103" s="21"/>
      <c r="Z103" s="21"/>
    </row>
    <row r="104" spans="1:26" ht="14.25" x14ac:dyDescent="0.2">
      <c r="A104" s="23"/>
      <c r="B104" s="23"/>
      <c r="C104" s="23"/>
      <c r="D104" s="23"/>
      <c r="T104" s="151"/>
      <c r="U104" s="152"/>
      <c r="V104" s="21"/>
      <c r="W104" s="21"/>
      <c r="X104" s="21"/>
      <c r="Y104" s="21"/>
      <c r="Z104" s="21"/>
    </row>
    <row r="105" spans="1:26" ht="14.25" x14ac:dyDescent="0.2">
      <c r="A105" s="23"/>
      <c r="B105" s="23"/>
      <c r="C105" s="23"/>
      <c r="D105" s="23"/>
      <c r="T105" s="151"/>
      <c r="U105" s="152"/>
      <c r="V105" s="21"/>
      <c r="W105" s="21"/>
      <c r="X105" s="21"/>
      <c r="Y105" s="21"/>
      <c r="Z105" s="21"/>
    </row>
    <row r="106" spans="1:26" ht="14.25" x14ac:dyDescent="0.2">
      <c r="A106" s="23"/>
      <c r="B106" s="23"/>
      <c r="C106" s="23"/>
      <c r="D106" s="23"/>
      <c r="T106" s="151"/>
      <c r="U106" s="152"/>
      <c r="V106" s="21"/>
      <c r="W106" s="21"/>
      <c r="X106" s="21"/>
      <c r="Y106" s="21"/>
      <c r="Z106" s="21"/>
    </row>
    <row r="107" spans="1:26" ht="14.25" x14ac:dyDescent="0.2">
      <c r="A107" s="23"/>
      <c r="B107" s="23"/>
      <c r="C107" s="23"/>
      <c r="D107" s="23"/>
      <c r="T107" s="151"/>
      <c r="U107" s="152"/>
      <c r="V107" s="21"/>
      <c r="W107" s="21"/>
      <c r="X107" s="21"/>
      <c r="Y107" s="21"/>
      <c r="Z107" s="21"/>
    </row>
    <row r="108" spans="1:26" ht="13.5" x14ac:dyDescent="0.2">
      <c r="A108" s="24"/>
      <c r="B108" s="24"/>
      <c r="T108" s="153"/>
      <c r="V108" s="21"/>
      <c r="W108" s="21"/>
      <c r="X108" s="21"/>
      <c r="Y108" s="21"/>
      <c r="Z108" s="21"/>
    </row>
    <row r="122" spans="1:26" ht="16.899999999999999" customHeight="1" x14ac:dyDescent="0.2">
      <c r="A122" s="25"/>
    </row>
    <row r="123" spans="1:26" ht="12" customHeight="1" x14ac:dyDescent="0.2">
      <c r="A123" s="4"/>
    </row>
    <row r="124" spans="1:26" ht="13.15" customHeight="1" x14ac:dyDescent="0.2"/>
    <row r="125" spans="1:26" ht="13.15" customHeight="1" x14ac:dyDescent="0.2"/>
    <row r="126" spans="1:26" ht="13.15" customHeight="1" x14ac:dyDescent="0.2"/>
    <row r="127" spans="1:26" s="149" customFormat="1" ht="13.15" customHeight="1" x14ac:dyDescent="0.2">
      <c r="A127" s="1"/>
      <c r="B127" s="1"/>
      <c r="C127" s="1"/>
      <c r="D127" s="1"/>
      <c r="E127" s="1"/>
      <c r="F127" s="1"/>
      <c r="G127" s="1"/>
      <c r="H127" s="1"/>
      <c r="P127" s="1"/>
      <c r="Q127" s="1"/>
      <c r="T127" s="150"/>
      <c r="U127" s="150"/>
      <c r="V127" s="1"/>
      <c r="W127" s="1"/>
      <c r="X127" s="1"/>
      <c r="Y127" s="1"/>
      <c r="Z127" s="1"/>
    </row>
    <row r="128" spans="1:26" s="149" customFormat="1" ht="13.15" customHeight="1" x14ac:dyDescent="0.2">
      <c r="A128" s="1"/>
      <c r="B128" s="1"/>
      <c r="C128" s="1"/>
      <c r="D128" s="1"/>
      <c r="E128" s="1"/>
      <c r="F128" s="1"/>
      <c r="G128" s="1"/>
      <c r="H128" s="1"/>
      <c r="P128" s="1"/>
      <c r="Q128" s="1"/>
      <c r="T128" s="150"/>
      <c r="U128" s="150"/>
      <c r="V128" s="1"/>
      <c r="W128" s="1"/>
      <c r="X128" s="1"/>
      <c r="Y128" s="1"/>
      <c r="Z128" s="1"/>
    </row>
    <row r="129" spans="1:26" s="149" customFormat="1" ht="13.15" customHeight="1" x14ac:dyDescent="0.2">
      <c r="A129" s="1"/>
      <c r="B129" s="1"/>
      <c r="C129" s="1"/>
      <c r="D129" s="1"/>
      <c r="E129" s="1"/>
      <c r="F129" s="1"/>
      <c r="G129" s="1"/>
      <c r="H129" s="1"/>
      <c r="P129" s="1"/>
      <c r="Q129" s="1"/>
      <c r="T129" s="150"/>
      <c r="U129" s="150"/>
      <c r="V129" s="1"/>
      <c r="W129" s="1"/>
      <c r="X129" s="1"/>
      <c r="Y129" s="1"/>
      <c r="Z129" s="1"/>
    </row>
    <row r="130" spans="1:26" s="149" customFormat="1" ht="12" customHeight="1" x14ac:dyDescent="0.2">
      <c r="A130" s="1"/>
      <c r="B130" s="1"/>
      <c r="C130" s="1"/>
      <c r="D130" s="1"/>
      <c r="E130" s="1"/>
      <c r="F130" s="1"/>
      <c r="G130" s="1"/>
      <c r="H130" s="1"/>
      <c r="P130" s="1"/>
      <c r="Q130" s="1"/>
      <c r="T130" s="150"/>
      <c r="U130" s="150"/>
      <c r="V130" s="1"/>
      <c r="W130" s="1"/>
      <c r="X130" s="1"/>
      <c r="Y130" s="1"/>
      <c r="Z130" s="1"/>
    </row>
    <row r="131" spans="1:26" s="149" customFormat="1" ht="12" customHeight="1" x14ac:dyDescent="0.2">
      <c r="A131" s="1"/>
      <c r="B131" s="1"/>
      <c r="C131" s="1"/>
      <c r="D131" s="1"/>
      <c r="E131" s="1"/>
      <c r="F131" s="1"/>
      <c r="G131" s="1"/>
      <c r="H131" s="1"/>
      <c r="P131" s="1"/>
      <c r="Q131" s="1"/>
      <c r="T131" s="150"/>
      <c r="U131" s="150"/>
      <c r="V131" s="1"/>
      <c r="W131" s="1"/>
      <c r="X131" s="1"/>
      <c r="Y131" s="1"/>
      <c r="Z131" s="1"/>
    </row>
    <row r="132" spans="1:26" s="149" customFormat="1" ht="15" customHeight="1" x14ac:dyDescent="0.2">
      <c r="A132" s="1"/>
      <c r="B132" s="1"/>
      <c r="C132" s="1"/>
      <c r="D132" s="1"/>
      <c r="E132" s="1"/>
      <c r="F132" s="1"/>
      <c r="G132" s="1"/>
      <c r="H132" s="1"/>
      <c r="P132" s="1"/>
      <c r="Q132" s="1"/>
      <c r="T132" s="150"/>
      <c r="U132" s="150"/>
      <c r="V132" s="1"/>
      <c r="W132" s="1"/>
      <c r="X132" s="1"/>
      <c r="Y132" s="1"/>
      <c r="Z132" s="1"/>
    </row>
    <row r="133" spans="1:26" s="149" customFormat="1" ht="15" customHeight="1" x14ac:dyDescent="0.2">
      <c r="A133" s="1"/>
      <c r="B133" s="1"/>
      <c r="C133" s="1"/>
      <c r="D133" s="1"/>
      <c r="E133" s="1"/>
      <c r="F133" s="1"/>
      <c r="G133" s="1"/>
      <c r="H133" s="1"/>
      <c r="P133" s="1"/>
      <c r="Q133" s="1"/>
      <c r="T133" s="150"/>
      <c r="U133" s="150"/>
      <c r="V133" s="1"/>
      <c r="W133" s="1"/>
      <c r="X133" s="1"/>
      <c r="Y133" s="1"/>
      <c r="Z133" s="1"/>
    </row>
  </sheetData>
  <sheetProtection sheet="1" formatCells="0" formatColumns="0" formatRows="0"/>
  <phoneticPr fontId="4"/>
  <pageMargins left="0.7" right="0.7" top="0.75" bottom="0.75" header="0.3" footer="0.3"/>
  <pageSetup paperSize="9" orientation="portrait"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3E7B5-B5EE-4074-8F8D-305C2214391F}">
  <dimension ref="A1:Z144"/>
  <sheetViews>
    <sheetView zoomScale="160" zoomScaleNormal="160" workbookViewId="0">
      <selection activeCell="D17" sqref="D17"/>
    </sheetView>
  </sheetViews>
  <sheetFormatPr defaultColWidth="9.33203125" defaultRowHeight="12.75" x14ac:dyDescent="0.2"/>
  <cols>
    <col min="1" max="2" width="9.33203125" style="1"/>
    <col min="3" max="7" width="10.1640625" style="1" customWidth="1"/>
    <col min="8" max="8" width="9.33203125" style="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1416</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1417</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 customFormat="1" x14ac:dyDescent="0.2">
      <c r="A6" s="113"/>
      <c r="B6" s="99"/>
      <c r="C6" s="99"/>
      <c r="D6" s="99"/>
      <c r="E6" s="99"/>
      <c r="F6" s="99"/>
      <c r="G6" s="99"/>
      <c r="H6" s="99"/>
      <c r="I6" s="113"/>
      <c r="J6" s="113"/>
      <c r="K6" s="113"/>
      <c r="L6" s="113"/>
      <c r="M6" s="113"/>
      <c r="N6" s="113"/>
      <c r="O6" s="113"/>
      <c r="R6" s="113"/>
      <c r="S6" s="113"/>
      <c r="T6" s="146"/>
      <c r="U6" s="146"/>
    </row>
    <row r="7" spans="1:25" s="2" customFormat="1" x14ac:dyDescent="0.2">
      <c r="A7" s="113"/>
      <c r="B7" s="99"/>
      <c r="C7" s="99"/>
      <c r="D7" s="99"/>
      <c r="E7" s="99"/>
      <c r="F7" s="99"/>
      <c r="G7" s="99"/>
      <c r="H7" s="99"/>
      <c r="I7" s="113"/>
      <c r="J7" s="113"/>
      <c r="K7" s="113"/>
      <c r="L7" s="113"/>
      <c r="M7" s="113"/>
      <c r="N7" s="113"/>
      <c r="O7" s="113"/>
      <c r="R7" s="113"/>
      <c r="S7" s="113"/>
      <c r="T7" s="146"/>
      <c r="U7" s="146"/>
    </row>
    <row r="8" spans="1:25" s="2" customFormat="1" x14ac:dyDescent="0.2">
      <c r="A8" s="99"/>
      <c r="B8" s="99"/>
      <c r="C8" s="99"/>
      <c r="D8" s="99"/>
      <c r="E8" s="99"/>
      <c r="F8" s="99"/>
      <c r="G8" s="99"/>
      <c r="H8" s="99"/>
      <c r="I8" s="113"/>
      <c r="J8" s="113"/>
      <c r="K8" s="113"/>
      <c r="L8" s="113"/>
      <c r="M8" s="113"/>
      <c r="N8" s="113"/>
      <c r="O8" s="113"/>
      <c r="R8" s="113"/>
      <c r="S8" s="113"/>
      <c r="T8" s="146"/>
      <c r="U8" s="146"/>
    </row>
    <row r="9" spans="1:25" s="2" customFormat="1" x14ac:dyDescent="0.2">
      <c r="A9" s="113"/>
      <c r="B9" s="99"/>
      <c r="C9" s="99"/>
      <c r="D9" s="99"/>
      <c r="E9" s="99"/>
      <c r="F9" s="99"/>
      <c r="G9" s="99"/>
      <c r="H9" s="99"/>
      <c r="I9" s="113"/>
      <c r="J9" s="113"/>
      <c r="K9" s="113"/>
      <c r="L9" s="113"/>
      <c r="M9" s="113"/>
      <c r="N9" s="113"/>
      <c r="O9" s="113"/>
      <c r="R9" s="113"/>
      <c r="S9" s="113"/>
      <c r="T9" s="146"/>
      <c r="U9" s="146"/>
    </row>
    <row r="10" spans="1:25" x14ac:dyDescent="0.2">
      <c r="A10" s="102"/>
      <c r="B10" s="97"/>
      <c r="C10" s="97"/>
      <c r="D10" s="97"/>
      <c r="E10" s="97"/>
      <c r="F10" s="97"/>
      <c r="G10" s="97"/>
      <c r="H10" s="97"/>
      <c r="I10" s="113"/>
      <c r="J10" s="113"/>
      <c r="K10" s="113"/>
      <c r="L10" s="113"/>
      <c r="M10" s="113"/>
      <c r="N10" s="113"/>
      <c r="O10" s="113"/>
      <c r="R10" s="113"/>
      <c r="S10" s="113"/>
      <c r="T10" s="146"/>
      <c r="U10" s="146"/>
    </row>
    <row r="11" spans="1:25" x14ac:dyDescent="0.2">
      <c r="A11" s="97"/>
      <c r="B11" s="97"/>
      <c r="C11" s="97"/>
      <c r="D11" s="97"/>
      <c r="E11" s="97"/>
      <c r="F11" s="97"/>
      <c r="G11" s="97"/>
      <c r="H11" s="97"/>
      <c r="I11" s="113"/>
      <c r="J11" s="113"/>
      <c r="K11" s="113"/>
      <c r="L11" s="113"/>
      <c r="M11" s="113"/>
      <c r="N11" s="113"/>
      <c r="O11" s="113"/>
      <c r="R11" s="113"/>
      <c r="S11" s="113"/>
      <c r="T11" s="146"/>
      <c r="U11" s="146"/>
    </row>
    <row r="12" spans="1:25" x14ac:dyDescent="0.2">
      <c r="A12" s="97"/>
      <c r="B12" s="97"/>
      <c r="C12" s="97"/>
      <c r="D12" s="97"/>
      <c r="E12" s="97"/>
      <c r="F12" s="97"/>
      <c r="G12" s="97"/>
      <c r="H12" s="97"/>
      <c r="I12" s="113"/>
      <c r="J12" s="113"/>
      <c r="K12" s="113"/>
      <c r="L12" s="113"/>
      <c r="M12" s="113"/>
      <c r="N12" s="113"/>
      <c r="O12" s="113"/>
      <c r="R12" s="113"/>
      <c r="S12" s="113"/>
      <c r="T12" s="146"/>
      <c r="U12" s="146"/>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
        <v>362</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1057</v>
      </c>
      <c r="N16" s="104" t="s">
        <v>1058</v>
      </c>
      <c r="O16" s="104" t="s">
        <v>100</v>
      </c>
      <c r="P16" s="6" t="s">
        <v>105</v>
      </c>
      <c r="Q16" s="6" t="s">
        <v>106</v>
      </c>
      <c r="R16" s="104" t="s">
        <v>1051</v>
      </c>
      <c r="S16" s="104" t="s">
        <v>1052</v>
      </c>
      <c r="T16" s="147" t="s">
        <v>1053</v>
      </c>
      <c r="U16" s="147" t="s">
        <v>1054</v>
      </c>
      <c r="V16" s="5" t="s">
        <v>101</v>
      </c>
      <c r="W16" s="5" t="s">
        <v>102</v>
      </c>
      <c r="X16" s="112" t="s">
        <v>1055</v>
      </c>
      <c r="Y16" s="112" t="s">
        <v>1056</v>
      </c>
    </row>
    <row r="17" spans="1:26" x14ac:dyDescent="0.2">
      <c r="A17" s="213" t="str">
        <f>A38</f>
        <v>VSL</v>
      </c>
      <c r="B17" s="502">
        <f>B38</f>
        <v>219509</v>
      </c>
      <c r="C17" s="219">
        <f>K38/1000</f>
        <v>0.43437999999999999</v>
      </c>
      <c r="D17" s="219">
        <f>L38/1000</f>
        <v>8.4999999999999995E-4</v>
      </c>
      <c r="E17" s="219">
        <f t="shared" ref="E17:E31" si="0">D38/1000</f>
        <v>0.43160000000000004</v>
      </c>
      <c r="F17" s="219">
        <f t="shared" ref="F17:F31" si="1">E38/2/1000</f>
        <v>1.8E-3</v>
      </c>
      <c r="G17" s="219">
        <f>E17-C17</f>
        <v>-2.7799999999999492E-3</v>
      </c>
      <c r="H17" s="219">
        <f>SQRT(D17^2+F17^2)*2</f>
        <v>3.9812058474788768E-3</v>
      </c>
      <c r="I17" s="155">
        <f t="shared" ref="I17:I31" si="2">IF(ABS(G17)&gt;ABS(H17), 1, 0)</f>
        <v>0</v>
      </c>
      <c r="J17" s="155">
        <f t="shared" ref="J17:J31" si="3">I17*ABS(C17-E17)</f>
        <v>0</v>
      </c>
      <c r="K17" s="155">
        <f t="shared" ref="K17:K31" si="4">SQRT(SUMSQ(F17,J17))*2</f>
        <v>3.5999999999999999E-3</v>
      </c>
      <c r="L17" s="155">
        <f t="shared" ref="L17:L31" si="5">IF(C17&lt;$K$2, C17, $K$1)</f>
        <v>0.43437999999999999</v>
      </c>
      <c r="M17" s="156">
        <f t="shared" ref="M17:M31" si="6">IF(AND(C17&lt;$K$1,C17&gt; $K$2), K17/L17*100, K17/C17*100)</f>
        <v>0.82876743864818825</v>
      </c>
      <c r="N17" s="157">
        <f t="shared" ref="N17:N31" si="7">M17*L17/100</f>
        <v>3.5999999999999999E-3</v>
      </c>
      <c r="O17" s="155">
        <f t="shared" ref="O17:O31" si="8">N17/(M17*L17/100)*100</f>
        <v>100</v>
      </c>
      <c r="P17" s="250">
        <v>1</v>
      </c>
      <c r="Q17" s="250">
        <v>1000</v>
      </c>
      <c r="R17" s="148">
        <f>IF( IF(P17&lt;L17, M17*L17/P17, M17)&gt;100, "ERROR",  IF(P17&lt;L17, M17*L17/P17, M17))</f>
        <v>0.82876743864818825</v>
      </c>
      <c r="S17" s="148">
        <f>IF(IF(Q17&lt;L17, M17*L17/Q17, M17)&gt;100, "ERROR", IF(Q17&lt;L17, M17*L17/Q17, M17))</f>
        <v>0.82876743864818825</v>
      </c>
      <c r="T17" s="148">
        <f>R17*P17*0.01</f>
        <v>8.287674386481883E-3</v>
      </c>
      <c r="U17" s="148">
        <f>S17*Q17*0.01</f>
        <v>8.287674386481882</v>
      </c>
      <c r="V17" s="7">
        <f>P17*1000</f>
        <v>1000</v>
      </c>
      <c r="W17" s="7">
        <f>Q17*1000</f>
        <v>1000000</v>
      </c>
      <c r="X17" s="1345">
        <f>T17*1000</f>
        <v>8.2876743864818838</v>
      </c>
      <c r="Y17" s="1345">
        <f>U17*1000</f>
        <v>8287.6743864818818</v>
      </c>
    </row>
    <row r="18" spans="1:26" x14ac:dyDescent="0.2">
      <c r="A18" s="213" t="str">
        <f t="shared" ref="A18:B18" si="9">A39</f>
        <v>NPL</v>
      </c>
      <c r="B18" s="502">
        <f t="shared" si="9"/>
        <v>219515</v>
      </c>
      <c r="C18" s="219">
        <f t="shared" ref="C18:D18" si="10">K39/1000</f>
        <v>0.44450000000000001</v>
      </c>
      <c r="D18" s="219">
        <f t="shared" si="10"/>
        <v>7.7000000000000007E-4</v>
      </c>
      <c r="E18" s="219">
        <f t="shared" si="0"/>
        <v>0.44410000000000005</v>
      </c>
      <c r="F18" s="219">
        <f t="shared" si="1"/>
        <v>2.2499999999999998E-3</v>
      </c>
      <c r="G18" s="219">
        <f t="shared" ref="G18:G31" si="11">E18-C18</f>
        <v>-3.9999999999995595E-4</v>
      </c>
      <c r="H18" s="219">
        <f t="shared" ref="H18:H31" si="12">SQRT(D18^2+F18^2)*2</f>
        <v>4.7562169841166829E-3</v>
      </c>
      <c r="I18" s="155">
        <f t="shared" si="2"/>
        <v>0</v>
      </c>
      <c r="J18" s="155">
        <f t="shared" si="3"/>
        <v>0</v>
      </c>
      <c r="K18" s="155">
        <f t="shared" si="4"/>
        <v>4.4999999999999997E-3</v>
      </c>
      <c r="L18" s="155">
        <f t="shared" si="5"/>
        <v>0.44450000000000001</v>
      </c>
      <c r="M18" s="156">
        <f t="shared" si="6"/>
        <v>1.0123734533183351</v>
      </c>
      <c r="N18" s="157">
        <f t="shared" si="7"/>
        <v>4.4999999999999997E-3</v>
      </c>
      <c r="O18" s="155">
        <f t="shared" si="8"/>
        <v>100</v>
      </c>
      <c r="P18" s="250">
        <v>1</v>
      </c>
      <c r="Q18" s="250">
        <v>1000</v>
      </c>
      <c r="R18" s="148">
        <f t="shared" ref="R18:R31" si="13">IF( IF(P18&lt;L18, M18*L18/P18, M18)&gt;100, "ERROR",  IF(P18&lt;L18, M18*L18/P18, M18))</f>
        <v>1.0123734533183351</v>
      </c>
      <c r="S18" s="148">
        <f t="shared" ref="S18:S31" si="14">IF(IF(Q18&lt;L18, M18*L18/Q18, M18)&gt;100, "ERROR", IF(Q18&lt;L18, M18*L18/Q18, M18))</f>
        <v>1.0123734533183351</v>
      </c>
      <c r="T18" s="148">
        <f t="shared" ref="T18:U31" si="15">R18*P18*0.01</f>
        <v>1.012373453318335E-2</v>
      </c>
      <c r="U18" s="148">
        <f t="shared" si="15"/>
        <v>10.123734533183351</v>
      </c>
      <c r="V18" s="7">
        <f t="shared" ref="V18:W31" si="16">P18*1000</f>
        <v>1000</v>
      </c>
      <c r="W18" s="7">
        <f t="shared" si="16"/>
        <v>1000000</v>
      </c>
      <c r="X18" s="1345">
        <f t="shared" ref="X18:Y31" si="17">T18*1000</f>
        <v>10.123734533183351</v>
      </c>
      <c r="Y18" s="1345">
        <f t="shared" si="17"/>
        <v>10123.734533183351</v>
      </c>
    </row>
    <row r="19" spans="1:26" x14ac:dyDescent="0.2">
      <c r="A19" s="213" t="str">
        <f t="shared" ref="A19:B19" si="18">A40</f>
        <v>MKEH</v>
      </c>
      <c r="B19" s="502">
        <f t="shared" si="18"/>
        <v>219516</v>
      </c>
      <c r="C19" s="219">
        <f t="shared" ref="C19:D19" si="19">K40/1000</f>
        <v>0.44231999999999999</v>
      </c>
      <c r="D19" s="219">
        <f t="shared" si="19"/>
        <v>1.1100000000000001E-3</v>
      </c>
      <c r="E19" s="219">
        <f t="shared" si="0"/>
        <v>0.44730000000000003</v>
      </c>
      <c r="F19" s="219">
        <f t="shared" si="1"/>
        <v>6.4000000000000003E-3</v>
      </c>
      <c r="G19" s="219">
        <f t="shared" si="11"/>
        <v>4.98000000000004E-3</v>
      </c>
      <c r="H19" s="219">
        <f t="shared" si="12"/>
        <v>1.2991089253792385E-2</v>
      </c>
      <c r="I19" s="155">
        <f t="shared" si="2"/>
        <v>0</v>
      </c>
      <c r="J19" s="155">
        <f t="shared" si="3"/>
        <v>0</v>
      </c>
      <c r="K19" s="155">
        <f t="shared" si="4"/>
        <v>1.2800000000000001E-2</v>
      </c>
      <c r="L19" s="155">
        <f t="shared" si="5"/>
        <v>0.44231999999999999</v>
      </c>
      <c r="M19" s="156">
        <f t="shared" si="6"/>
        <v>2.8938325194429373</v>
      </c>
      <c r="N19" s="157">
        <f t="shared" si="7"/>
        <v>1.2800000000000001E-2</v>
      </c>
      <c r="O19" s="155">
        <f t="shared" si="8"/>
        <v>100</v>
      </c>
      <c r="P19" s="250">
        <v>1</v>
      </c>
      <c r="Q19" s="250">
        <v>1000</v>
      </c>
      <c r="R19" s="148">
        <f t="shared" si="13"/>
        <v>2.8938325194429373</v>
      </c>
      <c r="S19" s="148">
        <f t="shared" si="14"/>
        <v>2.8938325194429373</v>
      </c>
      <c r="T19" s="148">
        <f t="shared" si="15"/>
        <v>2.8938325194429373E-2</v>
      </c>
      <c r="U19" s="148">
        <f t="shared" si="15"/>
        <v>28.938325194429371</v>
      </c>
      <c r="V19" s="7">
        <f t="shared" si="16"/>
        <v>1000</v>
      </c>
      <c r="W19" s="7">
        <f t="shared" si="16"/>
        <v>1000000</v>
      </c>
      <c r="X19" s="1345">
        <f t="shared" si="17"/>
        <v>28.938325194429371</v>
      </c>
      <c r="Y19" s="1345">
        <f t="shared" si="17"/>
        <v>28938.32519442937</v>
      </c>
    </row>
    <row r="20" spans="1:26" x14ac:dyDescent="0.2">
      <c r="A20" s="213" t="str">
        <f t="shared" ref="A20:B20" si="20">A41</f>
        <v>JRC</v>
      </c>
      <c r="B20" s="502">
        <f t="shared" si="20"/>
        <v>219517</v>
      </c>
      <c r="C20" s="219">
        <f t="shared" ref="C20:D20" si="21">K41/1000</f>
        <v>0.43723000000000001</v>
      </c>
      <c r="D20" s="219">
        <f t="shared" si="21"/>
        <v>9.7999999999999997E-4</v>
      </c>
      <c r="E20" s="219">
        <f t="shared" si="0"/>
        <v>0.44289999999999996</v>
      </c>
      <c r="F20" s="219">
        <f t="shared" si="1"/>
        <v>2.8E-3</v>
      </c>
      <c r="G20" s="219">
        <f t="shared" si="11"/>
        <v>5.6699999999999529E-3</v>
      </c>
      <c r="H20" s="219">
        <f t="shared" si="12"/>
        <v>5.9330936281167855E-3</v>
      </c>
      <c r="I20" s="155">
        <f t="shared" si="2"/>
        <v>0</v>
      </c>
      <c r="J20" s="155">
        <f t="shared" si="3"/>
        <v>0</v>
      </c>
      <c r="K20" s="155">
        <f t="shared" si="4"/>
        <v>5.5999999999999999E-3</v>
      </c>
      <c r="L20" s="155">
        <f t="shared" si="5"/>
        <v>0.43723000000000001</v>
      </c>
      <c r="M20" s="156">
        <f t="shared" si="6"/>
        <v>1.2807904306657822</v>
      </c>
      <c r="N20" s="157">
        <f t="shared" si="7"/>
        <v>5.5999999999999991E-3</v>
      </c>
      <c r="O20" s="155">
        <f t="shared" si="8"/>
        <v>100</v>
      </c>
      <c r="P20" s="250">
        <v>1</v>
      </c>
      <c r="Q20" s="250">
        <v>1000</v>
      </c>
      <c r="R20" s="148">
        <f t="shared" si="13"/>
        <v>1.2807904306657822</v>
      </c>
      <c r="S20" s="148">
        <f t="shared" si="14"/>
        <v>1.2807904306657822</v>
      </c>
      <c r="T20" s="148">
        <f t="shared" si="15"/>
        <v>1.2807904306657823E-2</v>
      </c>
      <c r="U20" s="148">
        <f t="shared" si="15"/>
        <v>12.807904306657822</v>
      </c>
      <c r="V20" s="7">
        <f t="shared" si="16"/>
        <v>1000</v>
      </c>
      <c r="W20" s="7">
        <f t="shared" si="16"/>
        <v>1000000</v>
      </c>
      <c r="X20" s="1345">
        <f t="shared" si="17"/>
        <v>12.807904306657823</v>
      </c>
      <c r="Y20" s="1345">
        <f t="shared" si="17"/>
        <v>12807.904306657822</v>
      </c>
    </row>
    <row r="21" spans="1:26" x14ac:dyDescent="0.2">
      <c r="A21" s="213" t="str">
        <f t="shared" ref="A21:B21" si="22">A42</f>
        <v>DWD</v>
      </c>
      <c r="B21" s="502">
        <f t="shared" si="22"/>
        <v>219518</v>
      </c>
      <c r="C21" s="219">
        <f t="shared" ref="C21:D21" si="23">K42/1000</f>
        <v>0.4617</v>
      </c>
      <c r="D21" s="219">
        <f t="shared" si="23"/>
        <v>9.1E-4</v>
      </c>
      <c r="E21" s="219">
        <f t="shared" si="0"/>
        <v>0.46839999999999998</v>
      </c>
      <c r="F21" s="219">
        <f t="shared" si="1"/>
        <v>8.5000000000000006E-3</v>
      </c>
      <c r="G21" s="219">
        <f t="shared" si="11"/>
        <v>6.6999999999999837E-3</v>
      </c>
      <c r="H21" s="219">
        <f t="shared" si="12"/>
        <v>1.7097145960656712E-2</v>
      </c>
      <c r="I21" s="155">
        <f t="shared" si="2"/>
        <v>0</v>
      </c>
      <c r="J21" s="155">
        <f t="shared" si="3"/>
        <v>0</v>
      </c>
      <c r="K21" s="155">
        <f t="shared" si="4"/>
        <v>1.7000000000000001E-2</v>
      </c>
      <c r="L21" s="155">
        <f t="shared" si="5"/>
        <v>0.4617</v>
      </c>
      <c r="M21" s="156">
        <f t="shared" si="6"/>
        <v>3.6820446177171324</v>
      </c>
      <c r="N21" s="157">
        <f t="shared" si="7"/>
        <v>1.7000000000000001E-2</v>
      </c>
      <c r="O21" s="155">
        <f t="shared" si="8"/>
        <v>100</v>
      </c>
      <c r="P21" s="250">
        <v>1</v>
      </c>
      <c r="Q21" s="250">
        <v>1000</v>
      </c>
      <c r="R21" s="148">
        <f t="shared" si="13"/>
        <v>3.6820446177171324</v>
      </c>
      <c r="S21" s="148">
        <f t="shared" si="14"/>
        <v>3.6820446177171324</v>
      </c>
      <c r="T21" s="148">
        <f t="shared" si="15"/>
        <v>3.6820446177171326E-2</v>
      </c>
      <c r="U21" s="148">
        <f t="shared" si="15"/>
        <v>36.820446177171327</v>
      </c>
      <c r="V21" s="7">
        <f t="shared" si="16"/>
        <v>1000</v>
      </c>
      <c r="W21" s="7">
        <f t="shared" si="16"/>
        <v>1000000</v>
      </c>
      <c r="X21" s="1345">
        <f t="shared" si="17"/>
        <v>36.820446177171327</v>
      </c>
      <c r="Y21" s="1345">
        <f t="shared" si="17"/>
        <v>36820.446177171325</v>
      </c>
    </row>
    <row r="22" spans="1:26" x14ac:dyDescent="0.2">
      <c r="A22" s="213" t="str">
        <f t="shared" ref="A22:B22" si="24">A43</f>
        <v>UBA (D)</v>
      </c>
      <c r="B22" s="502">
        <f t="shared" si="24"/>
        <v>219519</v>
      </c>
      <c r="C22" s="219">
        <f t="shared" ref="C22:D22" si="25">K43/1000</f>
        <v>0.43851999999999997</v>
      </c>
      <c r="D22" s="219">
        <f t="shared" si="25"/>
        <v>8.4999999999999995E-4</v>
      </c>
      <c r="E22" s="219">
        <f t="shared" si="0"/>
        <v>0.43910000000000005</v>
      </c>
      <c r="F22" s="219">
        <f t="shared" si="1"/>
        <v>3.3999999999999998E-3</v>
      </c>
      <c r="G22" s="219">
        <f t="shared" si="11"/>
        <v>5.8000000000008045E-4</v>
      </c>
      <c r="H22" s="219">
        <f t="shared" si="12"/>
        <v>7.0092795635500228E-3</v>
      </c>
      <c r="I22" s="155">
        <f t="shared" si="2"/>
        <v>0</v>
      </c>
      <c r="J22" s="155">
        <f t="shared" si="3"/>
        <v>0</v>
      </c>
      <c r="K22" s="155">
        <f t="shared" si="4"/>
        <v>6.7999999999999996E-3</v>
      </c>
      <c r="L22" s="155">
        <f t="shared" si="5"/>
        <v>0.43851999999999997</v>
      </c>
      <c r="M22" s="156">
        <f t="shared" si="6"/>
        <v>1.5506704369241997</v>
      </c>
      <c r="N22" s="157">
        <f t="shared" si="7"/>
        <v>6.8000000000000005E-3</v>
      </c>
      <c r="O22" s="155">
        <f t="shared" si="8"/>
        <v>100</v>
      </c>
      <c r="P22" s="250">
        <v>1</v>
      </c>
      <c r="Q22" s="250">
        <v>1000</v>
      </c>
      <c r="R22" s="148">
        <f t="shared" si="13"/>
        <v>1.5506704369241997</v>
      </c>
      <c r="S22" s="148">
        <f t="shared" si="14"/>
        <v>1.5506704369241997</v>
      </c>
      <c r="T22" s="148">
        <f t="shared" si="15"/>
        <v>1.5506704369241998E-2</v>
      </c>
      <c r="U22" s="148">
        <f t="shared" si="15"/>
        <v>15.506704369241998</v>
      </c>
      <c r="V22" s="7">
        <f t="shared" si="16"/>
        <v>1000</v>
      </c>
      <c r="W22" s="7">
        <f t="shared" si="16"/>
        <v>1000000</v>
      </c>
      <c r="X22" s="1345">
        <f t="shared" si="17"/>
        <v>15.506704369241998</v>
      </c>
      <c r="Y22" s="1345">
        <f t="shared" si="17"/>
        <v>15506.704369241997</v>
      </c>
    </row>
    <row r="23" spans="1:26" x14ac:dyDescent="0.2">
      <c r="A23" s="213" t="str">
        <f t="shared" ref="A23:B23" si="26">A44</f>
        <v>GUM</v>
      </c>
      <c r="B23" s="502">
        <f t="shared" si="26"/>
        <v>219520</v>
      </c>
      <c r="C23" s="219">
        <f t="shared" ref="C23:D23" si="27">K44/1000</f>
        <v>0.43036000000000002</v>
      </c>
      <c r="D23" s="219">
        <f t="shared" si="27"/>
        <v>1.17E-3</v>
      </c>
      <c r="E23" s="219">
        <f t="shared" si="0"/>
        <v>0.43939999999999996</v>
      </c>
      <c r="F23" s="219">
        <f t="shared" si="1"/>
        <v>4.4000000000000003E-3</v>
      </c>
      <c r="G23" s="219">
        <f t="shared" si="11"/>
        <v>9.039999999999937E-3</v>
      </c>
      <c r="H23" s="219">
        <f t="shared" si="12"/>
        <v>9.105800349227958E-3</v>
      </c>
      <c r="I23" s="155">
        <f t="shared" si="2"/>
        <v>0</v>
      </c>
      <c r="J23" s="155">
        <f t="shared" si="3"/>
        <v>0</v>
      </c>
      <c r="K23" s="155">
        <f t="shared" si="4"/>
        <v>8.8000000000000005E-3</v>
      </c>
      <c r="L23" s="155">
        <f t="shared" si="5"/>
        <v>0.43036000000000002</v>
      </c>
      <c r="M23" s="156">
        <f t="shared" si="6"/>
        <v>2.0447997025745885</v>
      </c>
      <c r="N23" s="157">
        <f t="shared" si="7"/>
        <v>8.8000000000000005E-3</v>
      </c>
      <c r="O23" s="155">
        <f t="shared" si="8"/>
        <v>100</v>
      </c>
      <c r="P23" s="250">
        <v>1</v>
      </c>
      <c r="Q23" s="250">
        <v>1000</v>
      </c>
      <c r="R23" s="148">
        <f t="shared" si="13"/>
        <v>2.0447997025745885</v>
      </c>
      <c r="S23" s="148">
        <f t="shared" si="14"/>
        <v>2.0447997025745885</v>
      </c>
      <c r="T23" s="148">
        <f t="shared" si="15"/>
        <v>2.0447997025745887E-2</v>
      </c>
      <c r="U23" s="148">
        <f t="shared" si="15"/>
        <v>20.447997025745885</v>
      </c>
      <c r="V23" s="7">
        <f t="shared" si="16"/>
        <v>1000</v>
      </c>
      <c r="W23" s="7">
        <f t="shared" si="16"/>
        <v>1000000</v>
      </c>
      <c r="X23" s="1345">
        <f t="shared" si="17"/>
        <v>20.447997025745888</v>
      </c>
      <c r="Y23" s="1345">
        <f t="shared" si="17"/>
        <v>20447.997025745884</v>
      </c>
    </row>
    <row r="24" spans="1:26" x14ac:dyDescent="0.2">
      <c r="A24" s="213" t="str">
        <f t="shared" ref="A24:B24" si="28">A45</f>
        <v>BEV/EAA</v>
      </c>
      <c r="B24" s="502">
        <f t="shared" si="28"/>
        <v>219522</v>
      </c>
      <c r="C24" s="219">
        <f t="shared" ref="C24:D24" si="29">K45/1000</f>
        <v>0.45316000000000001</v>
      </c>
      <c r="D24" s="219">
        <f t="shared" si="29"/>
        <v>9.3000000000000005E-4</v>
      </c>
      <c r="E24" s="219">
        <f t="shared" si="0"/>
        <v>0.45530000000000004</v>
      </c>
      <c r="F24" s="219">
        <f t="shared" si="1"/>
        <v>4.3499999999999997E-3</v>
      </c>
      <c r="G24" s="219">
        <f t="shared" si="11"/>
        <v>2.1400000000000308E-3</v>
      </c>
      <c r="H24" s="219">
        <f t="shared" si="12"/>
        <v>8.8966060944609647E-3</v>
      </c>
      <c r="I24" s="155">
        <f t="shared" si="2"/>
        <v>0</v>
      </c>
      <c r="J24" s="155">
        <f t="shared" si="3"/>
        <v>0</v>
      </c>
      <c r="K24" s="155">
        <f t="shared" si="4"/>
        <v>8.6999999999999994E-3</v>
      </c>
      <c r="L24" s="155">
        <f t="shared" si="5"/>
        <v>0.45316000000000001</v>
      </c>
      <c r="M24" s="156">
        <f t="shared" si="6"/>
        <v>1.9198517080060022</v>
      </c>
      <c r="N24" s="157">
        <f t="shared" si="7"/>
        <v>8.6999999999999994E-3</v>
      </c>
      <c r="O24" s="155">
        <f t="shared" si="8"/>
        <v>100</v>
      </c>
      <c r="P24" s="250">
        <v>1</v>
      </c>
      <c r="Q24" s="250">
        <v>1000</v>
      </c>
      <c r="R24" s="148">
        <f t="shared" si="13"/>
        <v>1.9198517080060022</v>
      </c>
      <c r="S24" s="148">
        <f t="shared" si="14"/>
        <v>1.9198517080060022</v>
      </c>
      <c r="T24" s="148">
        <f t="shared" si="15"/>
        <v>1.9198517080060023E-2</v>
      </c>
      <c r="U24" s="148">
        <f t="shared" si="15"/>
        <v>19.198517080060025</v>
      </c>
      <c r="V24" s="7">
        <f t="shared" si="16"/>
        <v>1000</v>
      </c>
      <c r="W24" s="7">
        <f t="shared" si="16"/>
        <v>1000000</v>
      </c>
      <c r="X24" s="1345">
        <f t="shared" si="17"/>
        <v>19.198517080060022</v>
      </c>
      <c r="Y24" s="1345">
        <f t="shared" si="17"/>
        <v>19198.517080060024</v>
      </c>
    </row>
    <row r="25" spans="1:26" x14ac:dyDescent="0.2">
      <c r="A25" s="213" t="str">
        <f t="shared" ref="A25:B25" si="30">A46</f>
        <v>METAS</v>
      </c>
      <c r="B25" s="502">
        <f t="shared" si="30"/>
        <v>219523</v>
      </c>
      <c r="C25" s="219">
        <f t="shared" ref="C25:D25" si="31">K46/1000</f>
        <v>0.45524000000000003</v>
      </c>
      <c r="D25" s="219">
        <f t="shared" si="31"/>
        <v>8.3000000000000001E-4</v>
      </c>
      <c r="E25" s="219">
        <f t="shared" si="0"/>
        <v>0.45750000000000002</v>
      </c>
      <c r="F25" s="219">
        <f t="shared" si="1"/>
        <v>1E-3</v>
      </c>
      <c r="G25" s="219">
        <f t="shared" si="11"/>
        <v>2.2599999999999842E-3</v>
      </c>
      <c r="H25" s="219">
        <f t="shared" si="12"/>
        <v>2.5991537084212625E-3</v>
      </c>
      <c r="I25" s="155">
        <f t="shared" si="2"/>
        <v>0</v>
      </c>
      <c r="J25" s="155">
        <f t="shared" si="3"/>
        <v>0</v>
      </c>
      <c r="K25" s="155">
        <f t="shared" si="4"/>
        <v>2E-3</v>
      </c>
      <c r="L25" s="155">
        <f t="shared" si="5"/>
        <v>0.45524000000000003</v>
      </c>
      <c r="M25" s="156">
        <f t="shared" si="6"/>
        <v>0.43932870573763283</v>
      </c>
      <c r="N25" s="157">
        <f t="shared" si="7"/>
        <v>2E-3</v>
      </c>
      <c r="O25" s="155">
        <f t="shared" si="8"/>
        <v>100</v>
      </c>
      <c r="P25" s="250">
        <v>1</v>
      </c>
      <c r="Q25" s="250">
        <v>1000</v>
      </c>
      <c r="R25" s="148">
        <f t="shared" si="13"/>
        <v>0.43932870573763283</v>
      </c>
      <c r="S25" s="148">
        <f t="shared" si="14"/>
        <v>0.43932870573763283</v>
      </c>
      <c r="T25" s="148">
        <f t="shared" si="15"/>
        <v>4.3932870573763286E-3</v>
      </c>
      <c r="U25" s="148">
        <f t="shared" si="15"/>
        <v>4.3932870573763285</v>
      </c>
      <c r="V25" s="7">
        <f t="shared" si="16"/>
        <v>1000</v>
      </c>
      <c r="W25" s="7">
        <f t="shared" si="16"/>
        <v>1000000</v>
      </c>
      <c r="X25" s="1345">
        <f t="shared" si="17"/>
        <v>4.3932870573763285</v>
      </c>
      <c r="Y25" s="1345">
        <f t="shared" si="17"/>
        <v>4393.2870573763284</v>
      </c>
    </row>
    <row r="26" spans="1:26" x14ac:dyDescent="0.2">
      <c r="A26" s="213" t="str">
        <f t="shared" ref="A26:B26" si="32">A47</f>
        <v>FMI</v>
      </c>
      <c r="B26" s="502">
        <f t="shared" si="32"/>
        <v>219524</v>
      </c>
      <c r="C26" s="219">
        <f t="shared" ref="C26:D26" si="33">K47/1000</f>
        <v>0.44060000000000005</v>
      </c>
      <c r="D26" s="219">
        <f t="shared" si="33"/>
        <v>9.3999999999999997E-4</v>
      </c>
      <c r="E26" s="219">
        <f t="shared" si="0"/>
        <v>0.45039999999999997</v>
      </c>
      <c r="F26" s="219">
        <f t="shared" si="1"/>
        <v>3.3999999999999998E-3</v>
      </c>
      <c r="G26" s="219">
        <f t="shared" si="11"/>
        <v>9.7999999999999199E-3</v>
      </c>
      <c r="H26" s="219">
        <f t="shared" si="12"/>
        <v>7.055097447944996E-3</v>
      </c>
      <c r="I26" s="155">
        <f t="shared" si="2"/>
        <v>1</v>
      </c>
      <c r="J26" s="155">
        <f t="shared" si="3"/>
        <v>9.7999999999999199E-3</v>
      </c>
      <c r="K26" s="155">
        <f t="shared" si="4"/>
        <v>2.0746083967823754E-2</v>
      </c>
      <c r="L26" s="155">
        <f t="shared" si="5"/>
        <v>0.44060000000000005</v>
      </c>
      <c r="M26" s="156">
        <f t="shared" si="6"/>
        <v>4.7085982677766118</v>
      </c>
      <c r="N26" s="157">
        <f t="shared" si="7"/>
        <v>2.0746083967823754E-2</v>
      </c>
      <c r="O26" s="155">
        <f t="shared" si="8"/>
        <v>100</v>
      </c>
      <c r="P26" s="250">
        <v>1</v>
      </c>
      <c r="Q26" s="250">
        <v>1000</v>
      </c>
      <c r="R26" s="148">
        <f t="shared" si="13"/>
        <v>4.7085982677766118</v>
      </c>
      <c r="S26" s="148">
        <f t="shared" si="14"/>
        <v>4.7085982677766118</v>
      </c>
      <c r="T26" s="148">
        <f t="shared" si="15"/>
        <v>4.7085982677766119E-2</v>
      </c>
      <c r="U26" s="148">
        <f t="shared" si="15"/>
        <v>47.085982677766118</v>
      </c>
      <c r="V26" s="7">
        <f t="shared" si="16"/>
        <v>1000</v>
      </c>
      <c r="W26" s="7">
        <f t="shared" si="16"/>
        <v>1000000</v>
      </c>
      <c r="X26" s="1345">
        <f t="shared" si="17"/>
        <v>47.085982677766118</v>
      </c>
      <c r="Y26" s="1345">
        <f t="shared" si="17"/>
        <v>47085.982677766122</v>
      </c>
    </row>
    <row r="27" spans="1:26" x14ac:dyDescent="0.2">
      <c r="A27" s="213" t="str">
        <f t="shared" ref="A27:B27" si="34">A48</f>
        <v>LNE</v>
      </c>
      <c r="B27" s="502">
        <f t="shared" si="34"/>
        <v>219529</v>
      </c>
      <c r="C27" s="219">
        <f t="shared" ref="C27:D27" si="35">K48/1000</f>
        <v>0.44552999999999998</v>
      </c>
      <c r="D27" s="219">
        <f t="shared" si="35"/>
        <v>8.4999999999999995E-4</v>
      </c>
      <c r="E27" s="219">
        <f t="shared" si="0"/>
        <v>0.44319999999999998</v>
      </c>
      <c r="F27" s="219">
        <f t="shared" si="1"/>
        <v>2.2499999999999998E-3</v>
      </c>
      <c r="G27" s="219">
        <f t="shared" si="11"/>
        <v>-2.3299999999999987E-3</v>
      </c>
      <c r="H27" s="219">
        <f t="shared" si="12"/>
        <v>4.8104053883222773E-3</v>
      </c>
      <c r="I27" s="155">
        <f t="shared" si="2"/>
        <v>0</v>
      </c>
      <c r="J27" s="155">
        <f t="shared" si="3"/>
        <v>0</v>
      </c>
      <c r="K27" s="155">
        <f t="shared" si="4"/>
        <v>4.4999999999999997E-3</v>
      </c>
      <c r="L27" s="155">
        <f t="shared" si="5"/>
        <v>0.44552999999999998</v>
      </c>
      <c r="M27" s="156">
        <f t="shared" si="6"/>
        <v>1.0100329944111508</v>
      </c>
      <c r="N27" s="157">
        <f t="shared" si="7"/>
        <v>4.5000000000000005E-3</v>
      </c>
      <c r="O27" s="155">
        <f t="shared" si="8"/>
        <v>100</v>
      </c>
      <c r="P27" s="250">
        <v>1</v>
      </c>
      <c r="Q27" s="250">
        <v>1000</v>
      </c>
      <c r="R27" s="148">
        <f t="shared" si="13"/>
        <v>1.0100329944111508</v>
      </c>
      <c r="S27" s="148">
        <f t="shared" si="14"/>
        <v>1.0100329944111508</v>
      </c>
      <c r="T27" s="148">
        <f t="shared" si="15"/>
        <v>1.0100329944111508E-2</v>
      </c>
      <c r="U27" s="148">
        <f t="shared" si="15"/>
        <v>10.100329944111508</v>
      </c>
      <c r="V27" s="7">
        <f t="shared" si="16"/>
        <v>1000</v>
      </c>
      <c r="W27" s="7">
        <f t="shared" si="16"/>
        <v>1000000</v>
      </c>
      <c r="X27" s="1345">
        <f t="shared" si="17"/>
        <v>10.100329944111508</v>
      </c>
      <c r="Y27" s="1345">
        <f t="shared" si="17"/>
        <v>10100.329944111507</v>
      </c>
    </row>
    <row r="28" spans="1:26" x14ac:dyDescent="0.2">
      <c r="A28" s="213" t="str">
        <f t="shared" ref="A28:B28" si="36">A49</f>
        <v>BAM</v>
      </c>
      <c r="B28" s="502">
        <f t="shared" si="36"/>
        <v>219530</v>
      </c>
      <c r="C28" s="219">
        <f t="shared" ref="C28:D28" si="37">K49/1000</f>
        <v>0.43801999999999996</v>
      </c>
      <c r="D28" s="219">
        <f t="shared" si="37"/>
        <v>8.1999999999999998E-4</v>
      </c>
      <c r="E28" s="219">
        <f t="shared" si="0"/>
        <v>0.4355</v>
      </c>
      <c r="F28" s="219">
        <f t="shared" si="1"/>
        <v>6.7999999999999996E-3</v>
      </c>
      <c r="G28" s="219">
        <f t="shared" si="11"/>
        <v>-2.5199999999999667E-3</v>
      </c>
      <c r="H28" s="219">
        <f t="shared" si="12"/>
        <v>1.3698525468093272E-2</v>
      </c>
      <c r="I28" s="155">
        <f t="shared" si="2"/>
        <v>0</v>
      </c>
      <c r="J28" s="155">
        <f t="shared" si="3"/>
        <v>0</v>
      </c>
      <c r="K28" s="155">
        <f t="shared" si="4"/>
        <v>1.3599999999999999E-2</v>
      </c>
      <c r="L28" s="155">
        <f t="shared" si="5"/>
        <v>0.43801999999999996</v>
      </c>
      <c r="M28" s="156">
        <f t="shared" si="6"/>
        <v>3.104881055659559</v>
      </c>
      <c r="N28" s="157">
        <f t="shared" si="7"/>
        <v>1.3599999999999999E-2</v>
      </c>
      <c r="O28" s="155">
        <f t="shared" si="8"/>
        <v>100</v>
      </c>
      <c r="P28" s="250">
        <v>1</v>
      </c>
      <c r="Q28" s="250">
        <v>1000</v>
      </c>
      <c r="R28" s="148">
        <f t="shared" si="13"/>
        <v>3.104881055659559</v>
      </c>
      <c r="S28" s="148">
        <f t="shared" si="14"/>
        <v>3.104881055659559</v>
      </c>
      <c r="T28" s="148">
        <f t="shared" si="15"/>
        <v>3.1048810556595589E-2</v>
      </c>
      <c r="U28" s="148">
        <f t="shared" si="15"/>
        <v>31.048810556595591</v>
      </c>
      <c r="V28" s="7">
        <f t="shared" si="16"/>
        <v>1000</v>
      </c>
      <c r="W28" s="7">
        <f t="shared" si="16"/>
        <v>1000000</v>
      </c>
      <c r="X28" s="1345">
        <f t="shared" si="17"/>
        <v>31.048810556595587</v>
      </c>
      <c r="Y28" s="1345">
        <f t="shared" si="17"/>
        <v>31048.810556595592</v>
      </c>
    </row>
    <row r="29" spans="1:26" x14ac:dyDescent="0.2">
      <c r="A29" s="213" t="str">
        <f t="shared" ref="A29:B29" si="38">A50</f>
        <v>CHMI</v>
      </c>
      <c r="B29" s="502">
        <f t="shared" si="38"/>
        <v>221863</v>
      </c>
      <c r="C29" s="219">
        <f t="shared" ref="C29:D29" si="39">K50/1000</f>
        <v>0.46631</v>
      </c>
      <c r="D29" s="219">
        <f t="shared" si="39"/>
        <v>8.7000000000000001E-4</v>
      </c>
      <c r="E29" s="219">
        <f t="shared" si="0"/>
        <v>0.46960000000000002</v>
      </c>
      <c r="F29" s="219">
        <f t="shared" si="1"/>
        <v>2E-3</v>
      </c>
      <c r="G29" s="219">
        <f t="shared" si="11"/>
        <v>3.2900000000000151E-3</v>
      </c>
      <c r="H29" s="219">
        <f t="shared" si="12"/>
        <v>4.3620637317673388E-3</v>
      </c>
      <c r="I29" s="155">
        <f t="shared" si="2"/>
        <v>0</v>
      </c>
      <c r="J29" s="155">
        <f t="shared" si="3"/>
        <v>0</v>
      </c>
      <c r="K29" s="155">
        <f t="shared" si="4"/>
        <v>4.0000000000000001E-3</v>
      </c>
      <c r="L29" s="155">
        <f t="shared" si="5"/>
        <v>0.46631</v>
      </c>
      <c r="M29" s="156">
        <f t="shared" si="6"/>
        <v>0.85779846025176387</v>
      </c>
      <c r="N29" s="157">
        <f t="shared" si="7"/>
        <v>4.0000000000000001E-3</v>
      </c>
      <c r="O29" s="155">
        <f t="shared" si="8"/>
        <v>100</v>
      </c>
      <c r="P29" s="250">
        <v>1</v>
      </c>
      <c r="Q29" s="250">
        <v>1000</v>
      </c>
      <c r="R29" s="148">
        <f t="shared" si="13"/>
        <v>0.85779846025176387</v>
      </c>
      <c r="S29" s="148">
        <f t="shared" si="14"/>
        <v>0.85779846025176387</v>
      </c>
      <c r="T29" s="148">
        <f t="shared" si="15"/>
        <v>8.5779846025176385E-3</v>
      </c>
      <c r="U29" s="148">
        <f t="shared" si="15"/>
        <v>8.5779846025176401</v>
      </c>
      <c r="V29" s="7">
        <f t="shared" si="16"/>
        <v>1000</v>
      </c>
      <c r="W29" s="7">
        <f t="shared" si="16"/>
        <v>1000000</v>
      </c>
      <c r="X29" s="1345">
        <f t="shared" si="17"/>
        <v>8.5779846025176383</v>
      </c>
      <c r="Y29" s="1345">
        <f t="shared" si="17"/>
        <v>8577.9846025176394</v>
      </c>
    </row>
    <row r="30" spans="1:26" x14ac:dyDescent="0.2">
      <c r="A30" s="213" t="str">
        <f t="shared" ref="A30:B30" si="40">A51</f>
        <v>SMU</v>
      </c>
      <c r="B30" s="502">
        <f t="shared" si="40"/>
        <v>221864</v>
      </c>
      <c r="C30" s="219">
        <f t="shared" ref="C30:D30" si="41">K51/1000</f>
        <v>0.42720999999999998</v>
      </c>
      <c r="D30" s="219">
        <f t="shared" si="41"/>
        <v>8.1000000000000006E-4</v>
      </c>
      <c r="E30" s="219">
        <f t="shared" si="0"/>
        <v>0.45439999999999997</v>
      </c>
      <c r="F30" s="219">
        <f t="shared" si="1"/>
        <v>5.7999999999999996E-3</v>
      </c>
      <c r="G30" s="219">
        <f t="shared" si="11"/>
        <v>2.7189999999999992E-2</v>
      </c>
      <c r="H30" s="219">
        <f t="shared" si="12"/>
        <v>1.1712574439464621E-2</v>
      </c>
      <c r="I30" s="155">
        <f t="shared" si="2"/>
        <v>1</v>
      </c>
      <c r="J30" s="155">
        <f t="shared" si="3"/>
        <v>2.7189999999999992E-2</v>
      </c>
      <c r="K30" s="155">
        <f t="shared" si="4"/>
        <v>5.5603456727077664E-2</v>
      </c>
      <c r="L30" s="155">
        <f t="shared" si="5"/>
        <v>0.42720999999999998</v>
      </c>
      <c r="M30" s="156">
        <f t="shared" si="6"/>
        <v>13.015485762757816</v>
      </c>
      <c r="N30" s="157">
        <f t="shared" si="7"/>
        <v>5.5603456727077664E-2</v>
      </c>
      <c r="O30" s="155">
        <f t="shared" si="8"/>
        <v>100</v>
      </c>
      <c r="P30" s="250">
        <v>1</v>
      </c>
      <c r="Q30" s="250">
        <v>1000</v>
      </c>
      <c r="R30" s="148">
        <f t="shared" si="13"/>
        <v>13.015485762757816</v>
      </c>
      <c r="S30" s="148">
        <f t="shared" si="14"/>
        <v>13.015485762757816</v>
      </c>
      <c r="T30" s="148">
        <f t="shared" si="15"/>
        <v>0.13015485762757817</v>
      </c>
      <c r="U30" s="148">
        <f t="shared" si="15"/>
        <v>130.15485762757817</v>
      </c>
      <c r="V30" s="7">
        <f t="shared" si="16"/>
        <v>1000</v>
      </c>
      <c r="W30" s="7">
        <f t="shared" si="16"/>
        <v>1000000</v>
      </c>
      <c r="X30" s="1345">
        <f t="shared" si="17"/>
        <v>130.15485762757817</v>
      </c>
      <c r="Y30" s="1345">
        <f t="shared" si="17"/>
        <v>130154.85762757817</v>
      </c>
    </row>
    <row r="31" spans="1:26" x14ac:dyDescent="0.2">
      <c r="A31" s="213" t="str">
        <f t="shared" ref="A31:B31" si="42">A52</f>
        <v>INRIM</v>
      </c>
      <c r="B31" s="502">
        <f t="shared" si="42"/>
        <v>221882</v>
      </c>
      <c r="C31" s="219">
        <f t="shared" ref="C31:D31" si="43">K52/1000</f>
        <v>0.45768000000000003</v>
      </c>
      <c r="D31" s="219">
        <f t="shared" si="43"/>
        <v>8.7000000000000001E-4</v>
      </c>
      <c r="E31" s="219">
        <f t="shared" si="0"/>
        <v>0.47770000000000001</v>
      </c>
      <c r="F31" s="219">
        <f t="shared" si="1"/>
        <v>4.0000000000000001E-3</v>
      </c>
      <c r="G31" s="219">
        <f t="shared" si="11"/>
        <v>2.0019999999999982E-2</v>
      </c>
      <c r="H31" s="219">
        <f t="shared" si="12"/>
        <v>8.1870385366138339E-3</v>
      </c>
      <c r="I31" s="155">
        <f t="shared" si="2"/>
        <v>1</v>
      </c>
      <c r="J31" s="155">
        <f t="shared" si="3"/>
        <v>2.0019999999999982E-2</v>
      </c>
      <c r="K31" s="155">
        <f t="shared" si="4"/>
        <v>4.0831380089338121E-2</v>
      </c>
      <c r="L31" s="155">
        <f t="shared" si="5"/>
        <v>0.45768000000000003</v>
      </c>
      <c r="M31" s="156">
        <f t="shared" si="6"/>
        <v>8.9213817709618333</v>
      </c>
      <c r="N31" s="157">
        <f t="shared" si="7"/>
        <v>4.0831380089338121E-2</v>
      </c>
      <c r="O31" s="155">
        <f t="shared" si="8"/>
        <v>100</v>
      </c>
      <c r="P31" s="250">
        <v>1</v>
      </c>
      <c r="Q31" s="250">
        <v>1000</v>
      </c>
      <c r="R31" s="148">
        <f t="shared" si="13"/>
        <v>8.9213817709618333</v>
      </c>
      <c r="S31" s="148">
        <f t="shared" si="14"/>
        <v>8.9213817709618333</v>
      </c>
      <c r="T31" s="148">
        <f t="shared" si="15"/>
        <v>8.9213817709618337E-2</v>
      </c>
      <c r="U31" s="148">
        <f t="shared" si="15"/>
        <v>89.213817709618326</v>
      </c>
      <c r="V31" s="7">
        <f t="shared" si="16"/>
        <v>1000</v>
      </c>
      <c r="W31" s="7">
        <f t="shared" si="16"/>
        <v>1000000</v>
      </c>
      <c r="X31" s="1345">
        <f t="shared" si="17"/>
        <v>89.21381770961834</v>
      </c>
      <c r="Y31" s="1345">
        <f t="shared" si="17"/>
        <v>89213.817709618321</v>
      </c>
    </row>
    <row r="32" spans="1:26" ht="14.25" x14ac:dyDescent="0.2">
      <c r="H32" s="9"/>
      <c r="U32" s="152"/>
      <c r="V32" s="21"/>
      <c r="W32" s="21"/>
      <c r="X32" s="21"/>
      <c r="Y32" s="21"/>
      <c r="Z32" s="21"/>
    </row>
    <row r="33" spans="1:26" ht="14.25" x14ac:dyDescent="0.2">
      <c r="H33" s="9"/>
      <c r="U33" s="152"/>
      <c r="V33" s="21"/>
      <c r="W33" s="21"/>
      <c r="X33" s="21"/>
      <c r="Y33" s="21"/>
      <c r="Z33" s="21"/>
    </row>
    <row r="34" spans="1:26" ht="14.25" x14ac:dyDescent="0.2">
      <c r="H34" s="9"/>
      <c r="V34" s="21"/>
      <c r="W34" s="21"/>
      <c r="X34" s="21"/>
      <c r="Y34" s="21"/>
      <c r="Z34" s="21"/>
    </row>
    <row r="35" spans="1:26" ht="14.25" x14ac:dyDescent="0.2">
      <c r="A35" s="227"/>
      <c r="B35" s="227"/>
      <c r="C35" s="227"/>
      <c r="D35" s="226" t="s">
        <v>1424</v>
      </c>
      <c r="E35" s="227"/>
      <c r="H35" s="9"/>
      <c r="X35" s="21"/>
      <c r="Y35" s="21"/>
      <c r="Z35" s="21"/>
    </row>
    <row r="36" spans="1:26" s="227" customFormat="1" ht="15" x14ac:dyDescent="0.2">
      <c r="A36" s="1448" t="s">
        <v>1425</v>
      </c>
      <c r="B36" s="1450" t="s">
        <v>1426</v>
      </c>
      <c r="C36" s="1450" t="s">
        <v>1427</v>
      </c>
      <c r="D36" s="1450" t="s">
        <v>1428</v>
      </c>
      <c r="E36" s="1450" t="s">
        <v>1429</v>
      </c>
      <c r="H36" s="226" t="s">
        <v>1418</v>
      </c>
    </row>
    <row r="37" spans="1:26" s="227" customFormat="1" ht="51" customHeight="1" x14ac:dyDescent="0.2">
      <c r="A37" s="1449"/>
      <c r="B37" s="1451"/>
      <c r="C37" s="1452"/>
      <c r="D37" s="1451"/>
      <c r="E37" s="1451"/>
      <c r="F37" s="744"/>
      <c r="H37" s="1304" t="s">
        <v>1419</v>
      </c>
      <c r="I37" s="1278" t="s">
        <v>1420</v>
      </c>
      <c r="J37" s="1278" t="s">
        <v>1421</v>
      </c>
      <c r="K37" s="1278" t="s">
        <v>1422</v>
      </c>
      <c r="L37" s="1279" t="s">
        <v>1423</v>
      </c>
    </row>
    <row r="38" spans="1:26" s="227" customFormat="1" x14ac:dyDescent="0.2">
      <c r="A38" s="411" t="s">
        <v>1430</v>
      </c>
      <c r="B38" s="1300">
        <v>219509</v>
      </c>
      <c r="C38" s="1291">
        <v>41055</v>
      </c>
      <c r="D38" s="1292">
        <v>431.6</v>
      </c>
      <c r="E38" s="1293">
        <v>3.6</v>
      </c>
      <c r="F38" s="1283"/>
      <c r="H38" s="1305">
        <v>219509</v>
      </c>
      <c r="I38" s="1280">
        <v>-1.7049999999999999E-2</v>
      </c>
      <c r="J38" s="1281">
        <v>4.8500000000000001E-3</v>
      </c>
      <c r="K38" s="1282">
        <v>434.38</v>
      </c>
      <c r="L38" s="1306">
        <v>0.85</v>
      </c>
    </row>
    <row r="39" spans="1:26" s="227" customFormat="1" x14ac:dyDescent="0.2">
      <c r="A39" s="411" t="s">
        <v>1431</v>
      </c>
      <c r="B39" s="1301">
        <v>219515</v>
      </c>
      <c r="C39" s="1291">
        <v>41088</v>
      </c>
      <c r="D39" s="1293">
        <v>444.1</v>
      </c>
      <c r="E39" s="1293">
        <v>4.5</v>
      </c>
      <c r="F39" s="1283"/>
      <c r="H39" s="1307">
        <v>219515</v>
      </c>
      <c r="I39" s="1285">
        <v>-1.405E-2</v>
      </c>
      <c r="J39" s="1283">
        <v>4.1200000000000004E-3</v>
      </c>
      <c r="K39" s="1284">
        <v>444.5</v>
      </c>
      <c r="L39" s="1308">
        <v>0.77</v>
      </c>
    </row>
    <row r="40" spans="1:26" s="227" customFormat="1" ht="25.5" x14ac:dyDescent="0.2">
      <c r="A40" s="411" t="s">
        <v>1432</v>
      </c>
      <c r="B40" s="1300">
        <v>219516</v>
      </c>
      <c r="C40" s="411" t="s">
        <v>1433</v>
      </c>
      <c r="D40" s="1293">
        <v>447.3</v>
      </c>
      <c r="E40" s="1293">
        <v>12.8</v>
      </c>
      <c r="F40" s="1283"/>
      <c r="H40" s="1307">
        <v>219516</v>
      </c>
      <c r="I40" s="1285">
        <v>-3.6729999999999999E-2</v>
      </c>
      <c r="J40" s="1283">
        <v>5.5799999999999999E-3</v>
      </c>
      <c r="K40" s="1284">
        <v>442.32</v>
      </c>
      <c r="L40" s="1309">
        <v>1.1100000000000001</v>
      </c>
    </row>
    <row r="41" spans="1:26" s="227" customFormat="1" x14ac:dyDescent="0.2">
      <c r="A41" s="411" t="s">
        <v>1434</v>
      </c>
      <c r="B41" s="1300">
        <v>219517</v>
      </c>
      <c r="C41" s="1294">
        <v>41005</v>
      </c>
      <c r="D41" s="1293">
        <v>442.9</v>
      </c>
      <c r="E41" s="1293">
        <v>5.6</v>
      </c>
      <c r="F41" s="1283"/>
      <c r="H41" s="1307">
        <v>219517</v>
      </c>
      <c r="I41" s="1283">
        <v>-1.468E-2</v>
      </c>
      <c r="J41" s="1283">
        <v>6.1500000000000001E-3</v>
      </c>
      <c r="K41" s="1284">
        <v>437.23</v>
      </c>
      <c r="L41" s="1308">
        <v>0.98</v>
      </c>
    </row>
    <row r="42" spans="1:26" s="227" customFormat="1" x14ac:dyDescent="0.2">
      <c r="A42" s="411" t="s">
        <v>1435</v>
      </c>
      <c r="B42" s="1300">
        <v>219518</v>
      </c>
      <c r="C42" s="1291">
        <v>41036</v>
      </c>
      <c r="D42" s="1293">
        <v>468.4</v>
      </c>
      <c r="E42" s="1293">
        <v>17</v>
      </c>
      <c r="F42" s="1283"/>
      <c r="H42" s="1307">
        <v>219518</v>
      </c>
      <c r="I42" s="1283">
        <v>-4.9970000000000001E-2</v>
      </c>
      <c r="J42" s="1283">
        <v>4.7299999999999998E-3</v>
      </c>
      <c r="K42" s="1284">
        <v>461.7</v>
      </c>
      <c r="L42" s="1308">
        <v>0.91</v>
      </c>
    </row>
    <row r="43" spans="1:26" s="227" customFormat="1" x14ac:dyDescent="0.2">
      <c r="A43" s="411" t="s">
        <v>1436</v>
      </c>
      <c r="B43" s="1300">
        <v>219519</v>
      </c>
      <c r="C43" s="1291">
        <v>41024</v>
      </c>
      <c r="D43" s="1292">
        <v>439.1</v>
      </c>
      <c r="E43" s="1293">
        <v>6.8</v>
      </c>
      <c r="F43" s="1283"/>
      <c r="H43" s="1307">
        <v>219519</v>
      </c>
      <c r="I43" s="1285">
        <v>-1.8249999999999999E-2</v>
      </c>
      <c r="J43" s="1283">
        <v>5.13E-3</v>
      </c>
      <c r="K43" s="1286">
        <v>438.52</v>
      </c>
      <c r="L43" s="1308">
        <v>0.85</v>
      </c>
    </row>
    <row r="44" spans="1:26" s="227" customFormat="1" ht="25.5" x14ac:dyDescent="0.2">
      <c r="A44" s="411" t="s">
        <v>1437</v>
      </c>
      <c r="B44" s="1302">
        <v>219520</v>
      </c>
      <c r="C44" s="411" t="s">
        <v>1438</v>
      </c>
      <c r="D44" s="1292">
        <v>439.4</v>
      </c>
      <c r="E44" s="1293">
        <v>8.8000000000000007</v>
      </c>
      <c r="F44" s="1283"/>
      <c r="H44" s="1307">
        <v>219520</v>
      </c>
      <c r="I44" s="1285">
        <v>-5.5100000000000001E-3</v>
      </c>
      <c r="J44" s="1283">
        <v>7.0000000000000001E-3</v>
      </c>
      <c r="K44" s="1284">
        <v>430.36</v>
      </c>
      <c r="L44" s="622">
        <v>1.17</v>
      </c>
    </row>
    <row r="45" spans="1:26" s="227" customFormat="1" ht="25.5" x14ac:dyDescent="0.2">
      <c r="A45" s="411" t="s">
        <v>1439</v>
      </c>
      <c r="B45" s="1300">
        <v>219522</v>
      </c>
      <c r="C45" s="1294">
        <v>41043</v>
      </c>
      <c r="D45" s="1293">
        <v>455.3</v>
      </c>
      <c r="E45" s="1293">
        <v>8.6999999999999993</v>
      </c>
      <c r="F45" s="1283"/>
      <c r="H45" s="1307">
        <v>219522</v>
      </c>
      <c r="I45" s="1285">
        <v>-4.4609999999999997E-2</v>
      </c>
      <c r="J45" s="1283">
        <v>5.2500000000000003E-3</v>
      </c>
      <c r="K45" s="1284">
        <v>453.16</v>
      </c>
      <c r="L45" s="1308">
        <v>0.93</v>
      </c>
    </row>
    <row r="46" spans="1:26" s="227" customFormat="1" x14ac:dyDescent="0.2">
      <c r="A46" s="411" t="s">
        <v>1440</v>
      </c>
      <c r="B46" s="1300">
        <v>219523</v>
      </c>
      <c r="C46" s="1294">
        <v>41009</v>
      </c>
      <c r="D46" s="1293">
        <v>457.5</v>
      </c>
      <c r="E46" s="1293">
        <v>2</v>
      </c>
      <c r="F46" s="1283"/>
      <c r="H46" s="1307">
        <v>219523</v>
      </c>
      <c r="I46" s="1285">
        <v>-4.342E-2</v>
      </c>
      <c r="J46" s="1283">
        <v>4.6600000000000001E-3</v>
      </c>
      <c r="K46" s="1284">
        <v>455.24</v>
      </c>
      <c r="L46" s="1308">
        <v>0.83</v>
      </c>
    </row>
    <row r="47" spans="1:26" s="227" customFormat="1" x14ac:dyDescent="0.2">
      <c r="A47" s="1295" t="s">
        <v>1441</v>
      </c>
      <c r="B47" s="1300">
        <v>219524</v>
      </c>
      <c r="C47" s="1291">
        <v>41067</v>
      </c>
      <c r="D47" s="1293">
        <v>450.4</v>
      </c>
      <c r="E47" s="1293">
        <v>6.8</v>
      </c>
      <c r="F47" s="1283"/>
      <c r="H47" s="622">
        <v>219524</v>
      </c>
      <c r="I47" s="1283">
        <v>-2.9360000000000001E-2</v>
      </c>
      <c r="J47" s="1283">
        <v>5.0600000000000003E-3</v>
      </c>
      <c r="K47" s="1284">
        <v>440.6</v>
      </c>
      <c r="L47" s="1308">
        <v>0.94</v>
      </c>
    </row>
    <row r="48" spans="1:26" s="227" customFormat="1" x14ac:dyDescent="0.2">
      <c r="A48" s="411" t="s">
        <v>1442</v>
      </c>
      <c r="B48" s="1300">
        <v>219529</v>
      </c>
      <c r="C48" s="1291">
        <v>41006</v>
      </c>
      <c r="D48" s="1293">
        <v>443.2</v>
      </c>
      <c r="E48" s="1292">
        <v>4.5</v>
      </c>
      <c r="F48" s="1283"/>
      <c r="H48" s="1307">
        <v>219529</v>
      </c>
      <c r="I48" s="411">
        <v>-1.1259999999999999E-2</v>
      </c>
      <c r="J48" s="1283">
        <v>5.0699999999999999E-3</v>
      </c>
      <c r="K48" s="1284">
        <v>445.53</v>
      </c>
      <c r="L48" s="1308">
        <v>0.85</v>
      </c>
    </row>
    <row r="49" spans="1:12" s="227" customFormat="1" x14ac:dyDescent="0.2">
      <c r="A49" s="411" t="s">
        <v>1443</v>
      </c>
      <c r="B49" s="1302">
        <v>219530</v>
      </c>
      <c r="C49" s="1291">
        <v>41067</v>
      </c>
      <c r="D49" s="1293">
        <v>435.5</v>
      </c>
      <c r="E49" s="1293">
        <v>13.6</v>
      </c>
      <c r="F49" s="1283"/>
      <c r="H49" s="1307">
        <v>219530</v>
      </c>
      <c r="I49" s="1285">
        <v>-1.9890000000000001E-2</v>
      </c>
      <c r="J49" s="1283">
        <v>4.8300000000000001E-3</v>
      </c>
      <c r="K49" s="1286">
        <v>438.02</v>
      </c>
      <c r="L49" s="1308">
        <v>0.82</v>
      </c>
    </row>
    <row r="50" spans="1:12" s="227" customFormat="1" x14ac:dyDescent="0.2">
      <c r="A50" s="1295" t="s">
        <v>1444</v>
      </c>
      <c r="B50" s="622">
        <v>221863</v>
      </c>
      <c r="C50" s="1291">
        <v>41014</v>
      </c>
      <c r="D50" s="1293">
        <v>469.6</v>
      </c>
      <c r="E50" s="1293">
        <v>4</v>
      </c>
      <c r="F50" s="1283"/>
      <c r="H50" s="1307">
        <v>221863</v>
      </c>
      <c r="I50" s="1285">
        <v>-3.6459999999999999E-2</v>
      </c>
      <c r="J50" s="1283">
        <v>5.11E-3</v>
      </c>
      <c r="K50" s="1284">
        <v>466.31</v>
      </c>
      <c r="L50" s="1308">
        <v>0.87</v>
      </c>
    </row>
    <row r="51" spans="1:12" s="227" customFormat="1" x14ac:dyDescent="0.2">
      <c r="A51" s="411" t="s">
        <v>1445</v>
      </c>
      <c r="B51" s="1300">
        <v>221864</v>
      </c>
      <c r="C51" s="1291">
        <v>41023</v>
      </c>
      <c r="D51" s="1293">
        <v>454.4</v>
      </c>
      <c r="E51" s="1293">
        <v>11.6</v>
      </c>
      <c r="F51" s="1283"/>
      <c r="H51" s="1307">
        <v>221864</v>
      </c>
      <c r="I51" s="411">
        <v>-1.583E-2</v>
      </c>
      <c r="J51" s="1283">
        <v>4.5599999999999998E-3</v>
      </c>
      <c r="K51" s="1284">
        <v>427.21</v>
      </c>
      <c r="L51" s="1310">
        <v>0.81</v>
      </c>
    </row>
    <row r="52" spans="1:12" s="227" customFormat="1" x14ac:dyDescent="0.2">
      <c r="A52" s="413" t="s">
        <v>1446</v>
      </c>
      <c r="B52" s="1303">
        <v>221882</v>
      </c>
      <c r="C52" s="1296">
        <v>41042</v>
      </c>
      <c r="D52" s="1297">
        <v>477.7</v>
      </c>
      <c r="E52" s="1298">
        <v>8</v>
      </c>
      <c r="F52" s="1283"/>
      <c r="H52" s="1311">
        <v>221882</v>
      </c>
      <c r="I52" s="1287">
        <v>-2.758E-2</v>
      </c>
      <c r="J52" s="1288">
        <v>4.5900000000000003E-3</v>
      </c>
      <c r="K52" s="1289">
        <v>457.68</v>
      </c>
      <c r="L52" s="1312">
        <v>0.87</v>
      </c>
    </row>
    <row r="53" spans="1:12" s="227" customFormat="1" x14ac:dyDescent="0.2"/>
    <row r="54" spans="1:12" s="227" customFormat="1" x14ac:dyDescent="0.2"/>
    <row r="55" spans="1:12" s="227" customFormat="1" x14ac:dyDescent="0.2"/>
    <row r="56" spans="1:12" s="227" customFormat="1" x14ac:dyDescent="0.2"/>
    <row r="57" spans="1:12" s="227" customFormat="1" x14ac:dyDescent="0.2"/>
    <row r="58" spans="1:12" s="227" customFormat="1" x14ac:dyDescent="0.2"/>
    <row r="59" spans="1:12" s="227" customFormat="1" ht="12.75" customHeight="1" x14ac:dyDescent="0.2">
      <c r="F59" s="744"/>
      <c r="G59" s="744"/>
      <c r="H59" s="1290"/>
      <c r="I59" s="1290"/>
      <c r="J59" s="1290"/>
    </row>
    <row r="60" spans="1:12" s="227" customFormat="1" x14ac:dyDescent="0.2">
      <c r="G60" s="1292"/>
      <c r="I60" s="1293"/>
      <c r="J60" s="1293"/>
    </row>
    <row r="61" spans="1:12" s="227" customFormat="1" x14ac:dyDescent="0.2">
      <c r="G61" s="1293"/>
      <c r="I61" s="1293"/>
      <c r="J61" s="1293"/>
    </row>
    <row r="62" spans="1:12" s="227" customFormat="1" x14ac:dyDescent="0.2">
      <c r="G62" s="1293"/>
      <c r="I62" s="1293"/>
      <c r="J62" s="1293"/>
    </row>
    <row r="63" spans="1:12" s="227" customFormat="1" x14ac:dyDescent="0.2">
      <c r="G63" s="1293"/>
      <c r="I63" s="1293"/>
      <c r="J63" s="1293"/>
    </row>
    <row r="64" spans="1:12" s="227" customFormat="1" x14ac:dyDescent="0.2">
      <c r="G64" s="1293"/>
      <c r="I64" s="1293"/>
      <c r="J64" s="1293"/>
    </row>
    <row r="65" spans="7:26" s="227" customFormat="1" x14ac:dyDescent="0.2">
      <c r="G65" s="1292"/>
      <c r="I65" s="1293"/>
      <c r="J65" s="1293"/>
    </row>
    <row r="66" spans="7:26" s="227" customFormat="1" x14ac:dyDescent="0.2">
      <c r="G66" s="1292"/>
      <c r="I66" s="1293"/>
      <c r="J66" s="1293"/>
    </row>
    <row r="67" spans="7:26" s="227" customFormat="1" x14ac:dyDescent="0.2">
      <c r="G67" s="1293"/>
      <c r="I67" s="1293"/>
      <c r="J67" s="1293"/>
    </row>
    <row r="68" spans="7:26" s="227" customFormat="1" x14ac:dyDescent="0.2">
      <c r="G68" s="1293"/>
      <c r="I68" s="1293"/>
      <c r="J68" s="1293"/>
    </row>
    <row r="69" spans="7:26" s="227" customFormat="1" x14ac:dyDescent="0.2">
      <c r="G69" s="1293"/>
      <c r="I69" s="1293"/>
      <c r="J69" s="1293"/>
    </row>
    <row r="70" spans="7:26" s="227" customFormat="1" x14ac:dyDescent="0.2">
      <c r="G70" s="1293"/>
      <c r="I70" s="1292"/>
      <c r="J70" s="1292"/>
    </row>
    <row r="71" spans="7:26" s="227" customFormat="1" x14ac:dyDescent="0.2">
      <c r="G71" s="1293"/>
      <c r="I71" s="1293"/>
      <c r="J71" s="1293"/>
    </row>
    <row r="72" spans="7:26" s="227" customFormat="1" x14ac:dyDescent="0.2">
      <c r="G72" s="1293"/>
      <c r="I72" s="1293"/>
      <c r="J72" s="1293"/>
    </row>
    <row r="73" spans="7:26" s="227" customFormat="1" x14ac:dyDescent="0.2">
      <c r="G73" s="1293"/>
      <c r="I73" s="1293"/>
      <c r="J73" s="1293"/>
    </row>
    <row r="74" spans="7:26" s="227" customFormat="1" x14ac:dyDescent="0.2">
      <c r="G74" s="1293"/>
      <c r="I74" s="1299"/>
      <c r="J74" s="1299"/>
    </row>
    <row r="75" spans="7:26" ht="14.25" x14ac:dyDescent="0.2">
      <c r="H75" s="9"/>
      <c r="U75" s="152"/>
      <c r="V75" s="21"/>
      <c r="W75" s="21"/>
      <c r="X75" s="21"/>
      <c r="Y75" s="21"/>
      <c r="Z75" s="21"/>
    </row>
    <row r="76" spans="7:26" ht="14.25" x14ac:dyDescent="0.2">
      <c r="H76" s="9"/>
      <c r="U76" s="152"/>
      <c r="V76" s="21"/>
      <c r="W76" s="21"/>
      <c r="X76" s="21"/>
      <c r="Y76" s="21"/>
      <c r="Z76" s="21"/>
    </row>
    <row r="77" spans="7:26" ht="14.25" x14ac:dyDescent="0.2">
      <c r="H77" s="9"/>
      <c r="U77" s="152"/>
      <c r="V77" s="21"/>
      <c r="W77" s="21"/>
      <c r="X77" s="21"/>
      <c r="Y77" s="21"/>
      <c r="Z77" s="21"/>
    </row>
    <row r="78" spans="7:26" ht="14.25" x14ac:dyDescent="0.2">
      <c r="H78" s="9"/>
      <c r="U78" s="152"/>
      <c r="V78" s="21"/>
      <c r="W78" s="21"/>
      <c r="X78" s="21"/>
      <c r="Y78" s="21"/>
      <c r="Z78" s="21"/>
    </row>
    <row r="79" spans="7:26" ht="14.25" x14ac:dyDescent="0.2">
      <c r="U79" s="152"/>
      <c r="V79" s="21"/>
      <c r="W79" s="21"/>
      <c r="X79" s="21"/>
      <c r="Y79" s="21"/>
      <c r="Z79" s="21"/>
    </row>
    <row r="80" spans="7:26" ht="14.25" x14ac:dyDescent="0.2">
      <c r="H80" s="9"/>
      <c r="U80" s="152"/>
      <c r="V80" s="21"/>
      <c r="W80" s="21"/>
      <c r="X80" s="21"/>
      <c r="Y80" s="21"/>
      <c r="Z80" s="21"/>
    </row>
    <row r="81" spans="1:26" ht="14.25" x14ac:dyDescent="0.2">
      <c r="H81" s="9"/>
      <c r="U81" s="152"/>
      <c r="V81" s="21"/>
      <c r="W81" s="21"/>
      <c r="X81" s="21"/>
      <c r="Y81" s="21"/>
      <c r="Z81" s="21"/>
    </row>
    <row r="82" spans="1:26" ht="14.25" x14ac:dyDescent="0.2">
      <c r="H82" s="9"/>
      <c r="U82" s="152"/>
      <c r="V82" s="21"/>
      <c r="W82" s="21"/>
      <c r="X82" s="21"/>
      <c r="Y82" s="21"/>
      <c r="Z82" s="21"/>
    </row>
    <row r="83" spans="1:26" ht="14.25" x14ac:dyDescent="0.2">
      <c r="H83" s="9"/>
      <c r="U83" s="152"/>
      <c r="V83" s="21"/>
      <c r="W83" s="21"/>
      <c r="X83" s="21"/>
      <c r="Y83" s="21"/>
      <c r="Z83" s="21"/>
    </row>
    <row r="84" spans="1:26" ht="14.25" x14ac:dyDescent="0.2">
      <c r="H84" s="9"/>
      <c r="U84" s="152"/>
      <c r="V84" s="21"/>
      <c r="W84" s="21"/>
      <c r="X84" s="21"/>
      <c r="Y84" s="21"/>
      <c r="Z84" s="21"/>
    </row>
    <row r="85" spans="1:26" ht="14.25" x14ac:dyDescent="0.2">
      <c r="H85" s="9"/>
      <c r="U85" s="152"/>
      <c r="V85" s="21"/>
      <c r="W85" s="21"/>
      <c r="X85" s="21"/>
      <c r="Y85" s="21"/>
      <c r="Z85" s="21"/>
    </row>
    <row r="86" spans="1:26" ht="14.25" x14ac:dyDescent="0.2">
      <c r="U86" s="152"/>
      <c r="V86" s="21"/>
      <c r="W86" s="21"/>
      <c r="X86" s="21"/>
      <c r="Y86" s="21"/>
      <c r="Z86" s="21"/>
    </row>
    <row r="87" spans="1:26" ht="14.25" x14ac:dyDescent="0.2">
      <c r="U87" s="152"/>
      <c r="V87" s="21"/>
      <c r="W87" s="21"/>
      <c r="X87" s="21"/>
      <c r="Y87" s="21"/>
      <c r="Z87" s="21"/>
    </row>
    <row r="88" spans="1:26" ht="14.25" x14ac:dyDescent="0.2">
      <c r="U88" s="152"/>
      <c r="V88" s="21"/>
      <c r="W88" s="21"/>
      <c r="X88" s="21"/>
      <c r="Y88" s="21"/>
      <c r="Z88" s="21"/>
    </row>
    <row r="89" spans="1:26" ht="14.25" x14ac:dyDescent="0.2">
      <c r="U89" s="152"/>
      <c r="V89" s="21"/>
      <c r="W89" s="21"/>
      <c r="X89" s="21"/>
      <c r="Y89" s="21"/>
      <c r="Z89" s="21"/>
    </row>
    <row r="90" spans="1:26" ht="14.25" x14ac:dyDescent="0.2">
      <c r="U90" s="152"/>
      <c r="V90" s="21"/>
      <c r="W90" s="21"/>
      <c r="X90" s="21"/>
      <c r="Y90" s="21"/>
      <c r="Z90" s="21"/>
    </row>
    <row r="91" spans="1:26" ht="14.25" x14ac:dyDescent="0.2">
      <c r="U91" s="152"/>
      <c r="V91" s="21"/>
      <c r="W91" s="21"/>
      <c r="X91" s="21"/>
      <c r="Y91" s="21"/>
      <c r="Z91" s="21"/>
    </row>
    <row r="92" spans="1:26" ht="14.25" x14ac:dyDescent="0.2">
      <c r="A92" s="23"/>
      <c r="B92" s="23"/>
      <c r="C92" s="23"/>
      <c r="D92" s="23"/>
      <c r="T92" s="151"/>
      <c r="U92" s="152"/>
      <c r="V92" s="21"/>
      <c r="W92" s="21"/>
      <c r="X92" s="21"/>
      <c r="Y92" s="21"/>
      <c r="Z92" s="21"/>
    </row>
    <row r="93" spans="1:26" ht="14.25" x14ac:dyDescent="0.2">
      <c r="T93" s="151"/>
      <c r="U93" s="152"/>
      <c r="V93" s="21"/>
      <c r="W93" s="21"/>
      <c r="X93" s="21"/>
      <c r="Y93" s="21"/>
      <c r="Z93" s="21"/>
    </row>
    <row r="94" spans="1:26" ht="14.25" x14ac:dyDescent="0.2">
      <c r="T94" s="151"/>
      <c r="U94" s="152"/>
      <c r="V94" s="21"/>
      <c r="W94" s="21"/>
      <c r="X94" s="21"/>
      <c r="Y94" s="21"/>
      <c r="Z94" s="21"/>
    </row>
    <row r="95" spans="1:26" ht="14.25" x14ac:dyDescent="0.2">
      <c r="T95" s="151"/>
      <c r="U95" s="152"/>
      <c r="V95" s="21"/>
      <c r="W95" s="21"/>
      <c r="X95" s="21"/>
      <c r="Y95" s="21"/>
      <c r="Z95" s="21"/>
    </row>
    <row r="96" spans="1:26" ht="14.25" x14ac:dyDescent="0.2">
      <c r="T96" s="151"/>
      <c r="U96" s="152"/>
      <c r="V96" s="21"/>
      <c r="W96" s="21"/>
      <c r="X96" s="21"/>
      <c r="Y96" s="21"/>
      <c r="Z96" s="21"/>
    </row>
    <row r="97" spans="1:26" ht="14.25" x14ac:dyDescent="0.2">
      <c r="T97" s="151"/>
      <c r="U97" s="152"/>
      <c r="V97" s="21"/>
      <c r="W97" s="21"/>
      <c r="X97" s="21"/>
      <c r="Y97" s="21"/>
      <c r="Z97" s="21"/>
    </row>
    <row r="98" spans="1:26" ht="14.25" x14ac:dyDescent="0.2">
      <c r="T98" s="151"/>
      <c r="U98" s="152"/>
      <c r="V98" s="21"/>
      <c r="W98" s="21"/>
      <c r="X98" s="21"/>
      <c r="Y98" s="21"/>
      <c r="Z98" s="21"/>
    </row>
    <row r="99" spans="1:26" ht="14.25" x14ac:dyDescent="0.2">
      <c r="T99" s="151"/>
      <c r="U99" s="152"/>
      <c r="V99" s="21"/>
      <c r="W99" s="21"/>
      <c r="X99" s="21"/>
      <c r="Y99" s="21"/>
      <c r="Z99" s="21"/>
    </row>
    <row r="100" spans="1:26" ht="14.25" x14ac:dyDescent="0.2">
      <c r="T100" s="151"/>
      <c r="U100" s="152"/>
      <c r="V100" s="21"/>
      <c r="W100" s="21"/>
      <c r="X100" s="21"/>
      <c r="Y100" s="21"/>
      <c r="Z100" s="21"/>
    </row>
    <row r="101" spans="1:26" ht="14.25" x14ac:dyDescent="0.2">
      <c r="T101" s="151"/>
      <c r="U101" s="152"/>
      <c r="V101" s="21"/>
      <c r="W101" s="21"/>
      <c r="X101" s="21"/>
      <c r="Y101" s="21"/>
      <c r="Z101" s="21"/>
    </row>
    <row r="102" spans="1:26" ht="14.25" x14ac:dyDescent="0.2">
      <c r="T102" s="151"/>
      <c r="U102" s="152"/>
      <c r="V102" s="21"/>
      <c r="W102" s="21"/>
      <c r="X102" s="21"/>
      <c r="Y102" s="21"/>
      <c r="Z102" s="21"/>
    </row>
    <row r="103" spans="1:26" ht="14.25" x14ac:dyDescent="0.2">
      <c r="T103" s="151"/>
      <c r="U103" s="152"/>
      <c r="V103" s="21"/>
      <c r="W103" s="21"/>
      <c r="X103" s="21"/>
      <c r="Y103" s="21"/>
      <c r="Z103" s="21"/>
    </row>
    <row r="104" spans="1:26" ht="14.25" x14ac:dyDescent="0.2">
      <c r="T104" s="151"/>
      <c r="U104" s="152"/>
      <c r="V104" s="21"/>
      <c r="W104" s="21"/>
      <c r="X104" s="21"/>
      <c r="Y104" s="21"/>
      <c r="Z104" s="21"/>
    </row>
    <row r="105" spans="1:26" ht="14.25" x14ac:dyDescent="0.2">
      <c r="A105" s="23"/>
      <c r="B105" s="23"/>
      <c r="C105" s="23"/>
      <c r="D105" s="23"/>
      <c r="T105" s="151"/>
      <c r="U105" s="152"/>
      <c r="V105" s="21"/>
      <c r="W105" s="21"/>
      <c r="X105" s="21"/>
      <c r="Y105" s="21"/>
      <c r="Z105" s="21"/>
    </row>
    <row r="106" spans="1:26" ht="14.25" x14ac:dyDescent="0.2">
      <c r="A106" s="23"/>
      <c r="B106" s="23"/>
      <c r="C106" s="23"/>
      <c r="D106" s="23"/>
      <c r="T106" s="151"/>
      <c r="U106" s="152"/>
      <c r="V106" s="21"/>
      <c r="W106" s="21"/>
      <c r="X106" s="21"/>
      <c r="Y106" s="21"/>
      <c r="Z106" s="21"/>
    </row>
    <row r="107" spans="1:26" ht="14.25" x14ac:dyDescent="0.2">
      <c r="A107" s="23"/>
      <c r="B107" s="23"/>
      <c r="C107" s="23"/>
      <c r="D107" s="23"/>
      <c r="T107" s="151"/>
      <c r="U107" s="152"/>
      <c r="V107" s="21"/>
      <c r="W107" s="21"/>
      <c r="X107" s="21"/>
      <c r="Y107" s="21"/>
      <c r="Z107" s="21"/>
    </row>
    <row r="108" spans="1:26" ht="14.25" x14ac:dyDescent="0.2">
      <c r="A108" s="23"/>
      <c r="B108" s="23"/>
      <c r="C108" s="23"/>
      <c r="D108" s="23"/>
      <c r="T108" s="151"/>
      <c r="U108" s="152"/>
      <c r="V108" s="21"/>
      <c r="W108" s="21"/>
      <c r="X108" s="21"/>
      <c r="Y108" s="21"/>
      <c r="Z108" s="21"/>
    </row>
    <row r="109" spans="1:26" ht="14.25" x14ac:dyDescent="0.2">
      <c r="A109" s="23"/>
      <c r="B109" s="23"/>
      <c r="C109" s="23"/>
      <c r="D109" s="23"/>
      <c r="T109" s="151"/>
      <c r="U109" s="152"/>
      <c r="V109" s="21"/>
      <c r="W109" s="21"/>
      <c r="X109" s="21"/>
      <c r="Y109" s="21"/>
      <c r="Z109" s="21"/>
    </row>
    <row r="110" spans="1:26" ht="14.25" x14ac:dyDescent="0.2">
      <c r="A110" s="23"/>
      <c r="B110" s="23"/>
      <c r="C110" s="23"/>
      <c r="D110" s="23"/>
      <c r="T110" s="151"/>
      <c r="U110" s="152"/>
      <c r="V110" s="21"/>
      <c r="W110" s="21"/>
      <c r="X110" s="21"/>
      <c r="Y110" s="21"/>
      <c r="Z110" s="21"/>
    </row>
    <row r="111" spans="1:26" ht="14.25" x14ac:dyDescent="0.2">
      <c r="A111" s="23"/>
      <c r="B111" s="23"/>
      <c r="C111" s="23"/>
      <c r="D111" s="23"/>
      <c r="T111" s="151"/>
      <c r="U111" s="152"/>
      <c r="V111" s="21"/>
      <c r="W111" s="21"/>
      <c r="X111" s="21"/>
      <c r="Y111" s="21"/>
      <c r="Z111" s="21"/>
    </row>
    <row r="112" spans="1:26" ht="14.25" x14ac:dyDescent="0.2">
      <c r="A112" s="23"/>
      <c r="B112" s="23"/>
      <c r="C112" s="23"/>
      <c r="D112" s="23"/>
      <c r="T112" s="151"/>
      <c r="U112" s="152"/>
      <c r="V112" s="21"/>
      <c r="W112" s="21"/>
      <c r="X112" s="21"/>
      <c r="Y112" s="21"/>
      <c r="Z112" s="21"/>
    </row>
    <row r="113" spans="1:26" ht="14.25" x14ac:dyDescent="0.2">
      <c r="A113" s="23"/>
      <c r="B113" s="23"/>
      <c r="C113" s="23"/>
      <c r="D113" s="23"/>
      <c r="T113" s="151"/>
      <c r="U113" s="152"/>
      <c r="V113" s="21"/>
      <c r="W113" s="21"/>
      <c r="X113" s="21"/>
      <c r="Y113" s="21"/>
      <c r="Z113" s="21"/>
    </row>
    <row r="114" spans="1:26" ht="14.25" x14ac:dyDescent="0.2">
      <c r="A114" s="23"/>
      <c r="B114" s="23"/>
      <c r="C114" s="23"/>
      <c r="D114" s="23"/>
      <c r="T114" s="151"/>
      <c r="U114" s="152"/>
      <c r="V114" s="21"/>
      <c r="W114" s="21"/>
      <c r="X114" s="21"/>
      <c r="Y114" s="21"/>
      <c r="Z114" s="21"/>
    </row>
    <row r="115" spans="1:26" ht="14.25" x14ac:dyDescent="0.2">
      <c r="A115" s="23"/>
      <c r="B115" s="23"/>
      <c r="C115" s="23"/>
      <c r="D115" s="23"/>
      <c r="T115" s="151"/>
      <c r="U115" s="152"/>
      <c r="V115" s="21"/>
      <c r="W115" s="21"/>
      <c r="X115" s="21"/>
      <c r="Y115" s="21"/>
      <c r="Z115" s="21"/>
    </row>
    <row r="116" spans="1:26" ht="14.25" x14ac:dyDescent="0.2">
      <c r="A116" s="23"/>
      <c r="B116" s="23"/>
      <c r="C116" s="23"/>
      <c r="D116" s="23"/>
      <c r="T116" s="151"/>
      <c r="U116" s="152"/>
      <c r="V116" s="21"/>
      <c r="W116" s="21"/>
      <c r="X116" s="21"/>
      <c r="Y116" s="21"/>
      <c r="Z116" s="21"/>
    </row>
    <row r="117" spans="1:26" ht="14.25" x14ac:dyDescent="0.2">
      <c r="A117" s="23"/>
      <c r="B117" s="23"/>
      <c r="C117" s="23"/>
      <c r="D117" s="23"/>
      <c r="T117" s="151"/>
      <c r="U117" s="152"/>
      <c r="V117" s="21"/>
      <c r="W117" s="21"/>
      <c r="X117" s="21"/>
      <c r="Y117" s="21"/>
      <c r="Z117" s="21"/>
    </row>
    <row r="118" spans="1:26" ht="14.25" x14ac:dyDescent="0.2">
      <c r="A118" s="23"/>
      <c r="B118" s="23"/>
      <c r="C118" s="23"/>
      <c r="D118" s="23"/>
      <c r="T118" s="151"/>
      <c r="U118" s="152"/>
      <c r="V118" s="21"/>
      <c r="W118" s="21"/>
      <c r="X118" s="21"/>
      <c r="Y118" s="21"/>
      <c r="Z118" s="21"/>
    </row>
    <row r="119" spans="1:26" ht="13.5" x14ac:dyDescent="0.2">
      <c r="A119" s="24"/>
      <c r="B119" s="24"/>
      <c r="T119" s="153"/>
      <c r="V119" s="21"/>
      <c r="W119" s="21"/>
      <c r="X119" s="21"/>
      <c r="Y119" s="21"/>
      <c r="Z119" s="21"/>
    </row>
    <row r="133" spans="1:26" ht="16.899999999999999" customHeight="1" x14ac:dyDescent="0.2">
      <c r="A133" s="25"/>
    </row>
    <row r="134" spans="1:26" ht="12" customHeight="1" x14ac:dyDescent="0.2">
      <c r="A134" s="4"/>
    </row>
    <row r="135" spans="1:26" ht="13.15" customHeight="1" x14ac:dyDescent="0.2"/>
    <row r="136" spans="1:26" ht="13.15" customHeight="1" x14ac:dyDescent="0.2"/>
    <row r="137" spans="1:26" ht="13.15" customHeight="1" x14ac:dyDescent="0.2"/>
    <row r="138" spans="1:26" s="149" customFormat="1" ht="13.15" customHeight="1" x14ac:dyDescent="0.2">
      <c r="A138" s="1"/>
      <c r="B138" s="1"/>
      <c r="C138" s="1"/>
      <c r="D138" s="1"/>
      <c r="E138" s="1"/>
      <c r="F138" s="1"/>
      <c r="G138" s="1"/>
      <c r="H138" s="1"/>
      <c r="P138" s="1"/>
      <c r="Q138" s="1"/>
      <c r="T138" s="150"/>
      <c r="U138" s="150"/>
      <c r="V138" s="1"/>
      <c r="W138" s="1"/>
      <c r="X138" s="1"/>
      <c r="Y138" s="1"/>
      <c r="Z138" s="1"/>
    </row>
    <row r="139" spans="1:26" s="149" customFormat="1" ht="13.15" customHeight="1" x14ac:dyDescent="0.2">
      <c r="A139" s="1"/>
      <c r="B139" s="1"/>
      <c r="C139" s="1"/>
      <c r="D139" s="1"/>
      <c r="E139" s="1"/>
      <c r="F139" s="1"/>
      <c r="G139" s="1"/>
      <c r="H139" s="1"/>
      <c r="P139" s="1"/>
      <c r="Q139" s="1"/>
      <c r="T139" s="150"/>
      <c r="U139" s="150"/>
      <c r="V139" s="1"/>
      <c r="W139" s="1"/>
      <c r="X139" s="1"/>
      <c r="Y139" s="1"/>
      <c r="Z139" s="1"/>
    </row>
    <row r="140" spans="1:26" s="149" customFormat="1" ht="13.15" customHeight="1" x14ac:dyDescent="0.2">
      <c r="A140" s="1"/>
      <c r="B140" s="1"/>
      <c r="C140" s="1"/>
      <c r="D140" s="1"/>
      <c r="E140" s="1"/>
      <c r="F140" s="1"/>
      <c r="G140" s="1"/>
      <c r="H140" s="1"/>
      <c r="P140" s="1"/>
      <c r="Q140" s="1"/>
      <c r="T140" s="150"/>
      <c r="U140" s="150"/>
      <c r="V140" s="1"/>
      <c r="W140" s="1"/>
      <c r="X140" s="1"/>
      <c r="Y140" s="1"/>
      <c r="Z140" s="1"/>
    </row>
    <row r="141" spans="1:26" s="149" customFormat="1" ht="12" customHeight="1" x14ac:dyDescent="0.2">
      <c r="A141" s="1"/>
      <c r="B141" s="1"/>
      <c r="C141" s="1"/>
      <c r="D141" s="1"/>
      <c r="E141" s="1"/>
      <c r="F141" s="1"/>
      <c r="G141" s="1"/>
      <c r="H141" s="1"/>
      <c r="P141" s="1"/>
      <c r="Q141" s="1"/>
      <c r="T141" s="150"/>
      <c r="U141" s="150"/>
      <c r="V141" s="1"/>
      <c r="W141" s="1"/>
      <c r="X141" s="1"/>
      <c r="Y141" s="1"/>
      <c r="Z141" s="1"/>
    </row>
    <row r="142" spans="1:26" s="149" customFormat="1" ht="12" customHeight="1" x14ac:dyDescent="0.2">
      <c r="A142" s="1"/>
      <c r="B142" s="1"/>
      <c r="C142" s="1"/>
      <c r="D142" s="1"/>
      <c r="E142" s="1"/>
      <c r="F142" s="1"/>
      <c r="G142" s="1"/>
      <c r="H142" s="1"/>
      <c r="P142" s="1"/>
      <c r="Q142" s="1"/>
      <c r="T142" s="150"/>
      <c r="U142" s="150"/>
      <c r="V142" s="1"/>
      <c r="W142" s="1"/>
      <c r="X142" s="1"/>
      <c r="Y142" s="1"/>
      <c r="Z142" s="1"/>
    </row>
    <row r="143" spans="1:26" s="149" customFormat="1" ht="15" customHeight="1" x14ac:dyDescent="0.2">
      <c r="A143" s="1"/>
      <c r="B143" s="1"/>
      <c r="C143" s="1"/>
      <c r="D143" s="1"/>
      <c r="E143" s="1"/>
      <c r="F143" s="1"/>
      <c r="G143" s="1"/>
      <c r="H143" s="1"/>
      <c r="P143" s="1"/>
      <c r="Q143" s="1"/>
      <c r="T143" s="150"/>
      <c r="U143" s="150"/>
      <c r="V143" s="1"/>
      <c r="W143" s="1"/>
      <c r="X143" s="1"/>
      <c r="Y143" s="1"/>
      <c r="Z143" s="1"/>
    </row>
    <row r="144" spans="1:26" s="149" customFormat="1" ht="15" customHeight="1" x14ac:dyDescent="0.2">
      <c r="A144" s="1"/>
      <c r="B144" s="1"/>
      <c r="C144" s="1"/>
      <c r="D144" s="1"/>
      <c r="E144" s="1"/>
      <c r="F144" s="1"/>
      <c r="G144" s="1"/>
      <c r="H144" s="1"/>
      <c r="P144" s="1"/>
      <c r="Q144" s="1"/>
      <c r="T144" s="150"/>
      <c r="U144" s="150"/>
      <c r="V144" s="1"/>
      <c r="W144" s="1"/>
      <c r="X144" s="1"/>
      <c r="Y144" s="1"/>
      <c r="Z144" s="1"/>
    </row>
  </sheetData>
  <sheetProtection sheet="1" formatCells="0" formatColumns="0" formatRows="0"/>
  <mergeCells count="5">
    <mergeCell ref="A36:A37"/>
    <mergeCell ref="B36:B37"/>
    <mergeCell ref="C36:C37"/>
    <mergeCell ref="D36:D37"/>
    <mergeCell ref="E36:E37"/>
  </mergeCells>
  <phoneticPr fontId="4"/>
  <pageMargins left="0.7" right="0.7" top="0.75" bottom="0.75" header="0.3" footer="0.3"/>
  <pageSetup paperSize="9" orientation="portrait" verticalDpi="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491AF-50D1-4477-BAA9-37AADC6F848F}">
  <dimension ref="A1:Z138"/>
  <sheetViews>
    <sheetView topLeftCell="A7" zoomScale="160" zoomScaleNormal="160" workbookViewId="0">
      <selection activeCell="N14" sqref="N14"/>
    </sheetView>
  </sheetViews>
  <sheetFormatPr defaultColWidth="9.33203125" defaultRowHeight="12.75" x14ac:dyDescent="0.2"/>
  <cols>
    <col min="1" max="2" width="9.33203125" style="1"/>
    <col min="3" max="7" width="10.1640625" style="1" customWidth="1"/>
    <col min="8" max="8" width="9.33203125" style="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1447</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1448</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 customFormat="1" x14ac:dyDescent="0.2">
      <c r="A6" s="113"/>
      <c r="B6" s="99"/>
      <c r="C6" s="99"/>
      <c r="D6" s="99"/>
      <c r="E6" s="99"/>
      <c r="F6" s="99"/>
      <c r="G6" s="99"/>
      <c r="H6" s="99"/>
      <c r="I6" s="113"/>
      <c r="J6" s="113"/>
      <c r="K6" s="113"/>
      <c r="L6" s="113"/>
      <c r="M6" s="113"/>
      <c r="N6" s="113"/>
      <c r="O6" s="113"/>
      <c r="R6" s="113"/>
      <c r="S6" s="113"/>
      <c r="T6" s="146"/>
      <c r="U6" s="146"/>
    </row>
    <row r="7" spans="1:25" s="2" customFormat="1" x14ac:dyDescent="0.2">
      <c r="A7" s="113"/>
      <c r="B7" s="99"/>
      <c r="C7" s="99"/>
      <c r="D7" s="99"/>
      <c r="E7" s="99"/>
      <c r="F7" s="99"/>
      <c r="G7" s="99"/>
      <c r="H7" s="99"/>
      <c r="I7" s="113"/>
      <c r="J7" s="113"/>
      <c r="K7" s="113"/>
      <c r="L7" s="113"/>
      <c r="M7" s="113"/>
      <c r="N7" s="113"/>
      <c r="O7" s="113"/>
      <c r="R7" s="113"/>
      <c r="S7" s="113"/>
      <c r="T7" s="146"/>
      <c r="U7" s="146"/>
    </row>
    <row r="8" spans="1:25" s="2" customFormat="1" x14ac:dyDescent="0.2">
      <c r="A8" s="99"/>
      <c r="B8" s="99"/>
      <c r="C8" s="99"/>
      <c r="D8" s="99"/>
      <c r="E8" s="99"/>
      <c r="F8" s="99"/>
      <c r="G8" s="99"/>
      <c r="H8" s="99"/>
      <c r="I8" s="113"/>
      <c r="J8" s="113"/>
      <c r="K8" s="113"/>
      <c r="L8" s="113"/>
      <c r="M8" s="113"/>
      <c r="N8" s="113"/>
      <c r="O8" s="113"/>
      <c r="R8" s="113"/>
      <c r="S8" s="113"/>
      <c r="T8" s="146"/>
      <c r="U8" s="146"/>
    </row>
    <row r="9" spans="1:25" s="2" customFormat="1" x14ac:dyDescent="0.2">
      <c r="A9" s="113"/>
      <c r="B9" s="99"/>
      <c r="C9" s="99"/>
      <c r="D9" s="99"/>
      <c r="E9" s="99"/>
      <c r="F9" s="99"/>
      <c r="G9" s="99"/>
      <c r="H9" s="99"/>
      <c r="I9" s="113"/>
      <c r="J9" s="113"/>
      <c r="K9" s="113"/>
      <c r="L9" s="113"/>
      <c r="M9" s="113"/>
      <c r="N9" s="113"/>
      <c r="O9" s="113"/>
      <c r="R9" s="113"/>
      <c r="S9" s="113"/>
      <c r="T9" s="146"/>
      <c r="U9" s="146"/>
    </row>
    <row r="10" spans="1:25" x14ac:dyDescent="0.2">
      <c r="A10" s="102"/>
      <c r="B10" s="97"/>
      <c r="C10" s="97"/>
      <c r="D10" s="97"/>
      <c r="E10" s="97"/>
      <c r="F10" s="97"/>
      <c r="G10" s="97"/>
      <c r="H10" s="97"/>
      <c r="I10" s="113"/>
      <c r="J10" s="113"/>
      <c r="K10" s="113"/>
      <c r="L10" s="113"/>
      <c r="M10" s="113"/>
      <c r="N10" s="113"/>
      <c r="O10" s="113"/>
      <c r="R10" s="113"/>
      <c r="S10" s="113"/>
      <c r="T10" s="146"/>
      <c r="U10" s="146"/>
    </row>
    <row r="11" spans="1:25" x14ac:dyDescent="0.2">
      <c r="A11" s="97"/>
      <c r="B11" s="97"/>
      <c r="C11" s="97"/>
      <c r="D11" s="97"/>
      <c r="E11" s="97"/>
      <c r="F11" s="97"/>
      <c r="G11" s="97"/>
      <c r="H11" s="97"/>
      <c r="I11" s="113"/>
      <c r="J11" s="113"/>
      <c r="K11" s="113"/>
      <c r="L11" s="113"/>
      <c r="M11" s="113"/>
      <c r="N11" s="113"/>
      <c r="O11" s="113"/>
      <c r="R11" s="113"/>
      <c r="S11" s="113"/>
      <c r="T11" s="146"/>
      <c r="U11" s="146"/>
    </row>
    <row r="12" spans="1:25" x14ac:dyDescent="0.2">
      <c r="A12" s="97"/>
      <c r="B12" s="97"/>
      <c r="C12" s="97"/>
      <c r="D12" s="97"/>
      <c r="E12" s="97"/>
      <c r="F12" s="97"/>
      <c r="G12" s="97"/>
      <c r="H12" s="97"/>
      <c r="I12" s="113"/>
      <c r="J12" s="113"/>
      <c r="K12" s="113"/>
      <c r="L12" s="113"/>
      <c r="M12" s="113"/>
      <c r="N12" s="113"/>
      <c r="O12" s="113"/>
      <c r="R12" s="113"/>
      <c r="S12" s="113"/>
      <c r="T12" s="146"/>
      <c r="U12" s="146"/>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
        <v>1249</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1057</v>
      </c>
      <c r="N16" s="104" t="s">
        <v>1058</v>
      </c>
      <c r="O16" s="104" t="s">
        <v>100</v>
      </c>
      <c r="P16" s="6" t="s">
        <v>105</v>
      </c>
      <c r="Q16" s="6" t="s">
        <v>106</v>
      </c>
      <c r="R16" s="104" t="s">
        <v>1051</v>
      </c>
      <c r="S16" s="104" t="s">
        <v>1052</v>
      </c>
      <c r="T16" s="147" t="s">
        <v>1053</v>
      </c>
      <c r="U16" s="147" t="s">
        <v>1054</v>
      </c>
      <c r="V16" s="5" t="s">
        <v>101</v>
      </c>
      <c r="W16" s="5" t="s">
        <v>102</v>
      </c>
      <c r="X16" s="112" t="s">
        <v>1055</v>
      </c>
      <c r="Y16" s="112" t="s">
        <v>1056</v>
      </c>
    </row>
    <row r="17" spans="1:26" x14ac:dyDescent="0.2">
      <c r="A17" s="213" t="str">
        <f>A29</f>
        <v>MKEH</v>
      </c>
      <c r="B17" s="502">
        <f>B29</f>
        <v>153259</v>
      </c>
      <c r="C17" s="217">
        <f>C29</f>
        <v>993.15</v>
      </c>
      <c r="D17" s="217">
        <f>F29</f>
        <v>0.44</v>
      </c>
      <c r="E17" s="1275">
        <f>G29</f>
        <v>1000.8</v>
      </c>
      <c r="F17" s="219">
        <f t="shared" ref="F17:F25" si="0">H29/I29</f>
        <v>3.4</v>
      </c>
      <c r="G17" s="1275">
        <f t="shared" ref="G17:G25" si="1">J29</f>
        <v>7.6</v>
      </c>
      <c r="H17" s="1275">
        <f t="shared" ref="H17:H25" si="2">L29</f>
        <v>6.9</v>
      </c>
      <c r="I17" s="155">
        <f t="shared" ref="I17:I25" si="3">IF(ABS(G17)&gt;ABS(H17), 1, 0)</f>
        <v>1</v>
      </c>
      <c r="J17" s="155">
        <f t="shared" ref="J17:J25" si="4">I17*ABS(C17-E17)</f>
        <v>7.6499999999999773</v>
      </c>
      <c r="K17" s="155">
        <f t="shared" ref="K17:K25" si="5">SQRT(SUMSQ(F17,J17))*2</f>
        <v>16.743058263053335</v>
      </c>
      <c r="L17" s="155">
        <f t="shared" ref="L17:L25" si="6">IF(C17&lt;$K$2, C17, $K$1)</f>
        <v>10</v>
      </c>
      <c r="M17" s="156">
        <f t="shared" ref="M17:M25" si="7">IF(AND(C17&lt;$K$1,C17&gt; $K$2), K17/L17*100, K17/C17*100)</f>
        <v>1.6858539256963536</v>
      </c>
      <c r="N17" s="157">
        <f t="shared" ref="N17:N25" si="8">M17*L17/100</f>
        <v>0.16858539256963534</v>
      </c>
      <c r="O17" s="155">
        <f t="shared" ref="O17:O25" si="9">N17/(M17*L17/100)*100</f>
        <v>100</v>
      </c>
      <c r="P17" s="250">
        <v>1</v>
      </c>
      <c r="Q17" s="250">
        <v>1000</v>
      </c>
      <c r="R17" s="148">
        <f>IF( IF(P17&lt;L17, M17*L17/P17, M17)&gt;100, "ERROR",  IF(P17&lt;L17, M17*L17/P17, M17))</f>
        <v>16.858539256963535</v>
      </c>
      <c r="S17" s="148">
        <f>IF(IF(Q17&lt;L17, M17*L17/Q17, M17)&gt;100, "ERROR", IF(Q17&lt;L17, M17*L17/Q17, M17))</f>
        <v>1.6858539256963536</v>
      </c>
      <c r="T17" s="148">
        <f>R17*P17*0.01</f>
        <v>0.16858539256963537</v>
      </c>
      <c r="U17" s="148">
        <f>S17*Q17*0.01</f>
        <v>16.858539256963535</v>
      </c>
      <c r="V17" s="7">
        <f>P17*1000</f>
        <v>1000</v>
      </c>
      <c r="W17" s="7">
        <f>Q17*1000</f>
        <v>1000000</v>
      </c>
      <c r="X17" s="1345">
        <f>T17*1000</f>
        <v>168.58539256963536</v>
      </c>
      <c r="Y17" s="1345">
        <f>U17*1000</f>
        <v>16858.539256963537</v>
      </c>
    </row>
    <row r="18" spans="1:26" x14ac:dyDescent="0.2">
      <c r="A18" s="213" t="str">
        <f t="shared" ref="A18:C18" si="10">A30</f>
        <v>METAS</v>
      </c>
      <c r="B18" s="502">
        <f t="shared" si="10"/>
        <v>153322</v>
      </c>
      <c r="C18" s="217">
        <f t="shared" si="10"/>
        <v>993.69</v>
      </c>
      <c r="D18" s="217">
        <f t="shared" ref="D18:E18" si="11">F30</f>
        <v>0.44</v>
      </c>
      <c r="E18" s="1275">
        <f t="shared" si="11"/>
        <v>996</v>
      </c>
      <c r="F18" s="219">
        <f t="shared" si="0"/>
        <v>2</v>
      </c>
      <c r="G18" s="1275">
        <f t="shared" si="1"/>
        <v>2.2999999999999998</v>
      </c>
      <c r="H18" s="1275">
        <f t="shared" si="2"/>
        <v>4.0999999999999996</v>
      </c>
      <c r="I18" s="155">
        <f t="shared" si="3"/>
        <v>0</v>
      </c>
      <c r="J18" s="155">
        <f t="shared" si="4"/>
        <v>0</v>
      </c>
      <c r="K18" s="155">
        <f t="shared" si="5"/>
        <v>4</v>
      </c>
      <c r="L18" s="155">
        <f t="shared" si="6"/>
        <v>10</v>
      </c>
      <c r="M18" s="156">
        <f t="shared" si="7"/>
        <v>0.40254002757399188</v>
      </c>
      <c r="N18" s="157">
        <f t="shared" si="8"/>
        <v>4.0254002757399189E-2</v>
      </c>
      <c r="O18" s="155">
        <f t="shared" si="9"/>
        <v>100</v>
      </c>
      <c r="P18" s="250">
        <v>1</v>
      </c>
      <c r="Q18" s="250">
        <v>1000</v>
      </c>
      <c r="R18" s="148">
        <f t="shared" ref="R18:R25" si="12">IF( IF(P18&lt;L18, M18*L18/P18, M18)&gt;100, "ERROR",  IF(P18&lt;L18, M18*L18/P18, M18))</f>
        <v>4.0254002757399192</v>
      </c>
      <c r="S18" s="148">
        <f t="shared" ref="S18:S25" si="13">IF(IF(Q18&lt;L18, M18*L18/Q18, M18)&gt;100, "ERROR", IF(Q18&lt;L18, M18*L18/Q18, M18))</f>
        <v>0.40254002757399188</v>
      </c>
      <c r="T18" s="148">
        <f t="shared" ref="T18:U25" si="14">R18*P18*0.01</f>
        <v>4.0254002757399196E-2</v>
      </c>
      <c r="U18" s="148">
        <f t="shared" si="14"/>
        <v>4.0254002757399192</v>
      </c>
      <c r="V18" s="7">
        <f t="shared" ref="V18:W25" si="15">P18*1000</f>
        <v>1000</v>
      </c>
      <c r="W18" s="7">
        <f t="shared" si="15"/>
        <v>1000000</v>
      </c>
      <c r="X18" s="1345">
        <f t="shared" ref="X18:Y25" si="16">T18*1000</f>
        <v>40.254002757399199</v>
      </c>
      <c r="Y18" s="1345">
        <f t="shared" si="16"/>
        <v>4025.4002757399194</v>
      </c>
    </row>
    <row r="19" spans="1:26" x14ac:dyDescent="0.2">
      <c r="A19" s="213" t="str">
        <f t="shared" ref="A19:C19" si="17">A31</f>
        <v>VSL</v>
      </c>
      <c r="B19" s="502">
        <f t="shared" si="17"/>
        <v>153513</v>
      </c>
      <c r="C19" s="217">
        <f t="shared" si="17"/>
        <v>993.4</v>
      </c>
      <c r="D19" s="217">
        <f t="shared" ref="D19:E19" si="18">F31</f>
        <v>0.44</v>
      </c>
      <c r="E19" s="1275">
        <f t="shared" si="18"/>
        <v>993.4</v>
      </c>
      <c r="F19" s="219">
        <f t="shared" si="0"/>
        <v>0.35</v>
      </c>
      <c r="G19" s="1275">
        <f t="shared" si="1"/>
        <v>0</v>
      </c>
      <c r="H19" s="1275">
        <f t="shared" si="2"/>
        <v>1.1000000000000001</v>
      </c>
      <c r="I19" s="155">
        <f t="shared" si="3"/>
        <v>0</v>
      </c>
      <c r="J19" s="155">
        <f t="shared" si="4"/>
        <v>0</v>
      </c>
      <c r="K19" s="155">
        <f t="shared" si="5"/>
        <v>0.7</v>
      </c>
      <c r="L19" s="155">
        <f t="shared" si="6"/>
        <v>10</v>
      </c>
      <c r="M19" s="156">
        <f t="shared" si="7"/>
        <v>7.0465069458425608E-2</v>
      </c>
      <c r="N19" s="157">
        <f t="shared" si="8"/>
        <v>7.0465069458425615E-3</v>
      </c>
      <c r="O19" s="155">
        <f t="shared" si="9"/>
        <v>100</v>
      </c>
      <c r="P19" s="250">
        <v>1</v>
      </c>
      <c r="Q19" s="250">
        <v>1000</v>
      </c>
      <c r="R19" s="148">
        <f t="shared" si="12"/>
        <v>0.70465069458425611</v>
      </c>
      <c r="S19" s="148">
        <f t="shared" si="13"/>
        <v>7.0465069458425608E-2</v>
      </c>
      <c r="T19" s="148">
        <f t="shared" si="14"/>
        <v>7.0465069458425615E-3</v>
      </c>
      <c r="U19" s="148">
        <f t="shared" si="14"/>
        <v>0.704650694584256</v>
      </c>
      <c r="V19" s="7">
        <f t="shared" si="15"/>
        <v>1000</v>
      </c>
      <c r="W19" s="7">
        <f t="shared" si="15"/>
        <v>1000000</v>
      </c>
      <c r="X19" s="1345">
        <f t="shared" si="16"/>
        <v>7.0465069458425615</v>
      </c>
      <c r="Y19" s="1345">
        <f t="shared" si="16"/>
        <v>704.65069458425603</v>
      </c>
    </row>
    <row r="20" spans="1:26" x14ac:dyDescent="0.2">
      <c r="A20" s="213" t="str">
        <f t="shared" ref="A20:C20" si="19">A32</f>
        <v>IPQ</v>
      </c>
      <c r="B20" s="502">
        <f t="shared" si="19"/>
        <v>153743</v>
      </c>
      <c r="C20" s="217">
        <f t="shared" si="19"/>
        <v>991.72</v>
      </c>
      <c r="D20" s="217">
        <f t="shared" ref="D20:E20" si="20">F32</f>
        <v>0.44</v>
      </c>
      <c r="E20" s="1275">
        <f t="shared" si="20"/>
        <v>999.4</v>
      </c>
      <c r="F20" s="219">
        <f t="shared" si="0"/>
        <v>3.7373737373737375</v>
      </c>
      <c r="G20" s="1275">
        <f t="shared" si="1"/>
        <v>7.7</v>
      </c>
      <c r="H20" s="1275">
        <f t="shared" si="2"/>
        <v>7.5</v>
      </c>
      <c r="I20" s="155">
        <f t="shared" si="3"/>
        <v>1</v>
      </c>
      <c r="J20" s="155">
        <f t="shared" si="4"/>
        <v>7.67999999999995</v>
      </c>
      <c r="K20" s="155">
        <f t="shared" si="5"/>
        <v>17.082196867242828</v>
      </c>
      <c r="L20" s="155">
        <f t="shared" si="6"/>
        <v>10</v>
      </c>
      <c r="M20" s="156">
        <f t="shared" si="7"/>
        <v>1.7224818363290877</v>
      </c>
      <c r="N20" s="157">
        <f t="shared" si="8"/>
        <v>0.17224818363290875</v>
      </c>
      <c r="O20" s="155">
        <f t="shared" si="9"/>
        <v>100</v>
      </c>
      <c r="P20" s="250">
        <v>1</v>
      </c>
      <c r="Q20" s="250">
        <v>1000</v>
      </c>
      <c r="R20" s="148">
        <f t="shared" si="12"/>
        <v>17.224818363290876</v>
      </c>
      <c r="S20" s="148">
        <f t="shared" si="13"/>
        <v>1.7224818363290877</v>
      </c>
      <c r="T20" s="148">
        <f t="shared" si="14"/>
        <v>0.17224818363290875</v>
      </c>
      <c r="U20" s="148">
        <f t="shared" si="14"/>
        <v>17.224818363290876</v>
      </c>
      <c r="V20" s="7">
        <f t="shared" si="15"/>
        <v>1000</v>
      </c>
      <c r="W20" s="7">
        <f t="shared" si="15"/>
        <v>1000000</v>
      </c>
      <c r="X20" s="1345">
        <f t="shared" si="16"/>
        <v>172.24818363290876</v>
      </c>
      <c r="Y20" s="1345">
        <f t="shared" si="16"/>
        <v>17224.818363290877</v>
      </c>
    </row>
    <row r="21" spans="1:26" x14ac:dyDescent="0.2">
      <c r="A21" s="213" t="str">
        <f t="shared" ref="A21:C21" si="21">A33</f>
        <v>LNE</v>
      </c>
      <c r="B21" s="502">
        <f t="shared" si="21"/>
        <v>153769</v>
      </c>
      <c r="C21" s="217">
        <f t="shared" si="21"/>
        <v>991.01</v>
      </c>
      <c r="D21" s="217">
        <f t="shared" ref="D21:E21" si="22">F33</f>
        <v>0.44</v>
      </c>
      <c r="E21" s="1275">
        <f t="shared" si="22"/>
        <v>991.1</v>
      </c>
      <c r="F21" s="219">
        <f t="shared" si="0"/>
        <v>0.9</v>
      </c>
      <c r="G21" s="1275">
        <f t="shared" si="1"/>
        <v>0.1</v>
      </c>
      <c r="H21" s="1275">
        <f t="shared" si="2"/>
        <v>2</v>
      </c>
      <c r="I21" s="155">
        <f t="shared" si="3"/>
        <v>0</v>
      </c>
      <c r="J21" s="155">
        <f t="shared" si="4"/>
        <v>0</v>
      </c>
      <c r="K21" s="155">
        <f t="shared" si="5"/>
        <v>1.8</v>
      </c>
      <c r="L21" s="155">
        <f t="shared" si="6"/>
        <v>10</v>
      </c>
      <c r="M21" s="156">
        <f t="shared" si="7"/>
        <v>0.18163287958749155</v>
      </c>
      <c r="N21" s="157">
        <f t="shared" si="8"/>
        <v>1.8163287958749153E-2</v>
      </c>
      <c r="O21" s="155">
        <f t="shared" si="9"/>
        <v>100</v>
      </c>
      <c r="P21" s="250">
        <v>1</v>
      </c>
      <c r="Q21" s="250">
        <v>1000</v>
      </c>
      <c r="R21" s="148">
        <f t="shared" si="12"/>
        <v>1.8163287958749155</v>
      </c>
      <c r="S21" s="148">
        <f t="shared" si="13"/>
        <v>0.18163287958749155</v>
      </c>
      <c r="T21" s="148">
        <f t="shared" si="14"/>
        <v>1.8163287958749157E-2</v>
      </c>
      <c r="U21" s="148">
        <f t="shared" si="14"/>
        <v>1.8163287958749155</v>
      </c>
      <c r="V21" s="7">
        <f t="shared" si="15"/>
        <v>1000</v>
      </c>
      <c r="W21" s="7">
        <f t="shared" si="15"/>
        <v>1000000</v>
      </c>
      <c r="X21" s="1345">
        <f t="shared" si="16"/>
        <v>18.163287958749155</v>
      </c>
      <c r="Y21" s="1345">
        <f t="shared" si="16"/>
        <v>1816.3287958749154</v>
      </c>
    </row>
    <row r="22" spans="1:26" x14ac:dyDescent="0.2">
      <c r="A22" s="213" t="str">
        <f t="shared" ref="A22:C22" si="23">A34</f>
        <v>CEM</v>
      </c>
      <c r="B22" s="502">
        <f t="shared" si="23"/>
        <v>153885</v>
      </c>
      <c r="C22" s="217">
        <f t="shared" si="23"/>
        <v>993.04</v>
      </c>
      <c r="D22" s="217">
        <f t="shared" ref="D22:E22" si="24">F34</f>
        <v>0.44</v>
      </c>
      <c r="E22" s="1275">
        <f t="shared" si="24"/>
        <v>992</v>
      </c>
      <c r="F22" s="219">
        <f t="shared" si="0"/>
        <v>1.5</v>
      </c>
      <c r="G22" s="1275">
        <f t="shared" si="1"/>
        <v>-1</v>
      </c>
      <c r="H22" s="1275">
        <f t="shared" si="2"/>
        <v>3.1</v>
      </c>
      <c r="I22" s="155">
        <f t="shared" si="3"/>
        <v>0</v>
      </c>
      <c r="J22" s="155">
        <f t="shared" si="4"/>
        <v>0</v>
      </c>
      <c r="K22" s="155">
        <f t="shared" si="5"/>
        <v>3</v>
      </c>
      <c r="L22" s="155">
        <f t="shared" si="6"/>
        <v>10</v>
      </c>
      <c r="M22" s="156">
        <f t="shared" si="7"/>
        <v>0.30210263433497142</v>
      </c>
      <c r="N22" s="157">
        <f t="shared" si="8"/>
        <v>3.0210263433497139E-2</v>
      </c>
      <c r="O22" s="155">
        <f t="shared" si="9"/>
        <v>100</v>
      </c>
      <c r="P22" s="250">
        <v>1</v>
      </c>
      <c r="Q22" s="250">
        <v>1000</v>
      </c>
      <c r="R22" s="148">
        <f t="shared" si="12"/>
        <v>3.021026343349714</v>
      </c>
      <c r="S22" s="148">
        <f t="shared" si="13"/>
        <v>0.30210263433497142</v>
      </c>
      <c r="T22" s="148">
        <f t="shared" si="14"/>
        <v>3.0210263433497142E-2</v>
      </c>
      <c r="U22" s="148">
        <f t="shared" si="14"/>
        <v>3.021026343349714</v>
      </c>
      <c r="V22" s="7">
        <f t="shared" si="15"/>
        <v>1000</v>
      </c>
      <c r="W22" s="7">
        <f t="shared" si="15"/>
        <v>1000000</v>
      </c>
      <c r="X22" s="1345">
        <f t="shared" si="16"/>
        <v>30.210263433497143</v>
      </c>
      <c r="Y22" s="1345">
        <f t="shared" si="16"/>
        <v>3021.0263433497139</v>
      </c>
    </row>
    <row r="23" spans="1:26" x14ac:dyDescent="0.2">
      <c r="A23" s="213" t="str">
        <f t="shared" ref="A23:C23" si="25">A35</f>
        <v>BAM</v>
      </c>
      <c r="B23" s="502">
        <f t="shared" si="25"/>
        <v>153929</v>
      </c>
      <c r="C23" s="217">
        <f t="shared" si="25"/>
        <v>989.47</v>
      </c>
      <c r="D23" s="217">
        <f t="shared" ref="D23:E23" si="26">F35</f>
        <v>0.44</v>
      </c>
      <c r="E23" s="1275">
        <f t="shared" si="26"/>
        <v>987.4</v>
      </c>
      <c r="F23" s="219">
        <f t="shared" si="0"/>
        <v>2.2999999999999998</v>
      </c>
      <c r="G23" s="1275">
        <f t="shared" si="1"/>
        <v>-2.1</v>
      </c>
      <c r="H23" s="1275">
        <f t="shared" si="2"/>
        <v>4.7</v>
      </c>
      <c r="I23" s="155">
        <f t="shared" si="3"/>
        <v>0</v>
      </c>
      <c r="J23" s="155">
        <f t="shared" si="4"/>
        <v>0</v>
      </c>
      <c r="K23" s="155">
        <f t="shared" si="5"/>
        <v>4.5999999999999996</v>
      </c>
      <c r="L23" s="155">
        <f t="shared" si="6"/>
        <v>10</v>
      </c>
      <c r="M23" s="156">
        <f t="shared" si="7"/>
        <v>0.46489534801459359</v>
      </c>
      <c r="N23" s="157">
        <f t="shared" si="8"/>
        <v>4.6489534801459363E-2</v>
      </c>
      <c r="O23" s="155">
        <f t="shared" si="9"/>
        <v>100</v>
      </c>
      <c r="P23" s="250">
        <v>1</v>
      </c>
      <c r="Q23" s="250">
        <v>1000</v>
      </c>
      <c r="R23" s="148">
        <f t="shared" si="12"/>
        <v>4.648953480145936</v>
      </c>
      <c r="S23" s="148">
        <f t="shared" si="13"/>
        <v>0.46489534801459359</v>
      </c>
      <c r="T23" s="148">
        <f t="shared" si="14"/>
        <v>4.6489534801459363E-2</v>
      </c>
      <c r="U23" s="148">
        <f t="shared" si="14"/>
        <v>4.648953480145936</v>
      </c>
      <c r="V23" s="7">
        <f t="shared" si="15"/>
        <v>1000</v>
      </c>
      <c r="W23" s="7">
        <f t="shared" si="15"/>
        <v>1000000</v>
      </c>
      <c r="X23" s="1345">
        <f t="shared" si="16"/>
        <v>46.489534801459364</v>
      </c>
      <c r="Y23" s="1345">
        <f t="shared" si="16"/>
        <v>4648.9534801459358</v>
      </c>
    </row>
    <row r="24" spans="1:26" x14ac:dyDescent="0.2">
      <c r="A24" s="213" t="str">
        <f t="shared" ref="A24:C24" si="27">A36</f>
        <v>GUM</v>
      </c>
      <c r="B24" s="502">
        <f t="shared" si="27"/>
        <v>153933</v>
      </c>
      <c r="C24" s="217">
        <f t="shared" si="27"/>
        <v>991.07</v>
      </c>
      <c r="D24" s="217">
        <f t="shared" ref="D24:E24" si="28">F36</f>
        <v>0.44</v>
      </c>
      <c r="E24" s="1275">
        <f t="shared" si="28"/>
        <v>993</v>
      </c>
      <c r="F24" s="219">
        <f t="shared" si="0"/>
        <v>2</v>
      </c>
      <c r="G24" s="1275">
        <f t="shared" si="1"/>
        <v>1.9</v>
      </c>
      <c r="H24" s="1275">
        <f t="shared" si="2"/>
        <v>4.0999999999999996</v>
      </c>
      <c r="I24" s="155">
        <f t="shared" si="3"/>
        <v>0</v>
      </c>
      <c r="J24" s="155">
        <f t="shared" si="4"/>
        <v>0</v>
      </c>
      <c r="K24" s="155">
        <f t="shared" si="5"/>
        <v>4</v>
      </c>
      <c r="L24" s="155">
        <f t="shared" si="6"/>
        <v>10</v>
      </c>
      <c r="M24" s="156">
        <f t="shared" si="7"/>
        <v>0.40360418537540232</v>
      </c>
      <c r="N24" s="157">
        <f t="shared" si="8"/>
        <v>4.036041853754023E-2</v>
      </c>
      <c r="O24" s="155">
        <f t="shared" si="9"/>
        <v>100</v>
      </c>
      <c r="P24" s="250">
        <v>1</v>
      </c>
      <c r="Q24" s="250">
        <v>1000</v>
      </c>
      <c r="R24" s="148">
        <f t="shared" si="12"/>
        <v>4.036041853754023</v>
      </c>
      <c r="S24" s="148">
        <f t="shared" si="13"/>
        <v>0.40360418537540232</v>
      </c>
      <c r="T24" s="148">
        <f t="shared" si="14"/>
        <v>4.036041853754023E-2</v>
      </c>
      <c r="U24" s="148">
        <f t="shared" si="14"/>
        <v>4.036041853754023</v>
      </c>
      <c r="V24" s="7">
        <f t="shared" si="15"/>
        <v>1000</v>
      </c>
      <c r="W24" s="7">
        <f t="shared" si="15"/>
        <v>1000000</v>
      </c>
      <c r="X24" s="1345">
        <f t="shared" si="16"/>
        <v>40.360418537540227</v>
      </c>
      <c r="Y24" s="1345">
        <f t="shared" si="16"/>
        <v>4036.0418537540231</v>
      </c>
    </row>
    <row r="25" spans="1:26" x14ac:dyDescent="0.2">
      <c r="A25" s="213" t="str">
        <f t="shared" ref="A25:C25" si="29">A37</f>
        <v>UME</v>
      </c>
      <c r="B25" s="502">
        <f t="shared" si="29"/>
        <v>178727</v>
      </c>
      <c r="C25" s="217">
        <f t="shared" si="29"/>
        <v>991.53</v>
      </c>
      <c r="D25" s="217">
        <f t="shared" ref="D25:E25" si="30">F37</f>
        <v>0.44</v>
      </c>
      <c r="E25" s="1275">
        <f t="shared" si="30"/>
        <v>991.06</v>
      </c>
      <c r="F25" s="219">
        <f t="shared" si="0"/>
        <v>0.875</v>
      </c>
      <c r="G25" s="1275">
        <f t="shared" si="1"/>
        <v>-0.5</v>
      </c>
      <c r="H25" s="1275">
        <f t="shared" si="2"/>
        <v>2</v>
      </c>
      <c r="I25" s="155">
        <f t="shared" si="3"/>
        <v>0</v>
      </c>
      <c r="J25" s="155">
        <f t="shared" si="4"/>
        <v>0</v>
      </c>
      <c r="K25" s="155">
        <f t="shared" si="5"/>
        <v>1.75</v>
      </c>
      <c r="L25" s="155">
        <f t="shared" si="6"/>
        <v>10</v>
      </c>
      <c r="M25" s="156">
        <f t="shared" si="7"/>
        <v>0.17649491190382541</v>
      </c>
      <c r="N25" s="157">
        <f t="shared" si="8"/>
        <v>1.7649491190382539E-2</v>
      </c>
      <c r="O25" s="155">
        <f t="shared" si="9"/>
        <v>100</v>
      </c>
      <c r="P25" s="250">
        <v>1</v>
      </c>
      <c r="Q25" s="250">
        <v>1000</v>
      </c>
      <c r="R25" s="148">
        <f t="shared" si="12"/>
        <v>1.764949119038254</v>
      </c>
      <c r="S25" s="148">
        <f t="shared" si="13"/>
        <v>0.17649491190382541</v>
      </c>
      <c r="T25" s="148">
        <f t="shared" si="14"/>
        <v>1.7649491190382539E-2</v>
      </c>
      <c r="U25" s="148">
        <f t="shared" si="14"/>
        <v>1.764949119038254</v>
      </c>
      <c r="V25" s="7">
        <f t="shared" si="15"/>
        <v>1000</v>
      </c>
      <c r="W25" s="7">
        <f t="shared" si="15"/>
        <v>1000000</v>
      </c>
      <c r="X25" s="1345">
        <f t="shared" si="16"/>
        <v>17.649491190382541</v>
      </c>
      <c r="Y25" s="1345">
        <f t="shared" si="16"/>
        <v>1764.9491190382539</v>
      </c>
    </row>
    <row r="26" spans="1:26" ht="14.25" x14ac:dyDescent="0.2">
      <c r="H26" s="9"/>
      <c r="U26" s="152"/>
      <c r="V26" s="21"/>
      <c r="W26" s="21"/>
      <c r="X26" s="21"/>
      <c r="Y26" s="21"/>
      <c r="Z26" s="21"/>
    </row>
    <row r="27" spans="1:26" ht="14.25" x14ac:dyDescent="0.2">
      <c r="H27" s="9"/>
      <c r="U27" s="152"/>
      <c r="V27" s="21"/>
      <c r="W27" s="21"/>
      <c r="X27" s="21"/>
      <c r="Y27" s="21"/>
      <c r="Z27" s="21"/>
    </row>
    <row r="28" spans="1:26" s="227" customFormat="1" ht="12.95" customHeight="1" x14ac:dyDescent="0.2">
      <c r="A28" s="535" t="s">
        <v>0</v>
      </c>
      <c r="B28" s="1313" t="s">
        <v>1</v>
      </c>
      <c r="C28" s="1314" t="s">
        <v>1449</v>
      </c>
      <c r="D28" s="1276" t="s">
        <v>1450</v>
      </c>
      <c r="E28" s="1234" t="s">
        <v>1451</v>
      </c>
      <c r="F28" s="1315" t="s">
        <v>1452</v>
      </c>
      <c r="G28" s="1314" t="s">
        <v>1453</v>
      </c>
      <c r="H28" s="1276" t="s">
        <v>1454</v>
      </c>
      <c r="I28" s="1315" t="s">
        <v>1455</v>
      </c>
      <c r="J28" s="1314" t="s">
        <v>1456</v>
      </c>
      <c r="K28" s="1316" t="s">
        <v>131</v>
      </c>
      <c r="L28" s="1317" t="s">
        <v>1457</v>
      </c>
    </row>
    <row r="29" spans="1:26" s="227" customFormat="1" ht="12" customHeight="1" x14ac:dyDescent="0.2">
      <c r="A29" s="536" t="s">
        <v>1415</v>
      </c>
      <c r="B29" s="1318">
        <v>153259</v>
      </c>
      <c r="C29" s="1319">
        <v>993.15</v>
      </c>
      <c r="D29" s="1320">
        <v>0.26</v>
      </c>
      <c r="E29" s="1321">
        <v>0.35</v>
      </c>
      <c r="F29" s="1322">
        <v>0.44</v>
      </c>
      <c r="G29" s="1323">
        <v>1000.8</v>
      </c>
      <c r="H29" s="1324">
        <v>6.8</v>
      </c>
      <c r="I29" s="1325">
        <v>2</v>
      </c>
      <c r="J29" s="1323">
        <v>7.6</v>
      </c>
      <c r="K29" s="543">
        <v>2</v>
      </c>
      <c r="L29" s="1326">
        <v>6.9</v>
      </c>
    </row>
    <row r="30" spans="1:26" s="227" customFormat="1" ht="14.1" customHeight="1" x14ac:dyDescent="0.2">
      <c r="A30" s="547" t="s">
        <v>19</v>
      </c>
      <c r="B30" s="1327">
        <v>153322</v>
      </c>
      <c r="C30" s="1328">
        <v>993.69</v>
      </c>
      <c r="D30" s="1329">
        <v>0.27</v>
      </c>
      <c r="E30" s="1330">
        <v>0.35</v>
      </c>
      <c r="F30" s="1331">
        <v>0.44</v>
      </c>
      <c r="G30" s="1332">
        <v>996</v>
      </c>
      <c r="H30" s="1333">
        <v>4</v>
      </c>
      <c r="I30" s="1334">
        <v>2</v>
      </c>
      <c r="J30" s="1332">
        <v>2.2999999999999998</v>
      </c>
      <c r="K30" s="554">
        <v>2</v>
      </c>
      <c r="L30" s="1335">
        <v>4.0999999999999996</v>
      </c>
    </row>
    <row r="31" spans="1:26" s="227" customFormat="1" ht="14.1" customHeight="1" x14ac:dyDescent="0.2">
      <c r="A31" s="547" t="s">
        <v>21</v>
      </c>
      <c r="B31" s="1327">
        <v>153513</v>
      </c>
      <c r="C31" s="1328">
        <v>993.4</v>
      </c>
      <c r="D31" s="1329">
        <v>0.27</v>
      </c>
      <c r="E31" s="1330">
        <v>0.35</v>
      </c>
      <c r="F31" s="1331">
        <v>0.44</v>
      </c>
      <c r="G31" s="1332">
        <v>993.4</v>
      </c>
      <c r="H31" s="1333">
        <v>0.7</v>
      </c>
      <c r="I31" s="1334">
        <v>2</v>
      </c>
      <c r="J31" s="1332">
        <v>0</v>
      </c>
      <c r="K31" s="554">
        <v>2</v>
      </c>
      <c r="L31" s="1335">
        <v>1.1000000000000001</v>
      </c>
    </row>
    <row r="32" spans="1:26" s="227" customFormat="1" ht="14.1" customHeight="1" x14ac:dyDescent="0.2">
      <c r="A32" s="547" t="s">
        <v>418</v>
      </c>
      <c r="B32" s="1327">
        <v>153743</v>
      </c>
      <c r="C32" s="1328">
        <v>991.72</v>
      </c>
      <c r="D32" s="1329">
        <v>0.26</v>
      </c>
      <c r="E32" s="1330">
        <v>0.35</v>
      </c>
      <c r="F32" s="1331">
        <v>0.44</v>
      </c>
      <c r="G32" s="1332">
        <v>999.4</v>
      </c>
      <c r="H32" s="1333">
        <v>7.4</v>
      </c>
      <c r="I32" s="1331">
        <v>1.98</v>
      </c>
      <c r="J32" s="1332">
        <v>7.7</v>
      </c>
      <c r="K32" s="554">
        <v>2</v>
      </c>
      <c r="L32" s="1335">
        <v>7.5</v>
      </c>
    </row>
    <row r="33" spans="1:26" s="227" customFormat="1" ht="14.1" customHeight="1" x14ac:dyDescent="0.2">
      <c r="A33" s="547" t="s">
        <v>18</v>
      </c>
      <c r="B33" s="1327">
        <v>153769</v>
      </c>
      <c r="C33" s="1328">
        <v>991.01</v>
      </c>
      <c r="D33" s="1329">
        <v>0.27</v>
      </c>
      <c r="E33" s="1330">
        <v>0.35</v>
      </c>
      <c r="F33" s="1331">
        <v>0.44</v>
      </c>
      <c r="G33" s="1332">
        <v>991.1</v>
      </c>
      <c r="H33" s="1333">
        <v>1.8</v>
      </c>
      <c r="I33" s="1334">
        <v>2</v>
      </c>
      <c r="J33" s="1332">
        <v>0.1</v>
      </c>
      <c r="K33" s="554">
        <v>2</v>
      </c>
      <c r="L33" s="1335">
        <v>2</v>
      </c>
    </row>
    <row r="34" spans="1:26" s="227" customFormat="1" ht="14.1" customHeight="1" x14ac:dyDescent="0.2">
      <c r="A34" s="547" t="s">
        <v>480</v>
      </c>
      <c r="B34" s="1327">
        <v>153885</v>
      </c>
      <c r="C34" s="1328">
        <v>993.04</v>
      </c>
      <c r="D34" s="1329">
        <v>0.27</v>
      </c>
      <c r="E34" s="1330">
        <v>0.35</v>
      </c>
      <c r="F34" s="1331">
        <v>0.44</v>
      </c>
      <c r="G34" s="1332">
        <v>992</v>
      </c>
      <c r="H34" s="1333">
        <v>3</v>
      </c>
      <c r="I34" s="1334">
        <v>2</v>
      </c>
      <c r="J34" s="1332">
        <v>-1</v>
      </c>
      <c r="K34" s="554">
        <v>2</v>
      </c>
      <c r="L34" s="1335">
        <v>3.1</v>
      </c>
    </row>
    <row r="35" spans="1:26" s="227" customFormat="1" ht="14.1" customHeight="1" x14ac:dyDescent="0.2">
      <c r="A35" s="547" t="s">
        <v>476</v>
      </c>
      <c r="B35" s="1327">
        <v>153929</v>
      </c>
      <c r="C35" s="1328">
        <v>989.47</v>
      </c>
      <c r="D35" s="1329">
        <v>0.26</v>
      </c>
      <c r="E35" s="1330">
        <v>0.35</v>
      </c>
      <c r="F35" s="1331">
        <v>0.44</v>
      </c>
      <c r="G35" s="1332">
        <v>987.4</v>
      </c>
      <c r="H35" s="1333">
        <v>4.5999999999999996</v>
      </c>
      <c r="I35" s="1334">
        <v>2</v>
      </c>
      <c r="J35" s="1332">
        <v>-2.1</v>
      </c>
      <c r="K35" s="554">
        <v>2</v>
      </c>
      <c r="L35" s="1335">
        <v>4.7</v>
      </c>
    </row>
    <row r="36" spans="1:26" s="227" customFormat="1" ht="14.1" customHeight="1" x14ac:dyDescent="0.2">
      <c r="A36" s="547" t="s">
        <v>174</v>
      </c>
      <c r="B36" s="1327">
        <v>153933</v>
      </c>
      <c r="C36" s="1328">
        <v>991.07</v>
      </c>
      <c r="D36" s="1329">
        <v>0.26</v>
      </c>
      <c r="E36" s="1330">
        <v>0.35</v>
      </c>
      <c r="F36" s="1331">
        <v>0.44</v>
      </c>
      <c r="G36" s="1332">
        <v>993</v>
      </c>
      <c r="H36" s="1333">
        <v>4</v>
      </c>
      <c r="I36" s="1334">
        <v>2</v>
      </c>
      <c r="J36" s="1332">
        <v>1.9</v>
      </c>
      <c r="K36" s="554">
        <v>2</v>
      </c>
      <c r="L36" s="1335">
        <v>4.0999999999999996</v>
      </c>
    </row>
    <row r="37" spans="1:26" s="227" customFormat="1" ht="17.100000000000001" customHeight="1" x14ac:dyDescent="0.2">
      <c r="A37" s="561" t="s">
        <v>318</v>
      </c>
      <c r="B37" s="1336">
        <v>178727</v>
      </c>
      <c r="C37" s="1337">
        <v>991.53</v>
      </c>
      <c r="D37" s="1338">
        <v>0.26</v>
      </c>
      <c r="E37" s="1339">
        <v>0.35</v>
      </c>
      <c r="F37" s="1340">
        <v>0.44</v>
      </c>
      <c r="G37" s="1341">
        <v>991.06</v>
      </c>
      <c r="H37" s="1338">
        <v>1.75</v>
      </c>
      <c r="I37" s="1342">
        <v>2</v>
      </c>
      <c r="J37" s="1343">
        <v>-0.5</v>
      </c>
      <c r="K37" s="568">
        <v>2</v>
      </c>
      <c r="L37" s="1344">
        <v>2</v>
      </c>
    </row>
    <row r="38" spans="1:26" ht="14.25" x14ac:dyDescent="0.2">
      <c r="H38" s="9"/>
      <c r="U38" s="152"/>
      <c r="V38" s="21"/>
      <c r="W38" s="21"/>
      <c r="X38" s="21"/>
      <c r="Y38" s="21"/>
      <c r="Z38" s="21"/>
    </row>
    <row r="39" spans="1:26" ht="14.25" x14ac:dyDescent="0.2">
      <c r="H39" s="9"/>
      <c r="U39" s="152"/>
      <c r="V39" s="21"/>
      <c r="W39" s="21"/>
      <c r="X39" s="21"/>
      <c r="Y39" s="21"/>
      <c r="Z39" s="21"/>
    </row>
    <row r="40" spans="1:26" ht="14.25" x14ac:dyDescent="0.2">
      <c r="H40" s="9"/>
      <c r="X40" s="21"/>
      <c r="Y40" s="21"/>
      <c r="Z40" s="21"/>
    </row>
    <row r="41" spans="1:26" ht="14.25" x14ac:dyDescent="0.2">
      <c r="H41" s="9"/>
      <c r="X41" s="21"/>
      <c r="Y41" s="21"/>
      <c r="Z41" s="21"/>
    </row>
    <row r="42" spans="1:26" ht="14.25" x14ac:dyDescent="0.2">
      <c r="H42" s="9"/>
      <c r="X42" s="21"/>
      <c r="Y42" s="21"/>
      <c r="Z42" s="21"/>
    </row>
    <row r="43" spans="1:26" ht="14.25" x14ac:dyDescent="0.2">
      <c r="H43" s="9"/>
      <c r="X43" s="21"/>
      <c r="Y43" s="21"/>
      <c r="Z43" s="21"/>
    </row>
    <row r="44" spans="1:26" ht="14.25" x14ac:dyDescent="0.2">
      <c r="H44" s="9"/>
      <c r="X44" s="21"/>
      <c r="Y44" s="21"/>
      <c r="Z44" s="21"/>
    </row>
    <row r="45" spans="1:26" ht="14.25" x14ac:dyDescent="0.2">
      <c r="H45" s="9"/>
      <c r="X45" s="21"/>
      <c r="Y45" s="21"/>
      <c r="Z45" s="21"/>
    </row>
    <row r="46" spans="1:26" ht="14.25" x14ac:dyDescent="0.2">
      <c r="H46" s="9"/>
      <c r="X46" s="21"/>
      <c r="Y46" s="21"/>
      <c r="Z46" s="21"/>
    </row>
    <row r="47" spans="1:26" ht="14.25" x14ac:dyDescent="0.2">
      <c r="H47" s="9"/>
      <c r="X47" s="21"/>
      <c r="Y47" s="21"/>
      <c r="Z47" s="21"/>
    </row>
    <row r="48" spans="1:26" ht="14.25" x14ac:dyDescent="0.2">
      <c r="H48" s="9"/>
      <c r="X48" s="21"/>
      <c r="Y48" s="21"/>
      <c r="Z48" s="21"/>
    </row>
    <row r="49" spans="8:26" ht="14.25" x14ac:dyDescent="0.2">
      <c r="H49" s="9"/>
      <c r="X49" s="21"/>
      <c r="Y49" s="21"/>
      <c r="Z49" s="21"/>
    </row>
    <row r="50" spans="8:26" ht="14.25" x14ac:dyDescent="0.2">
      <c r="H50" s="9"/>
      <c r="X50" s="21"/>
      <c r="Y50" s="21"/>
      <c r="Z50" s="21"/>
    </row>
    <row r="51" spans="8:26" ht="14.25" x14ac:dyDescent="0.2">
      <c r="H51" s="9"/>
      <c r="X51" s="21"/>
      <c r="Y51" s="21"/>
      <c r="Z51" s="21"/>
    </row>
    <row r="52" spans="8:26" ht="14.25" x14ac:dyDescent="0.2">
      <c r="H52" s="9"/>
      <c r="X52" s="21"/>
      <c r="Y52" s="21"/>
      <c r="Z52" s="21"/>
    </row>
    <row r="53" spans="8:26" ht="14.25" x14ac:dyDescent="0.2">
      <c r="H53" s="9"/>
      <c r="X53" s="21"/>
      <c r="Y53" s="21"/>
      <c r="Z53" s="21"/>
    </row>
    <row r="54" spans="8:26" ht="14.25" x14ac:dyDescent="0.2">
      <c r="H54" s="9"/>
      <c r="X54" s="21"/>
      <c r="Y54" s="21"/>
      <c r="Z54" s="21"/>
    </row>
    <row r="55" spans="8:26" ht="14.25" x14ac:dyDescent="0.2">
      <c r="H55" s="9"/>
      <c r="U55" s="152"/>
      <c r="V55" s="21"/>
      <c r="W55" s="21"/>
      <c r="X55" s="21"/>
      <c r="Y55" s="21"/>
      <c r="Z55" s="21"/>
    </row>
    <row r="56" spans="8:26" ht="14.25" x14ac:dyDescent="0.2">
      <c r="H56" s="9"/>
      <c r="U56" s="152"/>
      <c r="V56" s="21"/>
      <c r="W56" s="21"/>
      <c r="X56" s="21"/>
      <c r="Y56" s="21"/>
      <c r="Z56" s="21"/>
    </row>
    <row r="57" spans="8:26" ht="14.25" x14ac:dyDescent="0.2">
      <c r="H57" s="9"/>
      <c r="U57" s="152"/>
      <c r="V57" s="21"/>
      <c r="W57" s="21"/>
      <c r="X57" s="21"/>
      <c r="Y57" s="21"/>
      <c r="Z57" s="21"/>
    </row>
    <row r="58" spans="8:26" ht="14.25" x14ac:dyDescent="0.2">
      <c r="H58" s="9"/>
      <c r="U58" s="152"/>
      <c r="V58" s="21"/>
      <c r="W58" s="21"/>
      <c r="X58" s="21"/>
      <c r="Y58" s="21"/>
      <c r="Z58" s="21"/>
    </row>
    <row r="59" spans="8:26" ht="14.25" x14ac:dyDescent="0.2">
      <c r="H59" s="9"/>
      <c r="U59" s="152"/>
      <c r="V59" s="21"/>
      <c r="W59" s="21"/>
      <c r="X59" s="21"/>
      <c r="Y59" s="21"/>
      <c r="Z59" s="21"/>
    </row>
    <row r="60" spans="8:26" ht="14.25" x14ac:dyDescent="0.2">
      <c r="H60" s="9"/>
      <c r="U60" s="152"/>
      <c r="V60" s="21"/>
      <c r="W60" s="21"/>
      <c r="X60" s="21"/>
      <c r="Y60" s="21"/>
      <c r="Z60" s="21"/>
    </row>
    <row r="61" spans="8:26" ht="14.25" x14ac:dyDescent="0.2">
      <c r="H61" s="9"/>
      <c r="U61" s="152"/>
      <c r="V61" s="21"/>
      <c r="W61" s="21"/>
      <c r="X61" s="21"/>
      <c r="Y61" s="21"/>
      <c r="Z61" s="21"/>
    </row>
    <row r="62" spans="8:26" ht="14.25" x14ac:dyDescent="0.2">
      <c r="H62" s="9"/>
      <c r="U62" s="152"/>
      <c r="V62" s="21"/>
      <c r="W62" s="21"/>
      <c r="X62" s="21"/>
      <c r="Y62" s="21"/>
      <c r="Z62" s="21"/>
    </row>
    <row r="63" spans="8:26" ht="14.25" x14ac:dyDescent="0.2">
      <c r="H63" s="9"/>
      <c r="U63" s="152"/>
      <c r="V63" s="21"/>
      <c r="W63" s="21"/>
      <c r="X63" s="21"/>
      <c r="Y63" s="21"/>
      <c r="Z63" s="21"/>
    </row>
    <row r="64" spans="8:26" ht="14.25" x14ac:dyDescent="0.2">
      <c r="H64" s="9"/>
      <c r="U64" s="152"/>
      <c r="V64" s="21"/>
      <c r="W64" s="21"/>
      <c r="X64" s="21"/>
      <c r="Y64" s="21"/>
      <c r="Z64" s="21"/>
    </row>
    <row r="65" spans="8:26" ht="14.25" x14ac:dyDescent="0.2">
      <c r="H65" s="9"/>
      <c r="U65" s="152"/>
      <c r="V65" s="21"/>
      <c r="W65" s="21"/>
      <c r="X65" s="21"/>
      <c r="Y65" s="21"/>
      <c r="Z65" s="21"/>
    </row>
    <row r="66" spans="8:26" ht="14.25" x14ac:dyDescent="0.2">
      <c r="H66" s="9"/>
      <c r="U66" s="152"/>
      <c r="V66" s="21"/>
      <c r="W66" s="21"/>
      <c r="X66" s="21"/>
      <c r="Y66" s="21"/>
      <c r="Z66" s="21"/>
    </row>
    <row r="67" spans="8:26" ht="14.25" x14ac:dyDescent="0.2">
      <c r="H67" s="9"/>
      <c r="U67" s="152"/>
      <c r="V67" s="21"/>
      <c r="W67" s="21"/>
      <c r="X67" s="21"/>
      <c r="Y67" s="21"/>
      <c r="Z67" s="21"/>
    </row>
    <row r="68" spans="8:26" ht="14.25" x14ac:dyDescent="0.2">
      <c r="H68" s="9"/>
      <c r="U68" s="152"/>
      <c r="V68" s="21"/>
      <c r="W68" s="21"/>
      <c r="X68" s="21"/>
      <c r="Y68" s="21"/>
      <c r="Z68" s="21"/>
    </row>
    <row r="69" spans="8:26" ht="14.25" x14ac:dyDescent="0.2">
      <c r="H69" s="9"/>
      <c r="U69" s="152"/>
      <c r="V69" s="21"/>
      <c r="W69" s="21"/>
      <c r="X69" s="21"/>
      <c r="Y69" s="21"/>
      <c r="Z69" s="21"/>
    </row>
    <row r="70" spans="8:26" ht="14.25" x14ac:dyDescent="0.2">
      <c r="H70" s="9"/>
      <c r="U70" s="152"/>
      <c r="V70" s="21"/>
      <c r="W70" s="21"/>
      <c r="X70" s="21"/>
      <c r="Y70" s="21"/>
      <c r="Z70" s="21"/>
    </row>
    <row r="71" spans="8:26" ht="14.25" x14ac:dyDescent="0.2">
      <c r="H71" s="9"/>
      <c r="U71" s="152"/>
      <c r="V71" s="21"/>
      <c r="W71" s="21"/>
      <c r="X71" s="21"/>
      <c r="Y71" s="21"/>
      <c r="Z71" s="21"/>
    </row>
    <row r="72" spans="8:26" ht="14.25" x14ac:dyDescent="0.2">
      <c r="H72" s="9"/>
      <c r="U72" s="152"/>
      <c r="V72" s="21"/>
      <c r="W72" s="21"/>
      <c r="X72" s="21"/>
      <c r="Y72" s="21"/>
      <c r="Z72" s="21"/>
    </row>
    <row r="73" spans="8:26" ht="14.25" x14ac:dyDescent="0.2">
      <c r="U73" s="152"/>
      <c r="V73" s="21"/>
      <c r="W73" s="21"/>
      <c r="X73" s="21"/>
      <c r="Y73" s="21"/>
      <c r="Z73" s="21"/>
    </row>
    <row r="74" spans="8:26" ht="14.25" x14ac:dyDescent="0.2">
      <c r="H74" s="9"/>
      <c r="U74" s="152"/>
      <c r="V74" s="21"/>
      <c r="W74" s="21"/>
      <c r="X74" s="21"/>
      <c r="Y74" s="21"/>
      <c r="Z74" s="21"/>
    </row>
    <row r="75" spans="8:26" ht="14.25" x14ac:dyDescent="0.2">
      <c r="H75" s="9"/>
      <c r="U75" s="152"/>
      <c r="V75" s="21"/>
      <c r="W75" s="21"/>
      <c r="X75" s="21"/>
      <c r="Y75" s="21"/>
      <c r="Z75" s="21"/>
    </row>
    <row r="76" spans="8:26" ht="14.25" x14ac:dyDescent="0.2">
      <c r="H76" s="9"/>
      <c r="U76" s="152"/>
      <c r="V76" s="21"/>
      <c r="W76" s="21"/>
      <c r="X76" s="21"/>
      <c r="Y76" s="21"/>
      <c r="Z76" s="21"/>
    </row>
    <row r="77" spans="8:26" ht="14.25" x14ac:dyDescent="0.2">
      <c r="H77" s="9"/>
      <c r="U77" s="152"/>
      <c r="V77" s="21"/>
      <c r="W77" s="21"/>
      <c r="X77" s="21"/>
      <c r="Y77" s="21"/>
      <c r="Z77" s="21"/>
    </row>
    <row r="78" spans="8:26" ht="14.25" x14ac:dyDescent="0.2">
      <c r="H78" s="9"/>
      <c r="U78" s="152"/>
      <c r="V78" s="21"/>
      <c r="W78" s="21"/>
      <c r="X78" s="21"/>
      <c r="Y78" s="21"/>
      <c r="Z78" s="21"/>
    </row>
    <row r="79" spans="8:26" ht="14.25" x14ac:dyDescent="0.2">
      <c r="H79" s="9"/>
      <c r="U79" s="152"/>
      <c r="V79" s="21"/>
      <c r="W79" s="21"/>
      <c r="X79" s="21"/>
      <c r="Y79" s="21"/>
      <c r="Z79" s="21"/>
    </row>
    <row r="80" spans="8:26" ht="14.25" x14ac:dyDescent="0.2">
      <c r="U80" s="152"/>
      <c r="V80" s="21"/>
      <c r="W80" s="21"/>
      <c r="X80" s="21"/>
      <c r="Y80" s="21"/>
      <c r="Z80" s="21"/>
    </row>
    <row r="81" spans="1:26" ht="14.25" x14ac:dyDescent="0.2">
      <c r="U81" s="152"/>
      <c r="V81" s="21"/>
      <c r="W81" s="21"/>
      <c r="X81" s="21"/>
      <c r="Y81" s="21"/>
      <c r="Z81" s="21"/>
    </row>
    <row r="82" spans="1:26" ht="14.25" x14ac:dyDescent="0.2">
      <c r="U82" s="152"/>
      <c r="V82" s="21"/>
      <c r="W82" s="21"/>
      <c r="X82" s="21"/>
      <c r="Y82" s="21"/>
      <c r="Z82" s="21"/>
    </row>
    <row r="83" spans="1:26" ht="14.25" x14ac:dyDescent="0.2">
      <c r="U83" s="152"/>
      <c r="V83" s="21"/>
      <c r="W83" s="21"/>
      <c r="X83" s="21"/>
      <c r="Y83" s="21"/>
      <c r="Z83" s="21"/>
    </row>
    <row r="84" spans="1:26" ht="14.25" x14ac:dyDescent="0.2">
      <c r="U84" s="152"/>
      <c r="V84" s="21"/>
      <c r="W84" s="21"/>
      <c r="X84" s="21"/>
      <c r="Y84" s="21"/>
      <c r="Z84" s="21"/>
    </row>
    <row r="85" spans="1:26" ht="14.25" x14ac:dyDescent="0.2">
      <c r="U85" s="152"/>
      <c r="V85" s="21"/>
      <c r="W85" s="21"/>
      <c r="X85" s="21"/>
      <c r="Y85" s="21"/>
      <c r="Z85" s="21"/>
    </row>
    <row r="86" spans="1:26" ht="14.25" x14ac:dyDescent="0.2">
      <c r="A86" s="23"/>
      <c r="B86" s="23"/>
      <c r="C86" s="23"/>
      <c r="D86" s="23"/>
      <c r="T86" s="151"/>
      <c r="U86" s="152"/>
      <c r="V86" s="21"/>
      <c r="W86" s="21"/>
      <c r="X86" s="21"/>
      <c r="Y86" s="21"/>
      <c r="Z86" s="21"/>
    </row>
    <row r="87" spans="1:26" ht="14.25" x14ac:dyDescent="0.2">
      <c r="T87" s="151"/>
      <c r="U87" s="152"/>
      <c r="V87" s="21"/>
      <c r="W87" s="21"/>
      <c r="X87" s="21"/>
      <c r="Y87" s="21"/>
      <c r="Z87" s="21"/>
    </row>
    <row r="88" spans="1:26" ht="14.25" x14ac:dyDescent="0.2">
      <c r="T88" s="151"/>
      <c r="U88" s="152"/>
      <c r="V88" s="21"/>
      <c r="W88" s="21"/>
      <c r="X88" s="21"/>
      <c r="Y88" s="21"/>
      <c r="Z88" s="21"/>
    </row>
    <row r="89" spans="1:26" ht="14.25" x14ac:dyDescent="0.2">
      <c r="T89" s="151"/>
      <c r="U89" s="152"/>
      <c r="V89" s="21"/>
      <c r="W89" s="21"/>
      <c r="X89" s="21"/>
      <c r="Y89" s="21"/>
      <c r="Z89" s="21"/>
    </row>
    <row r="90" spans="1:26" ht="14.25" x14ac:dyDescent="0.2">
      <c r="T90" s="151"/>
      <c r="U90" s="152"/>
      <c r="V90" s="21"/>
      <c r="W90" s="21"/>
      <c r="X90" s="21"/>
      <c r="Y90" s="21"/>
      <c r="Z90" s="21"/>
    </row>
    <row r="91" spans="1:26" ht="14.25" x14ac:dyDescent="0.2">
      <c r="T91" s="151"/>
      <c r="U91" s="152"/>
      <c r="V91" s="21"/>
      <c r="W91" s="21"/>
      <c r="X91" s="21"/>
      <c r="Y91" s="21"/>
      <c r="Z91" s="21"/>
    </row>
    <row r="92" spans="1:26" ht="14.25" x14ac:dyDescent="0.2">
      <c r="T92" s="151"/>
      <c r="U92" s="152"/>
      <c r="V92" s="21"/>
      <c r="W92" s="21"/>
      <c r="X92" s="21"/>
      <c r="Y92" s="21"/>
      <c r="Z92" s="21"/>
    </row>
    <row r="93" spans="1:26" ht="14.25" x14ac:dyDescent="0.2">
      <c r="T93" s="151"/>
      <c r="U93" s="152"/>
      <c r="V93" s="21"/>
      <c r="W93" s="21"/>
      <c r="X93" s="21"/>
      <c r="Y93" s="21"/>
      <c r="Z93" s="21"/>
    </row>
    <row r="94" spans="1:26" ht="14.25" x14ac:dyDescent="0.2">
      <c r="T94" s="151"/>
      <c r="U94" s="152"/>
      <c r="V94" s="21"/>
      <c r="W94" s="21"/>
      <c r="X94" s="21"/>
      <c r="Y94" s="21"/>
      <c r="Z94" s="21"/>
    </row>
    <row r="95" spans="1:26" ht="14.25" x14ac:dyDescent="0.2">
      <c r="T95" s="151"/>
      <c r="U95" s="152"/>
      <c r="V95" s="21"/>
      <c r="W95" s="21"/>
      <c r="X95" s="21"/>
      <c r="Y95" s="21"/>
      <c r="Z95" s="21"/>
    </row>
    <row r="96" spans="1:26" ht="14.25" x14ac:dyDescent="0.2">
      <c r="T96" s="151"/>
      <c r="U96" s="152"/>
      <c r="V96" s="21"/>
      <c r="W96" s="21"/>
      <c r="X96" s="21"/>
      <c r="Y96" s="21"/>
      <c r="Z96" s="21"/>
    </row>
    <row r="97" spans="1:26" ht="14.25" x14ac:dyDescent="0.2">
      <c r="T97" s="151"/>
      <c r="U97" s="152"/>
      <c r="V97" s="21"/>
      <c r="W97" s="21"/>
      <c r="X97" s="21"/>
      <c r="Y97" s="21"/>
      <c r="Z97" s="21"/>
    </row>
    <row r="98" spans="1:26" ht="14.25" x14ac:dyDescent="0.2">
      <c r="T98" s="151"/>
      <c r="U98" s="152"/>
      <c r="V98" s="21"/>
      <c r="W98" s="21"/>
      <c r="X98" s="21"/>
      <c r="Y98" s="21"/>
      <c r="Z98" s="21"/>
    </row>
    <row r="99" spans="1:26" ht="14.25" x14ac:dyDescent="0.2">
      <c r="A99" s="23"/>
      <c r="B99" s="23"/>
      <c r="C99" s="23"/>
      <c r="D99" s="23"/>
      <c r="T99" s="151"/>
      <c r="U99" s="152"/>
      <c r="V99" s="21"/>
      <c r="W99" s="21"/>
      <c r="X99" s="21"/>
      <c r="Y99" s="21"/>
      <c r="Z99" s="21"/>
    </row>
    <row r="100" spans="1:26" ht="14.25" x14ac:dyDescent="0.2">
      <c r="A100" s="23"/>
      <c r="B100" s="23"/>
      <c r="C100" s="23"/>
      <c r="D100" s="23"/>
      <c r="T100" s="151"/>
      <c r="U100" s="152"/>
      <c r="V100" s="21"/>
      <c r="W100" s="21"/>
      <c r="X100" s="21"/>
      <c r="Y100" s="21"/>
      <c r="Z100" s="21"/>
    </row>
    <row r="101" spans="1:26" ht="14.25" x14ac:dyDescent="0.2">
      <c r="A101" s="23"/>
      <c r="B101" s="23"/>
      <c r="C101" s="23"/>
      <c r="D101" s="23"/>
      <c r="T101" s="151"/>
      <c r="U101" s="152"/>
      <c r="V101" s="21"/>
      <c r="W101" s="21"/>
      <c r="X101" s="21"/>
      <c r="Y101" s="21"/>
      <c r="Z101" s="21"/>
    </row>
    <row r="102" spans="1:26" ht="14.25" x14ac:dyDescent="0.2">
      <c r="A102" s="23"/>
      <c r="B102" s="23"/>
      <c r="C102" s="23"/>
      <c r="D102" s="23"/>
      <c r="T102" s="151"/>
      <c r="U102" s="152"/>
      <c r="V102" s="21"/>
      <c r="W102" s="21"/>
      <c r="X102" s="21"/>
      <c r="Y102" s="21"/>
      <c r="Z102" s="21"/>
    </row>
    <row r="103" spans="1:26" ht="14.25" x14ac:dyDescent="0.2">
      <c r="A103" s="23"/>
      <c r="B103" s="23"/>
      <c r="C103" s="23"/>
      <c r="D103" s="23"/>
      <c r="T103" s="151"/>
      <c r="U103" s="152"/>
      <c r="V103" s="21"/>
      <c r="W103" s="21"/>
      <c r="X103" s="21"/>
      <c r="Y103" s="21"/>
      <c r="Z103" s="21"/>
    </row>
    <row r="104" spans="1:26" ht="14.25" x14ac:dyDescent="0.2">
      <c r="A104" s="23"/>
      <c r="B104" s="23"/>
      <c r="C104" s="23"/>
      <c r="D104" s="23"/>
      <c r="T104" s="151"/>
      <c r="U104" s="152"/>
      <c r="V104" s="21"/>
      <c r="W104" s="21"/>
      <c r="X104" s="21"/>
      <c r="Y104" s="21"/>
      <c r="Z104" s="21"/>
    </row>
    <row r="105" spans="1:26" ht="14.25" x14ac:dyDescent="0.2">
      <c r="A105" s="23"/>
      <c r="B105" s="23"/>
      <c r="C105" s="23"/>
      <c r="D105" s="23"/>
      <c r="T105" s="151"/>
      <c r="U105" s="152"/>
      <c r="V105" s="21"/>
      <c r="W105" s="21"/>
      <c r="X105" s="21"/>
      <c r="Y105" s="21"/>
      <c r="Z105" s="21"/>
    </row>
    <row r="106" spans="1:26" ht="14.25" x14ac:dyDescent="0.2">
      <c r="A106" s="23"/>
      <c r="B106" s="23"/>
      <c r="C106" s="23"/>
      <c r="D106" s="23"/>
      <c r="T106" s="151"/>
      <c r="U106" s="152"/>
      <c r="V106" s="21"/>
      <c r="W106" s="21"/>
      <c r="X106" s="21"/>
      <c r="Y106" s="21"/>
      <c r="Z106" s="21"/>
    </row>
    <row r="107" spans="1:26" ht="14.25" x14ac:dyDescent="0.2">
      <c r="A107" s="23"/>
      <c r="B107" s="23"/>
      <c r="C107" s="23"/>
      <c r="D107" s="23"/>
      <c r="T107" s="151"/>
      <c r="U107" s="152"/>
      <c r="V107" s="21"/>
      <c r="W107" s="21"/>
      <c r="X107" s="21"/>
      <c r="Y107" s="21"/>
      <c r="Z107" s="21"/>
    </row>
    <row r="108" spans="1:26" ht="14.25" x14ac:dyDescent="0.2">
      <c r="A108" s="23"/>
      <c r="B108" s="23"/>
      <c r="C108" s="23"/>
      <c r="D108" s="23"/>
      <c r="T108" s="151"/>
      <c r="U108" s="152"/>
      <c r="V108" s="21"/>
      <c r="W108" s="21"/>
      <c r="X108" s="21"/>
      <c r="Y108" s="21"/>
      <c r="Z108" s="21"/>
    </row>
    <row r="109" spans="1:26" ht="14.25" x14ac:dyDescent="0.2">
      <c r="A109" s="23"/>
      <c r="B109" s="23"/>
      <c r="C109" s="23"/>
      <c r="D109" s="23"/>
      <c r="T109" s="151"/>
      <c r="U109" s="152"/>
      <c r="V109" s="21"/>
      <c r="W109" s="21"/>
      <c r="X109" s="21"/>
      <c r="Y109" s="21"/>
      <c r="Z109" s="21"/>
    </row>
    <row r="110" spans="1:26" ht="14.25" x14ac:dyDescent="0.2">
      <c r="A110" s="23"/>
      <c r="B110" s="23"/>
      <c r="C110" s="23"/>
      <c r="D110" s="23"/>
      <c r="T110" s="151"/>
      <c r="U110" s="152"/>
      <c r="V110" s="21"/>
      <c r="W110" s="21"/>
      <c r="X110" s="21"/>
      <c r="Y110" s="21"/>
      <c r="Z110" s="21"/>
    </row>
    <row r="111" spans="1:26" ht="14.25" x14ac:dyDescent="0.2">
      <c r="A111" s="23"/>
      <c r="B111" s="23"/>
      <c r="C111" s="23"/>
      <c r="D111" s="23"/>
      <c r="T111" s="151"/>
      <c r="U111" s="152"/>
      <c r="V111" s="21"/>
      <c r="W111" s="21"/>
      <c r="X111" s="21"/>
      <c r="Y111" s="21"/>
      <c r="Z111" s="21"/>
    </row>
    <row r="112" spans="1:26" ht="14.25" x14ac:dyDescent="0.2">
      <c r="A112" s="23"/>
      <c r="B112" s="23"/>
      <c r="C112" s="23"/>
      <c r="D112" s="23"/>
      <c r="T112" s="151"/>
      <c r="U112" s="152"/>
      <c r="V112" s="21"/>
      <c r="W112" s="21"/>
      <c r="X112" s="21"/>
      <c r="Y112" s="21"/>
      <c r="Z112" s="21"/>
    </row>
    <row r="113" spans="1:26" ht="13.5" x14ac:dyDescent="0.2">
      <c r="A113" s="24"/>
      <c r="B113" s="24"/>
      <c r="T113" s="153"/>
      <c r="V113" s="21"/>
      <c r="W113" s="21"/>
      <c r="X113" s="21"/>
      <c r="Y113" s="21"/>
      <c r="Z113" s="21"/>
    </row>
    <row r="127" spans="1:26" ht="16.899999999999999" customHeight="1" x14ac:dyDescent="0.2">
      <c r="A127" s="25"/>
    </row>
    <row r="128" spans="1:26" ht="12" customHeight="1" x14ac:dyDescent="0.2">
      <c r="A128" s="4"/>
    </row>
    <row r="129" spans="1:26" ht="13.15" customHeight="1" x14ac:dyDescent="0.2"/>
    <row r="130" spans="1:26" ht="13.15" customHeight="1" x14ac:dyDescent="0.2"/>
    <row r="131" spans="1:26" ht="13.15" customHeight="1" x14ac:dyDescent="0.2"/>
    <row r="132" spans="1:26" s="149" customFormat="1" ht="13.15" customHeight="1" x14ac:dyDescent="0.2">
      <c r="A132" s="1"/>
      <c r="B132" s="1"/>
      <c r="C132" s="1"/>
      <c r="D132" s="1"/>
      <c r="E132" s="1"/>
      <c r="F132" s="1"/>
      <c r="G132" s="1"/>
      <c r="H132" s="1"/>
      <c r="P132" s="1"/>
      <c r="Q132" s="1"/>
      <c r="T132" s="150"/>
      <c r="U132" s="150"/>
      <c r="V132" s="1"/>
      <c r="W132" s="1"/>
      <c r="X132" s="1"/>
      <c r="Y132" s="1"/>
      <c r="Z132" s="1"/>
    </row>
    <row r="133" spans="1:26" s="149" customFormat="1" ht="13.15" customHeight="1" x14ac:dyDescent="0.2">
      <c r="A133" s="1"/>
      <c r="B133" s="1"/>
      <c r="C133" s="1"/>
      <c r="D133" s="1"/>
      <c r="E133" s="1"/>
      <c r="F133" s="1"/>
      <c r="G133" s="1"/>
      <c r="H133" s="1"/>
      <c r="P133" s="1"/>
      <c r="Q133" s="1"/>
      <c r="T133" s="150"/>
      <c r="U133" s="150"/>
      <c r="V133" s="1"/>
      <c r="W133" s="1"/>
      <c r="X133" s="1"/>
      <c r="Y133" s="1"/>
      <c r="Z133" s="1"/>
    </row>
    <row r="134" spans="1:26" s="149" customFormat="1" ht="13.15" customHeight="1" x14ac:dyDescent="0.2">
      <c r="A134" s="1"/>
      <c r="B134" s="1"/>
      <c r="C134" s="1"/>
      <c r="D134" s="1"/>
      <c r="E134" s="1"/>
      <c r="F134" s="1"/>
      <c r="G134" s="1"/>
      <c r="H134" s="1"/>
      <c r="P134" s="1"/>
      <c r="Q134" s="1"/>
      <c r="T134" s="150"/>
      <c r="U134" s="150"/>
      <c r="V134" s="1"/>
      <c r="W134" s="1"/>
      <c r="X134" s="1"/>
      <c r="Y134" s="1"/>
      <c r="Z134" s="1"/>
    </row>
    <row r="135" spans="1:26" s="149" customFormat="1" ht="12" customHeight="1" x14ac:dyDescent="0.2">
      <c r="A135" s="1"/>
      <c r="B135" s="1"/>
      <c r="C135" s="1"/>
      <c r="D135" s="1"/>
      <c r="E135" s="1"/>
      <c r="F135" s="1"/>
      <c r="G135" s="1"/>
      <c r="H135" s="1"/>
      <c r="P135" s="1"/>
      <c r="Q135" s="1"/>
      <c r="T135" s="150"/>
      <c r="U135" s="150"/>
      <c r="V135" s="1"/>
      <c r="W135" s="1"/>
      <c r="X135" s="1"/>
      <c r="Y135" s="1"/>
      <c r="Z135" s="1"/>
    </row>
    <row r="136" spans="1:26" s="149" customFormat="1" ht="12" customHeight="1" x14ac:dyDescent="0.2">
      <c r="A136" s="1"/>
      <c r="B136" s="1"/>
      <c r="C136" s="1"/>
      <c r="D136" s="1"/>
      <c r="E136" s="1"/>
      <c r="F136" s="1"/>
      <c r="G136" s="1"/>
      <c r="H136" s="1"/>
      <c r="P136" s="1"/>
      <c r="Q136" s="1"/>
      <c r="T136" s="150"/>
      <c r="U136" s="150"/>
      <c r="V136" s="1"/>
      <c r="W136" s="1"/>
      <c r="X136" s="1"/>
      <c r="Y136" s="1"/>
      <c r="Z136" s="1"/>
    </row>
    <row r="137" spans="1:26" s="149" customFormat="1" ht="15" customHeight="1" x14ac:dyDescent="0.2">
      <c r="A137" s="1"/>
      <c r="B137" s="1"/>
      <c r="C137" s="1"/>
      <c r="D137" s="1"/>
      <c r="E137" s="1"/>
      <c r="F137" s="1"/>
      <c r="G137" s="1"/>
      <c r="H137" s="1"/>
      <c r="P137" s="1"/>
      <c r="Q137" s="1"/>
      <c r="T137" s="150"/>
      <c r="U137" s="150"/>
      <c r="V137" s="1"/>
      <c r="W137" s="1"/>
      <c r="X137" s="1"/>
      <c r="Y137" s="1"/>
      <c r="Z137" s="1"/>
    </row>
    <row r="138" spans="1:26" s="149" customFormat="1" ht="15" customHeight="1" x14ac:dyDescent="0.2">
      <c r="A138" s="1"/>
      <c r="B138" s="1"/>
      <c r="C138" s="1"/>
      <c r="D138" s="1"/>
      <c r="E138" s="1"/>
      <c r="F138" s="1"/>
      <c r="G138" s="1"/>
      <c r="H138" s="1"/>
      <c r="P138" s="1"/>
      <c r="Q138" s="1"/>
      <c r="T138" s="150"/>
      <c r="U138" s="150"/>
      <c r="V138" s="1"/>
      <c r="W138" s="1"/>
      <c r="X138" s="1"/>
      <c r="Y138" s="1"/>
      <c r="Z138" s="1"/>
    </row>
  </sheetData>
  <sheetProtection sheet="1" formatCells="0" formatColumns="0" formatRows="0"/>
  <phoneticPr fontId="4"/>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4D63B-FC26-488B-A3D8-D548A78C0896}">
  <dimension ref="A1:Z159"/>
  <sheetViews>
    <sheetView topLeftCell="A31" zoomScale="160" zoomScaleNormal="160" workbookViewId="0">
      <selection activeCell="P43" sqref="P43 L43:M43"/>
    </sheetView>
  </sheetViews>
  <sheetFormatPr defaultColWidth="9.33203125" defaultRowHeight="12.75" x14ac:dyDescent="0.2"/>
  <cols>
    <col min="1" max="2" width="9.33203125" style="1"/>
    <col min="3" max="7" width="10.1640625" style="1" customWidth="1"/>
    <col min="8" max="8" width="9.33203125" style="1"/>
    <col min="9" max="15" width="8" style="149" customWidth="1"/>
    <col min="16" max="17" width="9.1640625" style="2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326</v>
      </c>
      <c r="B1" s="97"/>
      <c r="C1" s="97"/>
      <c r="D1" s="97"/>
      <c r="E1" s="97"/>
      <c r="F1" s="97"/>
      <c r="G1" s="97"/>
      <c r="H1" s="97"/>
      <c r="I1" s="113"/>
      <c r="J1" s="154" t="s">
        <v>130</v>
      </c>
      <c r="K1" s="210">
        <v>10</v>
      </c>
      <c r="L1" s="154" t="s">
        <v>129</v>
      </c>
      <c r="M1" s="113"/>
      <c r="N1" s="113" t="s">
        <v>1059</v>
      </c>
      <c r="O1" s="113"/>
      <c r="P1" s="1"/>
      <c r="Q1" s="1"/>
      <c r="R1" s="113"/>
      <c r="S1" s="113"/>
      <c r="T1" s="146"/>
      <c r="U1" s="146"/>
    </row>
    <row r="2" spans="1:25" x14ac:dyDescent="0.2">
      <c r="A2" s="99" t="s">
        <v>327</v>
      </c>
      <c r="B2" s="97"/>
      <c r="C2" s="97"/>
      <c r="D2" s="97"/>
      <c r="E2" s="97"/>
      <c r="F2" s="97"/>
      <c r="G2" s="97"/>
      <c r="H2" s="97"/>
      <c r="I2" s="113"/>
      <c r="J2" s="154" t="s">
        <v>4</v>
      </c>
      <c r="K2" s="210">
        <v>1</v>
      </c>
      <c r="L2" s="154" t="s">
        <v>129</v>
      </c>
      <c r="M2" s="113"/>
      <c r="N2" s="113" t="s">
        <v>79</v>
      </c>
      <c r="O2" s="113"/>
      <c r="P2" s="1"/>
      <c r="Q2" s="1"/>
      <c r="R2" s="113"/>
      <c r="S2" s="113"/>
      <c r="T2" s="146"/>
      <c r="U2" s="146"/>
    </row>
    <row r="3" spans="1:25" x14ac:dyDescent="0.2">
      <c r="A3" s="97"/>
      <c r="B3" s="97"/>
      <c r="C3" s="97"/>
      <c r="D3" s="97"/>
      <c r="E3" s="97"/>
      <c r="F3" s="97"/>
      <c r="G3" s="97"/>
      <c r="H3" s="97"/>
      <c r="I3" s="113"/>
      <c r="J3" s="113"/>
      <c r="K3" s="113"/>
      <c r="L3" s="113"/>
      <c r="M3" s="113"/>
      <c r="N3" s="113" t="s">
        <v>311</v>
      </c>
      <c r="O3" s="113"/>
      <c r="P3" s="1"/>
      <c r="Q3" s="1"/>
      <c r="R3" s="113"/>
      <c r="S3" s="113"/>
      <c r="T3" s="146"/>
      <c r="U3" s="146"/>
    </row>
    <row r="4" spans="1:25" x14ac:dyDescent="0.2">
      <c r="A4" s="100"/>
      <c r="B4" s="97"/>
      <c r="C4" s="97"/>
      <c r="D4" s="97"/>
      <c r="E4" s="97"/>
      <c r="F4" s="97"/>
      <c r="G4" s="97"/>
      <c r="H4" s="97"/>
      <c r="I4" s="113"/>
      <c r="J4" s="113"/>
      <c r="K4" s="113"/>
      <c r="L4" s="113"/>
      <c r="M4" s="113"/>
      <c r="N4" s="113"/>
      <c r="O4" s="113"/>
      <c r="P4" s="1"/>
      <c r="Q4" s="1"/>
      <c r="R4" s="113"/>
      <c r="S4" s="113"/>
      <c r="T4" s="146"/>
      <c r="U4" s="146"/>
    </row>
    <row r="5" spans="1:25" ht="20.25" x14ac:dyDescent="0.2">
      <c r="A5" s="101" t="s">
        <v>78</v>
      </c>
      <c r="B5" s="97"/>
      <c r="C5" s="97"/>
      <c r="D5" s="97"/>
      <c r="E5" s="97"/>
      <c r="F5" s="97"/>
      <c r="G5" s="97"/>
      <c r="H5" s="97"/>
      <c r="I5" s="113"/>
      <c r="J5" s="113"/>
      <c r="K5" s="113"/>
      <c r="L5" s="113"/>
      <c r="M5" s="113"/>
      <c r="N5" s="113"/>
      <c r="O5" s="113"/>
      <c r="P5" s="1"/>
      <c r="Q5" s="1"/>
      <c r="R5" s="113"/>
      <c r="S5" s="113"/>
      <c r="T5" s="146"/>
      <c r="U5" s="146"/>
    </row>
    <row r="6" spans="1:25" s="2" customFormat="1" x14ac:dyDescent="0.2">
      <c r="A6" s="226" t="s">
        <v>328</v>
      </c>
      <c r="B6" s="99"/>
      <c r="C6" s="99"/>
      <c r="D6" s="99"/>
      <c r="E6" s="99"/>
      <c r="F6" s="99"/>
      <c r="G6" s="99"/>
      <c r="H6" s="99"/>
      <c r="I6" s="113"/>
      <c r="J6" s="113"/>
      <c r="K6" s="113"/>
      <c r="L6" s="113"/>
      <c r="M6" s="113"/>
      <c r="N6" s="113"/>
      <c r="O6" s="113"/>
      <c r="R6" s="113"/>
      <c r="S6" s="113"/>
      <c r="T6" s="146"/>
      <c r="U6" s="146"/>
    </row>
    <row r="7" spans="1:25" s="2" customFormat="1" x14ac:dyDescent="0.2">
      <c r="A7" s="226" t="s">
        <v>329</v>
      </c>
      <c r="B7" s="99"/>
      <c r="C7" s="99"/>
      <c r="D7" s="99"/>
      <c r="E7" s="99"/>
      <c r="F7" s="99"/>
      <c r="G7" s="99"/>
      <c r="H7" s="99"/>
      <c r="I7" s="113"/>
      <c r="J7" s="113"/>
      <c r="K7" s="113"/>
      <c r="L7" s="113"/>
      <c r="M7" s="113"/>
      <c r="N7" s="113"/>
      <c r="O7" s="113"/>
      <c r="R7" s="113"/>
      <c r="S7" s="113"/>
      <c r="T7" s="146"/>
      <c r="U7" s="146"/>
    </row>
    <row r="8" spans="1:25" s="2" customFormat="1" x14ac:dyDescent="0.2">
      <c r="A8" s="226" t="s">
        <v>330</v>
      </c>
      <c r="B8" s="99"/>
      <c r="C8" s="99"/>
      <c r="D8" s="99"/>
      <c r="E8" s="99"/>
      <c r="F8" s="99"/>
      <c r="G8" s="99"/>
      <c r="H8" s="99"/>
      <c r="I8" s="113"/>
      <c r="J8" s="113"/>
      <c r="K8" s="113"/>
      <c r="L8" s="113"/>
      <c r="M8" s="113"/>
      <c r="N8" s="113"/>
      <c r="O8" s="113"/>
      <c r="R8" s="113"/>
      <c r="S8" s="113"/>
      <c r="T8" s="146"/>
      <c r="U8" s="146"/>
    </row>
    <row r="9" spans="1:25" s="2" customFormat="1" x14ac:dyDescent="0.2">
      <c r="A9" s="113"/>
      <c r="B9" s="99"/>
      <c r="C9" s="99"/>
      <c r="D9" s="99"/>
      <c r="E9" s="99"/>
      <c r="F9" s="99"/>
      <c r="G9" s="99"/>
      <c r="H9" s="99"/>
      <c r="I9" s="113"/>
      <c r="J9" s="113"/>
      <c r="K9" s="113"/>
      <c r="L9" s="113"/>
      <c r="M9" s="113"/>
      <c r="N9" s="113"/>
      <c r="O9" s="113"/>
      <c r="R9" s="113"/>
      <c r="S9" s="113"/>
      <c r="T9" s="146"/>
      <c r="U9" s="146"/>
    </row>
    <row r="10" spans="1:25" x14ac:dyDescent="0.2">
      <c r="A10" s="102"/>
      <c r="B10" s="97"/>
      <c r="C10" s="97"/>
      <c r="D10" s="97"/>
      <c r="E10" s="97"/>
      <c r="F10" s="97"/>
      <c r="G10" s="97"/>
      <c r="H10" s="97"/>
      <c r="I10" s="113"/>
      <c r="J10" s="113"/>
      <c r="K10" s="113"/>
      <c r="L10" s="113"/>
      <c r="M10" s="113"/>
      <c r="N10" s="113"/>
      <c r="O10" s="113"/>
      <c r="P10" s="1"/>
      <c r="Q10" s="1"/>
      <c r="R10" s="113"/>
      <c r="S10" s="113"/>
      <c r="T10" s="146"/>
      <c r="U10" s="146"/>
    </row>
    <row r="11" spans="1:25" x14ac:dyDescent="0.2">
      <c r="A11" s="97"/>
      <c r="B11" s="97"/>
      <c r="C11" s="97"/>
      <c r="D11" s="97"/>
      <c r="E11" s="97"/>
      <c r="F11" s="97"/>
      <c r="G11" s="97"/>
      <c r="H11" s="97"/>
      <c r="I11" s="113"/>
      <c r="J11" s="113"/>
      <c r="K11" s="113"/>
      <c r="L11" s="113"/>
      <c r="M11" s="113"/>
      <c r="N11" s="113"/>
      <c r="O11" s="113"/>
      <c r="P11" s="1"/>
      <c r="Q11" s="1"/>
      <c r="R11" s="113"/>
      <c r="S11" s="113"/>
      <c r="T11" s="146"/>
      <c r="U11" s="146"/>
    </row>
    <row r="12" spans="1:25" x14ac:dyDescent="0.2">
      <c r="A12" s="97"/>
      <c r="B12" s="97"/>
      <c r="C12" s="97"/>
      <c r="D12" s="97"/>
      <c r="E12" s="97"/>
      <c r="F12" s="97"/>
      <c r="G12" s="97"/>
      <c r="H12" s="97"/>
      <c r="I12" s="113"/>
      <c r="J12" s="113"/>
      <c r="K12" s="113"/>
      <c r="L12" s="113"/>
      <c r="M12" s="113"/>
      <c r="N12" s="113"/>
      <c r="O12" s="113"/>
      <c r="P12" s="1"/>
      <c r="Q12" s="1"/>
      <c r="R12" s="113"/>
      <c r="S12" s="113"/>
      <c r="T12" s="146"/>
      <c r="U12" s="146"/>
    </row>
    <row r="13" spans="1:25" x14ac:dyDescent="0.2">
      <c r="A13" s="97"/>
      <c r="B13" s="97"/>
      <c r="C13" s="97"/>
      <c r="D13" s="97"/>
      <c r="E13" s="97"/>
      <c r="F13" s="97"/>
      <c r="G13" s="97"/>
      <c r="H13" s="97"/>
      <c r="I13" s="113"/>
      <c r="J13" s="113"/>
      <c r="K13" s="113"/>
      <c r="L13" s="113"/>
      <c r="M13" s="113"/>
      <c r="N13" s="113"/>
      <c r="O13" s="113"/>
      <c r="P13" s="1"/>
      <c r="Q13" s="1"/>
      <c r="R13" s="113"/>
      <c r="S13" s="113"/>
      <c r="T13" s="146"/>
      <c r="U13" s="146"/>
    </row>
    <row r="14" spans="1:25" x14ac:dyDescent="0.2">
      <c r="A14" s="97"/>
      <c r="B14" s="97"/>
      <c r="C14" s="97"/>
      <c r="D14" s="97"/>
      <c r="E14" s="97"/>
      <c r="F14" s="97"/>
      <c r="G14" s="97"/>
      <c r="H14" s="97"/>
      <c r="I14" s="113"/>
      <c r="J14" s="113"/>
      <c r="K14" s="113"/>
      <c r="L14" s="113"/>
      <c r="M14" s="113"/>
      <c r="N14" s="113"/>
      <c r="O14" s="113"/>
      <c r="P14" s="1"/>
      <c r="Q14" s="1"/>
      <c r="R14" s="113"/>
      <c r="S14" s="113"/>
      <c r="T14" s="146"/>
      <c r="U14" s="146"/>
    </row>
    <row r="15" spans="1:25" ht="15.75" x14ac:dyDescent="0.2">
      <c r="A15" s="103" t="s">
        <v>331</v>
      </c>
      <c r="B15" s="97"/>
      <c r="C15" s="97"/>
      <c r="D15" s="97"/>
      <c r="E15" s="97"/>
      <c r="F15" s="97"/>
      <c r="G15" s="97"/>
      <c r="H15" s="97"/>
      <c r="I15" s="113"/>
      <c r="J15" s="113"/>
      <c r="K15" s="113"/>
      <c r="L15" s="113"/>
      <c r="M15" s="113"/>
      <c r="N15" s="113"/>
      <c r="O15" s="113"/>
      <c r="P15" s="1"/>
      <c r="Q15" s="1"/>
      <c r="R15" s="113"/>
      <c r="S15" s="113"/>
      <c r="T15" s="146"/>
      <c r="U15" s="146"/>
    </row>
    <row r="16" spans="1:25" ht="102" x14ac:dyDescent="0.2">
      <c r="A16" s="211" t="s">
        <v>0</v>
      </c>
      <c r="B16" s="212" t="s">
        <v>1</v>
      </c>
      <c r="C16" s="1230" t="s">
        <v>133</v>
      </c>
      <c r="D16" s="1230" t="s">
        <v>199</v>
      </c>
      <c r="E16" s="1230" t="s">
        <v>135</v>
      </c>
      <c r="F16" s="1230" t="s">
        <v>200</v>
      </c>
      <c r="G16" s="1230" t="s">
        <v>137</v>
      </c>
      <c r="H16" s="1230" t="s">
        <v>201</v>
      </c>
      <c r="I16" s="104" t="s">
        <v>8</v>
      </c>
      <c r="J16" s="104" t="s">
        <v>9</v>
      </c>
      <c r="K16" s="104" t="s">
        <v>107</v>
      </c>
      <c r="L16" s="104" t="s">
        <v>14</v>
      </c>
      <c r="M16" s="104" t="s">
        <v>12</v>
      </c>
      <c r="N16" s="104" t="s">
        <v>1058</v>
      </c>
      <c r="O16" s="104" t="s">
        <v>100</v>
      </c>
      <c r="P16" s="6" t="s">
        <v>105</v>
      </c>
      <c r="Q16" s="6" t="s">
        <v>106</v>
      </c>
      <c r="R16" s="104" t="s">
        <v>1051</v>
      </c>
      <c r="S16" s="104" t="s">
        <v>1052</v>
      </c>
      <c r="T16" s="147" t="s">
        <v>80</v>
      </c>
      <c r="U16" s="147" t="s">
        <v>81</v>
      </c>
      <c r="V16" s="5" t="s">
        <v>101</v>
      </c>
      <c r="W16" s="5" t="s">
        <v>102</v>
      </c>
      <c r="X16" s="112" t="s">
        <v>103</v>
      </c>
      <c r="Y16" s="112" t="s">
        <v>104</v>
      </c>
    </row>
    <row r="17" spans="1:25" x14ac:dyDescent="0.2">
      <c r="A17" s="213" t="str">
        <f>A56</f>
        <v>France (LNE)</v>
      </c>
      <c r="B17" s="213"/>
      <c r="C17" s="219">
        <f>I56</f>
        <v>4.64E-3</v>
      </c>
      <c r="D17" s="219">
        <f t="shared" ref="D17:H17" si="0">J56</f>
        <v>2.5000000000000001E-5</v>
      </c>
      <c r="E17" s="219">
        <f t="shared" si="0"/>
        <v>4.6540000000000002E-3</v>
      </c>
      <c r="F17" s="219">
        <f t="shared" si="0"/>
        <v>2.9E-5</v>
      </c>
      <c r="G17" s="219">
        <f t="shared" si="0"/>
        <v>1.4000000000000123E-5</v>
      </c>
      <c r="H17" s="219">
        <f t="shared" si="0"/>
        <v>7.6576758876306596E-5</v>
      </c>
      <c r="I17" s="155">
        <f t="shared" ref="I17:I35" si="1">IF(ABS(G17)&gt;ABS(H17), 1, 0)</f>
        <v>0</v>
      </c>
      <c r="J17" s="155">
        <f t="shared" ref="J17:J35" si="2">I17*ABS(C17-E17)</f>
        <v>0</v>
      </c>
      <c r="K17" s="155">
        <f t="shared" ref="K17:K35" si="3">SQRT(SUMSQ(F17,J17))*2</f>
        <v>5.8E-5</v>
      </c>
      <c r="L17" s="155">
        <f t="shared" ref="L17:L35" si="4">IF(C17&lt;$K$2, C17, $K$1)</f>
        <v>4.64E-3</v>
      </c>
      <c r="M17" s="156">
        <f t="shared" ref="M17:M35" si="5">IF(AND(C17&lt;$K$1,C17&gt; $K$2), K17/L17*100, K17/C17*100)</f>
        <v>1.25</v>
      </c>
      <c r="N17" s="157">
        <f t="shared" ref="N17" si="6">M17*L17/100</f>
        <v>5.7999999999999994E-5</v>
      </c>
      <c r="O17" s="155">
        <f t="shared" ref="O17" si="7">N17/(M17*L17/100)*100</f>
        <v>100</v>
      </c>
      <c r="P17" s="250">
        <v>1</v>
      </c>
      <c r="Q17" s="250">
        <v>1000</v>
      </c>
      <c r="R17" s="148">
        <f>IF( IF(P17&lt;L17, M17*L17/P17, M17)&gt;100, "ERROR",  IF(P17&lt;L17, M17*L17/P17, M17))</f>
        <v>1.25</v>
      </c>
      <c r="S17" s="148">
        <f>IF(IF(Q17&lt;L17, M17*L17/Q17, M17)&gt;100, "ERROR", IF(Q17&lt;L17, M17*L17/Q17, M17))</f>
        <v>1.25</v>
      </c>
      <c r="T17" s="148">
        <f>R17*P17*0.01</f>
        <v>1.2500000000000001E-2</v>
      </c>
      <c r="U17" s="148">
        <f>S17*Q17*0.01</f>
        <v>12.5</v>
      </c>
      <c r="V17" s="7">
        <f>P17*1000</f>
        <v>1000</v>
      </c>
      <c r="W17" s="7">
        <f>Q17*1000</f>
        <v>1000000</v>
      </c>
      <c r="X17" s="1345">
        <f>T17*1000</f>
        <v>12.5</v>
      </c>
      <c r="Y17" s="1345">
        <f>U17*1000</f>
        <v>12500</v>
      </c>
    </row>
    <row r="18" spans="1:25" x14ac:dyDescent="0.2">
      <c r="A18" s="213" t="str">
        <f t="shared" ref="A18:A23" si="8">A57</f>
        <v>Germany (UBA)</v>
      </c>
      <c r="B18" s="213"/>
      <c r="C18" s="219">
        <f t="shared" ref="C18:C23" si="9">I57</f>
        <v>4.64E-3</v>
      </c>
      <c r="D18" s="219">
        <f t="shared" ref="D18:H24" si="10">J57</f>
        <v>2.5000000000000001E-5</v>
      </c>
      <c r="E18" s="219">
        <f t="shared" si="10"/>
        <v>4.6299999999999996E-3</v>
      </c>
      <c r="F18" s="219">
        <f t="shared" si="10"/>
        <v>1E-4</v>
      </c>
      <c r="G18" s="219">
        <f t="shared" si="10"/>
        <v>-1.000000000000046E-5</v>
      </c>
      <c r="H18" s="219">
        <f t="shared" si="10"/>
        <v>2.0615528128088305E-4</v>
      </c>
      <c r="I18" s="155">
        <f t="shared" si="1"/>
        <v>0</v>
      </c>
      <c r="J18" s="155">
        <f t="shared" si="2"/>
        <v>0</v>
      </c>
      <c r="K18" s="155">
        <f t="shared" si="3"/>
        <v>2.0000000000000001E-4</v>
      </c>
      <c r="L18" s="155">
        <f t="shared" si="4"/>
        <v>4.64E-3</v>
      </c>
      <c r="M18" s="156">
        <f t="shared" si="5"/>
        <v>4.3103448275862073</v>
      </c>
      <c r="N18" s="157">
        <f t="shared" ref="N18:N35" si="11">M18*L18/100</f>
        <v>2.0000000000000001E-4</v>
      </c>
      <c r="O18" s="155">
        <f t="shared" ref="O18:O35" si="12">N18/(M18*L18/100)*100</f>
        <v>100</v>
      </c>
      <c r="P18" s="250">
        <v>1</v>
      </c>
      <c r="Q18" s="250">
        <v>1000</v>
      </c>
      <c r="R18" s="148">
        <f t="shared" ref="R18:R24" si="13">IF( IF(P18&lt;L18, M18*L18/P18, M18)&gt;100, "ERROR",  IF(P18&lt;L18, M18*L18/P18, M18))</f>
        <v>4.3103448275862073</v>
      </c>
      <c r="S18" s="148">
        <f t="shared" ref="S18:S24" si="14">IF(IF(Q18&lt;L18, M18*L18/Q18, M18)&gt;100, "ERROR", IF(Q18&lt;L18, M18*L18/Q18, M18))</f>
        <v>4.3103448275862073</v>
      </c>
      <c r="T18" s="148">
        <f t="shared" ref="T18:U35" si="15">R18*P18*0.01</f>
        <v>4.3103448275862072E-2</v>
      </c>
      <c r="U18" s="148">
        <f t="shared" si="15"/>
        <v>43.103448275862078</v>
      </c>
      <c r="V18" s="7">
        <f t="shared" ref="V18:W35" si="16">P18*1000</f>
        <v>1000</v>
      </c>
      <c r="W18" s="7">
        <f t="shared" si="16"/>
        <v>1000000</v>
      </c>
      <c r="X18" s="1345">
        <f t="shared" ref="X18:Y35" si="17">T18*1000</f>
        <v>43.103448275862071</v>
      </c>
      <c r="Y18" s="1345">
        <f t="shared" si="17"/>
        <v>43103.44827586208</v>
      </c>
    </row>
    <row r="19" spans="1:25" x14ac:dyDescent="0.2">
      <c r="A19" s="213" t="str">
        <f t="shared" si="8"/>
        <v>Japan (NMIJ)</v>
      </c>
      <c r="B19" s="213"/>
      <c r="C19" s="219">
        <f t="shared" si="9"/>
        <v>4.6100000000000004E-3</v>
      </c>
      <c r="D19" s="219">
        <f t="shared" si="10"/>
        <v>2.5000000000000001E-5</v>
      </c>
      <c r="E19" s="219">
        <f t="shared" si="10"/>
        <v>4.6239999999999996E-3</v>
      </c>
      <c r="F19" s="219">
        <f t="shared" si="10"/>
        <v>4.0849999999999995E-4</v>
      </c>
      <c r="G19" s="219">
        <f t="shared" si="10"/>
        <v>1.3999999999999256E-5</v>
      </c>
      <c r="H19" s="219">
        <f t="shared" si="10"/>
        <v>8.1852855784022573E-4</v>
      </c>
      <c r="I19" s="155">
        <f t="shared" si="1"/>
        <v>0</v>
      </c>
      <c r="J19" s="155">
        <f t="shared" si="2"/>
        <v>0</v>
      </c>
      <c r="K19" s="155">
        <f t="shared" si="3"/>
        <v>8.1699999999999991E-4</v>
      </c>
      <c r="L19" s="155">
        <f t="shared" si="4"/>
        <v>4.6100000000000004E-3</v>
      </c>
      <c r="M19" s="156">
        <f t="shared" si="5"/>
        <v>17.722342733188718</v>
      </c>
      <c r="N19" s="157">
        <f t="shared" si="11"/>
        <v>8.1699999999999991E-4</v>
      </c>
      <c r="O19" s="155">
        <f t="shared" si="12"/>
        <v>100</v>
      </c>
      <c r="P19" s="250">
        <v>1</v>
      </c>
      <c r="Q19" s="250">
        <v>1000</v>
      </c>
      <c r="R19" s="148">
        <f t="shared" si="13"/>
        <v>17.722342733188718</v>
      </c>
      <c r="S19" s="148">
        <f t="shared" si="14"/>
        <v>17.722342733188718</v>
      </c>
      <c r="T19" s="148">
        <f t="shared" si="15"/>
        <v>0.17722342733188717</v>
      </c>
      <c r="U19" s="148">
        <f t="shared" si="15"/>
        <v>177.22342733188719</v>
      </c>
      <c r="V19" s="7">
        <f t="shared" si="16"/>
        <v>1000</v>
      </c>
      <c r="W19" s="7">
        <f t="shared" si="16"/>
        <v>1000000</v>
      </c>
      <c r="X19" s="1345">
        <f t="shared" si="17"/>
        <v>177.22342733188717</v>
      </c>
      <c r="Y19" s="1345">
        <f t="shared" si="17"/>
        <v>177223.42733188719</v>
      </c>
    </row>
    <row r="20" spans="1:25" x14ac:dyDescent="0.2">
      <c r="A20" s="213" t="str">
        <f t="shared" si="8"/>
        <v>Korea (KRISS)</v>
      </c>
      <c r="B20" s="213"/>
      <c r="C20" s="219">
        <f t="shared" si="9"/>
        <v>4.6100000000000004E-3</v>
      </c>
      <c r="D20" s="219">
        <f t="shared" si="10"/>
        <v>2.5000000000000001E-5</v>
      </c>
      <c r="E20" s="219">
        <f t="shared" si="10"/>
        <v>4.6299999999999996E-3</v>
      </c>
      <c r="F20" s="219">
        <f t="shared" si="10"/>
        <v>1.25E-4</v>
      </c>
      <c r="G20" s="219">
        <f t="shared" si="10"/>
        <v>1.9999999999999185E-5</v>
      </c>
      <c r="H20" s="219">
        <f t="shared" si="10"/>
        <v>2.5495097567963923E-4</v>
      </c>
      <c r="I20" s="155">
        <f t="shared" si="1"/>
        <v>0</v>
      </c>
      <c r="J20" s="155">
        <f t="shared" si="2"/>
        <v>0</v>
      </c>
      <c r="K20" s="155">
        <f t="shared" si="3"/>
        <v>2.5000000000000001E-4</v>
      </c>
      <c r="L20" s="155">
        <f t="shared" si="4"/>
        <v>4.6100000000000004E-3</v>
      </c>
      <c r="M20" s="156">
        <f t="shared" si="5"/>
        <v>5.4229934924078087</v>
      </c>
      <c r="N20" s="157">
        <f t="shared" si="11"/>
        <v>2.5000000000000001E-4</v>
      </c>
      <c r="O20" s="155">
        <f t="shared" si="12"/>
        <v>100</v>
      </c>
      <c r="P20" s="250">
        <v>1</v>
      </c>
      <c r="Q20" s="250">
        <v>1000</v>
      </c>
      <c r="R20" s="148">
        <f t="shared" si="13"/>
        <v>5.4229934924078087</v>
      </c>
      <c r="S20" s="148">
        <f t="shared" si="14"/>
        <v>5.4229934924078087</v>
      </c>
      <c r="T20" s="148">
        <f t="shared" si="15"/>
        <v>5.4229934924078085E-2</v>
      </c>
      <c r="U20" s="148">
        <f t="shared" si="15"/>
        <v>54.229934924078087</v>
      </c>
      <c r="V20" s="7">
        <f t="shared" si="16"/>
        <v>1000</v>
      </c>
      <c r="W20" s="7">
        <f t="shared" si="16"/>
        <v>1000000</v>
      </c>
      <c r="X20" s="1345">
        <f t="shared" si="17"/>
        <v>54.229934924078087</v>
      </c>
      <c r="Y20" s="1345">
        <f t="shared" si="17"/>
        <v>54229.934924078087</v>
      </c>
    </row>
    <row r="21" spans="1:25" x14ac:dyDescent="0.2">
      <c r="A21" s="213" t="str">
        <f t="shared" si="8"/>
        <v>Netherlands (NMi)</v>
      </c>
      <c r="B21" s="213"/>
      <c r="C21" s="219">
        <f t="shared" si="9"/>
        <v>4.64E-3</v>
      </c>
      <c r="D21" s="219">
        <f t="shared" si="10"/>
        <v>2.5000000000000001E-5</v>
      </c>
      <c r="E21" s="219">
        <f t="shared" si="10"/>
        <v>4.5700000000000003E-3</v>
      </c>
      <c r="F21" s="219">
        <f t="shared" si="10"/>
        <v>1.1E-4</v>
      </c>
      <c r="G21" s="219">
        <f t="shared" si="10"/>
        <v>-6.999999999999975E-5</v>
      </c>
      <c r="H21" s="219">
        <f t="shared" si="10"/>
        <v>2.2561028345356957E-4</v>
      </c>
      <c r="I21" s="155">
        <f t="shared" si="1"/>
        <v>0</v>
      </c>
      <c r="J21" s="155">
        <f t="shared" si="2"/>
        <v>0</v>
      </c>
      <c r="K21" s="155">
        <f t="shared" si="3"/>
        <v>2.2000000000000001E-4</v>
      </c>
      <c r="L21" s="155">
        <f t="shared" si="4"/>
        <v>4.64E-3</v>
      </c>
      <c r="M21" s="156">
        <f t="shared" si="5"/>
        <v>4.7413793103448283</v>
      </c>
      <c r="N21" s="157">
        <f t="shared" si="11"/>
        <v>2.2000000000000003E-4</v>
      </c>
      <c r="O21" s="155">
        <f t="shared" si="12"/>
        <v>100</v>
      </c>
      <c r="P21" s="250">
        <v>1</v>
      </c>
      <c r="Q21" s="250">
        <v>1000</v>
      </c>
      <c r="R21" s="148">
        <f t="shared" si="13"/>
        <v>4.7413793103448283</v>
      </c>
      <c r="S21" s="148">
        <f t="shared" si="14"/>
        <v>4.7413793103448283</v>
      </c>
      <c r="T21" s="148">
        <f t="shared" si="15"/>
        <v>4.7413793103448287E-2</v>
      </c>
      <c r="U21" s="148">
        <f t="shared" si="15"/>
        <v>47.413793103448278</v>
      </c>
      <c r="V21" s="7">
        <f t="shared" si="16"/>
        <v>1000</v>
      </c>
      <c r="W21" s="7">
        <f t="shared" si="16"/>
        <v>1000000</v>
      </c>
      <c r="X21" s="1345">
        <f t="shared" si="17"/>
        <v>47.413793103448285</v>
      </c>
      <c r="Y21" s="1345">
        <f t="shared" si="17"/>
        <v>47413.793103448275</v>
      </c>
    </row>
    <row r="22" spans="1:25" x14ac:dyDescent="0.2">
      <c r="A22" s="213" t="str">
        <f t="shared" si="8"/>
        <v>Russia (VNIIM)</v>
      </c>
      <c r="B22" s="213"/>
      <c r="C22" s="219">
        <f t="shared" si="9"/>
        <v>4.6100000000000004E-3</v>
      </c>
      <c r="D22" s="219">
        <f t="shared" si="10"/>
        <v>2.5000000000000001E-5</v>
      </c>
      <c r="E22" s="219">
        <f t="shared" si="10"/>
        <v>4.7599999999999995E-3</v>
      </c>
      <c r="F22" s="219">
        <f t="shared" si="10"/>
        <v>7.0000000000000007E-5</v>
      </c>
      <c r="G22" s="219">
        <f t="shared" si="10"/>
        <v>1.4999999999999909E-4</v>
      </c>
      <c r="H22" s="219">
        <f t="shared" si="10"/>
        <v>1.4866068747318507E-4</v>
      </c>
      <c r="I22" s="155">
        <f t="shared" si="1"/>
        <v>1</v>
      </c>
      <c r="J22" s="155">
        <f t="shared" si="2"/>
        <v>1.4999999999999909E-4</v>
      </c>
      <c r="K22" s="155">
        <f t="shared" si="3"/>
        <v>3.3105890714493536E-4</v>
      </c>
      <c r="L22" s="155">
        <f t="shared" si="4"/>
        <v>4.6100000000000004E-3</v>
      </c>
      <c r="M22" s="156">
        <f t="shared" si="5"/>
        <v>7.1813211962025019</v>
      </c>
      <c r="N22" s="157">
        <f t="shared" si="11"/>
        <v>3.3105890714493541E-4</v>
      </c>
      <c r="O22" s="155">
        <f t="shared" si="12"/>
        <v>100</v>
      </c>
      <c r="P22" s="250">
        <v>1</v>
      </c>
      <c r="Q22" s="250">
        <v>1000</v>
      </c>
      <c r="R22" s="148">
        <f t="shared" si="13"/>
        <v>7.1813211962025019</v>
      </c>
      <c r="S22" s="148">
        <f t="shared" si="14"/>
        <v>7.1813211962025019</v>
      </c>
      <c r="T22" s="148">
        <f t="shared" si="15"/>
        <v>7.1813211962025017E-2</v>
      </c>
      <c r="U22" s="148">
        <f t="shared" si="15"/>
        <v>71.813211962025022</v>
      </c>
      <c r="V22" s="7">
        <f t="shared" si="16"/>
        <v>1000</v>
      </c>
      <c r="W22" s="7">
        <f t="shared" si="16"/>
        <v>1000000</v>
      </c>
      <c r="X22" s="1345">
        <f t="shared" si="17"/>
        <v>71.813211962025022</v>
      </c>
      <c r="Y22" s="1345">
        <f t="shared" si="17"/>
        <v>71813.211962025016</v>
      </c>
    </row>
    <row r="23" spans="1:25" x14ac:dyDescent="0.2">
      <c r="A23" s="213" t="str">
        <f t="shared" si="8"/>
        <v>United Kingdom (NPL)</v>
      </c>
      <c r="B23" s="213"/>
      <c r="C23" s="219">
        <f t="shared" si="9"/>
        <v>4.64E-3</v>
      </c>
      <c r="D23" s="219">
        <f t="shared" si="10"/>
        <v>2.5000000000000001E-5</v>
      </c>
      <c r="E23" s="219">
        <f t="shared" si="10"/>
        <v>4.5100000000000001E-3</v>
      </c>
      <c r="F23" s="219">
        <f t="shared" si="10"/>
        <v>2.9999999999999997E-5</v>
      </c>
      <c r="G23" s="219">
        <f t="shared" si="10"/>
        <v>-1.2999999999999991E-4</v>
      </c>
      <c r="H23" s="219">
        <f t="shared" si="10"/>
        <v>7.8102496759066545E-5</v>
      </c>
      <c r="I23" s="155">
        <f t="shared" si="1"/>
        <v>1</v>
      </c>
      <c r="J23" s="155">
        <f t="shared" si="2"/>
        <v>1.2999999999999991E-4</v>
      </c>
      <c r="K23" s="155">
        <f t="shared" si="3"/>
        <v>2.6683328128252653E-4</v>
      </c>
      <c r="L23" s="155">
        <f t="shared" si="4"/>
        <v>4.64E-3</v>
      </c>
      <c r="M23" s="156">
        <f t="shared" si="5"/>
        <v>5.7507172690199688</v>
      </c>
      <c r="N23" s="157">
        <f t="shared" si="11"/>
        <v>2.6683328128252653E-4</v>
      </c>
      <c r="O23" s="155">
        <f t="shared" si="12"/>
        <v>100</v>
      </c>
      <c r="P23" s="250">
        <v>1</v>
      </c>
      <c r="Q23" s="250">
        <v>1000</v>
      </c>
      <c r="R23" s="148">
        <f t="shared" si="13"/>
        <v>5.7507172690199688</v>
      </c>
      <c r="S23" s="148">
        <f t="shared" si="14"/>
        <v>5.7507172690199688</v>
      </c>
      <c r="T23" s="148">
        <f t="shared" si="15"/>
        <v>5.7507172690199691E-2</v>
      </c>
      <c r="U23" s="148">
        <f t="shared" si="15"/>
        <v>57.507172690199688</v>
      </c>
      <c r="V23" s="7">
        <f t="shared" si="16"/>
        <v>1000</v>
      </c>
      <c r="W23" s="7">
        <f t="shared" si="16"/>
        <v>1000000</v>
      </c>
      <c r="X23" s="1345">
        <f t="shared" si="17"/>
        <v>57.507172690199688</v>
      </c>
      <c r="Y23" s="1345">
        <f t="shared" si="17"/>
        <v>57507.172690199688</v>
      </c>
    </row>
    <row r="24" spans="1:25" x14ac:dyDescent="0.2">
      <c r="A24" s="213" t="str">
        <f>A63</f>
        <v>USA (NIST)</v>
      </c>
      <c r="B24" s="213"/>
      <c r="C24" s="219">
        <f>I63</f>
        <v>4.64E-3</v>
      </c>
      <c r="D24" s="219">
        <f t="shared" si="10"/>
        <v>2.5000000000000001E-5</v>
      </c>
      <c r="E24" s="219">
        <f t="shared" si="10"/>
        <v>4.64E-3</v>
      </c>
      <c r="F24" s="219">
        <f t="shared" si="10"/>
        <v>2.5000000000000001E-5</v>
      </c>
      <c r="G24" s="219">
        <f t="shared" si="10"/>
        <v>0</v>
      </c>
      <c r="H24" s="219">
        <f t="shared" si="10"/>
        <v>7.0710678118654754E-5</v>
      </c>
      <c r="I24" s="155">
        <f t="shared" si="1"/>
        <v>0</v>
      </c>
      <c r="J24" s="155">
        <f t="shared" si="2"/>
        <v>0</v>
      </c>
      <c r="K24" s="155">
        <f t="shared" si="3"/>
        <v>5.0000000000000002E-5</v>
      </c>
      <c r="L24" s="155">
        <f t="shared" si="4"/>
        <v>4.64E-3</v>
      </c>
      <c r="M24" s="156">
        <f t="shared" si="5"/>
        <v>1.0775862068965518</v>
      </c>
      <c r="N24" s="157">
        <f t="shared" si="11"/>
        <v>5.0000000000000002E-5</v>
      </c>
      <c r="O24" s="155">
        <f t="shared" si="12"/>
        <v>100</v>
      </c>
      <c r="P24" s="250">
        <v>1</v>
      </c>
      <c r="Q24" s="250">
        <v>1000</v>
      </c>
      <c r="R24" s="148">
        <f t="shared" si="13"/>
        <v>1.0775862068965518</v>
      </c>
      <c r="S24" s="148">
        <f t="shared" si="14"/>
        <v>1.0775862068965518</v>
      </c>
      <c r="T24" s="148">
        <f t="shared" si="15"/>
        <v>1.0775862068965518E-2</v>
      </c>
      <c r="U24" s="148">
        <f t="shared" si="15"/>
        <v>10.77586206896552</v>
      </c>
      <c r="V24" s="7">
        <f t="shared" si="16"/>
        <v>1000</v>
      </c>
      <c r="W24" s="7">
        <f t="shared" si="16"/>
        <v>1000000</v>
      </c>
      <c r="X24" s="1345">
        <f t="shared" si="17"/>
        <v>10.775862068965518</v>
      </c>
      <c r="Y24" s="1345">
        <f t="shared" si="17"/>
        <v>10775.86206896552</v>
      </c>
    </row>
    <row r="25" spans="1:25" x14ac:dyDescent="0.2">
      <c r="A25" s="445"/>
      <c r="B25" s="445"/>
      <c r="C25" s="1130"/>
      <c r="D25" s="1130"/>
      <c r="E25" s="1130"/>
      <c r="F25" s="1130"/>
      <c r="G25" s="1130"/>
      <c r="H25" s="1130"/>
      <c r="I25" s="446"/>
      <c r="J25" s="446"/>
      <c r="K25" s="446"/>
      <c r="L25" s="446"/>
      <c r="M25" s="447"/>
      <c r="N25" s="448"/>
      <c r="O25" s="446"/>
      <c r="P25" s="1228"/>
      <c r="Q25" s="1228"/>
      <c r="R25" s="449"/>
      <c r="S25" s="449"/>
      <c r="T25" s="449"/>
      <c r="U25" s="449"/>
      <c r="V25" s="450"/>
      <c r="W25" s="450"/>
      <c r="X25" s="451"/>
      <c r="Y25" s="452"/>
    </row>
    <row r="26" spans="1:25" ht="15.75" x14ac:dyDescent="0.2">
      <c r="A26" s="461" t="s">
        <v>358</v>
      </c>
      <c r="B26" s="453"/>
      <c r="C26" s="1231"/>
      <c r="D26" s="1231"/>
      <c r="E26" s="1231"/>
      <c r="F26" s="1231"/>
      <c r="G26" s="1231"/>
      <c r="H26" s="1231"/>
      <c r="I26" s="454"/>
      <c r="J26" s="454"/>
      <c r="K26" s="454"/>
      <c r="L26" s="454"/>
      <c r="M26" s="455"/>
      <c r="N26" s="456"/>
      <c r="O26" s="454"/>
      <c r="P26" s="1229"/>
      <c r="Q26" s="1229"/>
      <c r="R26" s="457"/>
      <c r="S26" s="457"/>
      <c r="T26" s="457"/>
      <c r="U26" s="457"/>
      <c r="V26" s="458"/>
      <c r="W26" s="458"/>
      <c r="X26" s="459"/>
      <c r="Y26" s="460"/>
    </row>
    <row r="27" spans="1:25" ht="102" x14ac:dyDescent="0.2">
      <c r="A27" s="211" t="s">
        <v>0</v>
      </c>
      <c r="B27" s="212" t="s">
        <v>1</v>
      </c>
      <c r="C27" s="1230" t="s">
        <v>133</v>
      </c>
      <c r="D27" s="1230" t="s">
        <v>199</v>
      </c>
      <c r="E27" s="1230" t="s">
        <v>135</v>
      </c>
      <c r="F27" s="1230" t="s">
        <v>200</v>
      </c>
      <c r="G27" s="1230" t="s">
        <v>137</v>
      </c>
      <c r="H27" s="1230" t="s">
        <v>201</v>
      </c>
      <c r="I27" s="104" t="s">
        <v>8</v>
      </c>
      <c r="J27" s="104" t="s">
        <v>9</v>
      </c>
      <c r="K27" s="104" t="s">
        <v>107</v>
      </c>
      <c r="L27" s="104" t="s">
        <v>14</v>
      </c>
      <c r="M27" s="104" t="s">
        <v>12</v>
      </c>
      <c r="N27" s="104" t="s">
        <v>1058</v>
      </c>
      <c r="O27" s="104" t="s">
        <v>100</v>
      </c>
      <c r="P27" s="1222" t="s">
        <v>105</v>
      </c>
      <c r="Q27" s="1222" t="s">
        <v>106</v>
      </c>
      <c r="R27" s="104" t="s">
        <v>70</v>
      </c>
      <c r="S27" s="104" t="s">
        <v>71</v>
      </c>
      <c r="T27" s="147" t="s">
        <v>80</v>
      </c>
      <c r="U27" s="147" t="s">
        <v>81</v>
      </c>
      <c r="V27" s="5" t="s">
        <v>101</v>
      </c>
      <c r="W27" s="5" t="s">
        <v>102</v>
      </c>
      <c r="X27" s="112" t="s">
        <v>103</v>
      </c>
      <c r="Y27" s="112" t="s">
        <v>104</v>
      </c>
    </row>
    <row r="28" spans="1:25" x14ac:dyDescent="0.2">
      <c r="A28" s="213" t="str">
        <f>A71</f>
        <v>France (LNE)</v>
      </c>
      <c r="B28" s="213"/>
      <c r="C28" s="219">
        <f t="shared" ref="C28:H28" si="18">I71</f>
        <v>8.1199999999999987E-3</v>
      </c>
      <c r="D28" s="219">
        <f t="shared" si="18"/>
        <v>4.0000000000000003E-5</v>
      </c>
      <c r="E28" s="219">
        <f t="shared" si="18"/>
        <v>8.1539999999999998E-3</v>
      </c>
      <c r="F28" s="219">
        <f t="shared" si="18"/>
        <v>5.0000000000000002E-5</v>
      </c>
      <c r="G28" s="219">
        <f t="shared" si="18"/>
        <v>3.4000000000001043E-5</v>
      </c>
      <c r="H28" s="219">
        <f t="shared" si="18"/>
        <v>1.2806248474865698E-4</v>
      </c>
      <c r="I28" s="155">
        <f t="shared" si="1"/>
        <v>0</v>
      </c>
      <c r="J28" s="155">
        <f t="shared" si="2"/>
        <v>0</v>
      </c>
      <c r="K28" s="155">
        <f t="shared" si="3"/>
        <v>1E-4</v>
      </c>
      <c r="L28" s="155">
        <f t="shared" si="4"/>
        <v>8.1199999999999987E-3</v>
      </c>
      <c r="M28" s="156">
        <f t="shared" si="5"/>
        <v>1.2315270935960594</v>
      </c>
      <c r="N28" s="157">
        <f t="shared" si="11"/>
        <v>1E-4</v>
      </c>
      <c r="O28" s="155">
        <f t="shared" si="12"/>
        <v>100</v>
      </c>
      <c r="P28" s="250">
        <v>1</v>
      </c>
      <c r="Q28" s="250">
        <v>1000</v>
      </c>
      <c r="R28" s="148">
        <f t="shared" ref="R28:R35" si="19">IF( IF(P28&lt;L28, M28*L28/P28, M28)&gt;100, "ERROR",  IF(P28&lt;L28, M28*L28/P28, M28))</f>
        <v>1.2315270935960594</v>
      </c>
      <c r="S28" s="148">
        <f t="shared" ref="S28:S35" si="20">IF(IF(Q28&lt;L28, M28*L28/Q28, M28)&gt;100, "ERROR", IF(Q28&lt;L28, M28*L28/Q28, M28))</f>
        <v>1.2315270935960594</v>
      </c>
      <c r="T28" s="148">
        <f t="shared" si="15"/>
        <v>1.2315270935960593E-2</v>
      </c>
      <c r="U28" s="148">
        <f t="shared" si="15"/>
        <v>12.315270935960594</v>
      </c>
      <c r="V28" s="7">
        <f t="shared" si="16"/>
        <v>1000</v>
      </c>
      <c r="W28" s="7">
        <f t="shared" si="16"/>
        <v>1000000</v>
      </c>
      <c r="X28" s="1345">
        <f t="shared" si="17"/>
        <v>12.315270935960594</v>
      </c>
      <c r="Y28" s="1345">
        <f t="shared" si="17"/>
        <v>12315.270935960594</v>
      </c>
    </row>
    <row r="29" spans="1:25" x14ac:dyDescent="0.2">
      <c r="A29" s="213" t="str">
        <f t="shared" ref="A29:A35" si="21">A72</f>
        <v>Germany (UBA)</v>
      </c>
      <c r="B29" s="213"/>
      <c r="C29" s="219">
        <f t="shared" ref="C29:H29" si="22">I72</f>
        <v>8.1199999999999987E-3</v>
      </c>
      <c r="D29" s="219">
        <f t="shared" si="22"/>
        <v>4.0000000000000003E-5</v>
      </c>
      <c r="E29" s="219">
        <f t="shared" si="22"/>
        <v>7.9000000000000008E-3</v>
      </c>
      <c r="F29" s="219">
        <f t="shared" si="22"/>
        <v>1.25E-4</v>
      </c>
      <c r="G29" s="219">
        <f t="shared" si="22"/>
        <v>-2.1999999999999797E-4</v>
      </c>
      <c r="H29" s="219">
        <f t="shared" si="22"/>
        <v>2.6248809496813374E-4</v>
      </c>
      <c r="I29" s="155">
        <f t="shared" si="1"/>
        <v>0</v>
      </c>
      <c r="J29" s="155">
        <f t="shared" si="2"/>
        <v>0</v>
      </c>
      <c r="K29" s="155">
        <f t="shared" si="3"/>
        <v>2.5000000000000001E-4</v>
      </c>
      <c r="L29" s="155">
        <f t="shared" si="4"/>
        <v>8.1199999999999987E-3</v>
      </c>
      <c r="M29" s="156">
        <f t="shared" si="5"/>
        <v>3.0788177339901481</v>
      </c>
      <c r="N29" s="157">
        <f t="shared" si="11"/>
        <v>2.5000000000000001E-4</v>
      </c>
      <c r="O29" s="155">
        <f t="shared" si="12"/>
        <v>100</v>
      </c>
      <c r="P29" s="250">
        <v>1</v>
      </c>
      <c r="Q29" s="250">
        <v>1000</v>
      </c>
      <c r="R29" s="148">
        <f t="shared" si="19"/>
        <v>3.0788177339901481</v>
      </c>
      <c r="S29" s="148">
        <f t="shared" si="20"/>
        <v>3.0788177339901481</v>
      </c>
      <c r="T29" s="148">
        <f t="shared" si="15"/>
        <v>3.0788177339901482E-2</v>
      </c>
      <c r="U29" s="148">
        <f t="shared" si="15"/>
        <v>30.78817733990148</v>
      </c>
      <c r="V29" s="7">
        <f t="shared" si="16"/>
        <v>1000</v>
      </c>
      <c r="W29" s="7">
        <f t="shared" si="16"/>
        <v>1000000</v>
      </c>
      <c r="X29" s="1345">
        <f t="shared" si="17"/>
        <v>30.78817733990148</v>
      </c>
      <c r="Y29" s="1345">
        <f t="shared" si="17"/>
        <v>30788.177339901482</v>
      </c>
    </row>
    <row r="30" spans="1:25" x14ac:dyDescent="0.2">
      <c r="A30" s="213" t="str">
        <f t="shared" si="21"/>
        <v>Japan (NMIJ)</v>
      </c>
      <c r="B30" s="213"/>
      <c r="C30" s="219">
        <f t="shared" ref="C30:H30" si="23">I73</f>
        <v>7.2500000000000004E-3</v>
      </c>
      <c r="D30" s="219">
        <f t="shared" si="23"/>
        <v>3.5000000000000004E-5</v>
      </c>
      <c r="E30" s="219">
        <f t="shared" si="23"/>
        <v>7.3479999999999995E-3</v>
      </c>
      <c r="F30" s="219">
        <f t="shared" si="23"/>
        <v>3.21E-4</v>
      </c>
      <c r="G30" s="219">
        <f t="shared" si="23"/>
        <v>9.7999999999999129E-5</v>
      </c>
      <c r="H30" s="219">
        <f t="shared" si="23"/>
        <v>6.4580492410634346E-4</v>
      </c>
      <c r="I30" s="155">
        <f t="shared" si="1"/>
        <v>0</v>
      </c>
      <c r="J30" s="155">
        <f t="shared" si="2"/>
        <v>0</v>
      </c>
      <c r="K30" s="155">
        <f t="shared" si="3"/>
        <v>6.4199999999999999E-4</v>
      </c>
      <c r="L30" s="155">
        <f t="shared" si="4"/>
        <v>7.2500000000000004E-3</v>
      </c>
      <c r="M30" s="156">
        <f t="shared" si="5"/>
        <v>8.8551724137931025</v>
      </c>
      <c r="N30" s="157">
        <f t="shared" si="11"/>
        <v>6.4199999999999988E-4</v>
      </c>
      <c r="O30" s="155">
        <f t="shared" si="12"/>
        <v>100</v>
      </c>
      <c r="P30" s="250">
        <v>1</v>
      </c>
      <c r="Q30" s="250">
        <v>1000</v>
      </c>
      <c r="R30" s="148">
        <f t="shared" si="19"/>
        <v>8.8551724137931025</v>
      </c>
      <c r="S30" s="148">
        <f t="shared" si="20"/>
        <v>8.8551724137931025</v>
      </c>
      <c r="T30" s="148">
        <f t="shared" si="15"/>
        <v>8.8551724137931026E-2</v>
      </c>
      <c r="U30" s="148">
        <f t="shared" si="15"/>
        <v>88.551724137931032</v>
      </c>
      <c r="V30" s="7">
        <f t="shared" si="16"/>
        <v>1000</v>
      </c>
      <c r="W30" s="7">
        <f t="shared" si="16"/>
        <v>1000000</v>
      </c>
      <c r="X30" s="1345">
        <f t="shared" si="17"/>
        <v>88.551724137931032</v>
      </c>
      <c r="Y30" s="1345">
        <f t="shared" si="17"/>
        <v>88551.724137931029</v>
      </c>
    </row>
    <row r="31" spans="1:25" x14ac:dyDescent="0.2">
      <c r="A31" s="213" t="str">
        <f t="shared" si="21"/>
        <v>Korea (KRISS)</v>
      </c>
      <c r="B31" s="213"/>
      <c r="C31" s="219">
        <f t="shared" ref="C31:H31" si="24">I74</f>
        <v>7.2500000000000004E-3</v>
      </c>
      <c r="D31" s="219">
        <f t="shared" si="24"/>
        <v>3.5000000000000004E-5</v>
      </c>
      <c r="E31" s="219">
        <f t="shared" si="24"/>
        <v>7.1700000000000002E-3</v>
      </c>
      <c r="F31" s="219">
        <f t="shared" si="24"/>
        <v>1.9000000000000001E-4</v>
      </c>
      <c r="G31" s="219">
        <f t="shared" si="24"/>
        <v>-8.000000000000021E-5</v>
      </c>
      <c r="H31" s="219">
        <f t="shared" si="24"/>
        <v>3.8639358172723318E-4</v>
      </c>
      <c r="I31" s="155">
        <f t="shared" si="1"/>
        <v>0</v>
      </c>
      <c r="J31" s="155">
        <f t="shared" si="2"/>
        <v>0</v>
      </c>
      <c r="K31" s="155">
        <f t="shared" si="3"/>
        <v>3.8000000000000002E-4</v>
      </c>
      <c r="L31" s="155">
        <f t="shared" si="4"/>
        <v>7.2500000000000004E-3</v>
      </c>
      <c r="M31" s="156">
        <f t="shared" si="5"/>
        <v>5.2413793103448274</v>
      </c>
      <c r="N31" s="157">
        <f t="shared" si="11"/>
        <v>3.7999999999999997E-4</v>
      </c>
      <c r="O31" s="155">
        <f t="shared" si="12"/>
        <v>100</v>
      </c>
      <c r="P31" s="250">
        <v>1</v>
      </c>
      <c r="Q31" s="250">
        <v>1000</v>
      </c>
      <c r="R31" s="148">
        <f t="shared" si="19"/>
        <v>5.2413793103448274</v>
      </c>
      <c r="S31" s="148">
        <f t="shared" si="20"/>
        <v>5.2413793103448274</v>
      </c>
      <c r="T31" s="148">
        <f t="shared" si="15"/>
        <v>5.2413793103448278E-2</v>
      </c>
      <c r="U31" s="148">
        <f t="shared" si="15"/>
        <v>52.41379310344827</v>
      </c>
      <c r="V31" s="7">
        <f t="shared" si="16"/>
        <v>1000</v>
      </c>
      <c r="W31" s="7">
        <f t="shared" si="16"/>
        <v>1000000</v>
      </c>
      <c r="X31" s="1345">
        <f t="shared" si="17"/>
        <v>52.413793103448278</v>
      </c>
      <c r="Y31" s="1345">
        <f t="shared" si="17"/>
        <v>52413.793103448268</v>
      </c>
    </row>
    <row r="32" spans="1:25" x14ac:dyDescent="0.2">
      <c r="A32" s="213" t="str">
        <f t="shared" si="21"/>
        <v>Netherlands (NMi)</v>
      </c>
      <c r="B32" s="213"/>
      <c r="C32" s="219">
        <f t="shared" ref="C32:H32" si="25">I75</f>
        <v>8.1199999999999987E-3</v>
      </c>
      <c r="D32" s="219">
        <f t="shared" si="25"/>
        <v>4.0000000000000003E-5</v>
      </c>
      <c r="E32" s="219">
        <f t="shared" si="25"/>
        <v>8.2199999999999999E-3</v>
      </c>
      <c r="F32" s="219">
        <f t="shared" si="25"/>
        <v>2.3999999999999998E-4</v>
      </c>
      <c r="G32" s="219">
        <f t="shared" si="25"/>
        <v>1.0000000000000113E-4</v>
      </c>
      <c r="H32" s="219">
        <f t="shared" si="25"/>
        <v>4.8662100242385757E-4</v>
      </c>
      <c r="I32" s="155">
        <f t="shared" si="1"/>
        <v>0</v>
      </c>
      <c r="J32" s="155">
        <f t="shared" si="2"/>
        <v>0</v>
      </c>
      <c r="K32" s="155">
        <f t="shared" si="3"/>
        <v>4.7999999999999996E-4</v>
      </c>
      <c r="L32" s="155">
        <f t="shared" si="4"/>
        <v>8.1199999999999987E-3</v>
      </c>
      <c r="M32" s="156">
        <f t="shared" si="5"/>
        <v>5.9113300492610845</v>
      </c>
      <c r="N32" s="157">
        <f t="shared" si="11"/>
        <v>4.8000000000000001E-4</v>
      </c>
      <c r="O32" s="155">
        <f t="shared" si="12"/>
        <v>100</v>
      </c>
      <c r="P32" s="250">
        <v>1</v>
      </c>
      <c r="Q32" s="250">
        <v>1000</v>
      </c>
      <c r="R32" s="148">
        <f t="shared" si="19"/>
        <v>5.9113300492610845</v>
      </c>
      <c r="S32" s="148">
        <f t="shared" si="20"/>
        <v>5.9113300492610845</v>
      </c>
      <c r="T32" s="148">
        <f t="shared" si="15"/>
        <v>5.9113300492610849E-2</v>
      </c>
      <c r="U32" s="148">
        <f t="shared" si="15"/>
        <v>59.113300492610847</v>
      </c>
      <c r="V32" s="7">
        <f t="shared" si="16"/>
        <v>1000</v>
      </c>
      <c r="W32" s="7">
        <f t="shared" si="16"/>
        <v>1000000</v>
      </c>
      <c r="X32" s="1345">
        <f t="shared" si="17"/>
        <v>59.113300492610847</v>
      </c>
      <c r="Y32" s="1345">
        <f t="shared" si="17"/>
        <v>59113.300492610848</v>
      </c>
    </row>
    <row r="33" spans="1:26" x14ac:dyDescent="0.2">
      <c r="A33" s="213" t="str">
        <f t="shared" si="21"/>
        <v>Russia (VNIIM)</v>
      </c>
      <c r="B33" s="213"/>
      <c r="C33" s="219">
        <f t="shared" ref="C33:H33" si="26">I76</f>
        <v>7.2500000000000004E-3</v>
      </c>
      <c r="D33" s="219">
        <f t="shared" si="26"/>
        <v>3.5000000000000004E-5</v>
      </c>
      <c r="E33" s="219">
        <f t="shared" si="26"/>
        <v>7.5599999999999999E-3</v>
      </c>
      <c r="F33" s="219">
        <f t="shared" si="26"/>
        <v>1.15E-4</v>
      </c>
      <c r="G33" s="219">
        <f t="shared" si="26"/>
        <v>3.0999999999999951E-4</v>
      </c>
      <c r="H33" s="219">
        <f t="shared" si="26"/>
        <v>2.4041630560342616E-4</v>
      </c>
      <c r="I33" s="155">
        <f t="shared" si="1"/>
        <v>1</v>
      </c>
      <c r="J33" s="155">
        <f t="shared" si="2"/>
        <v>3.0999999999999951E-4</v>
      </c>
      <c r="K33" s="155">
        <f t="shared" si="3"/>
        <v>6.6128662469461664E-4</v>
      </c>
      <c r="L33" s="155">
        <f t="shared" si="4"/>
        <v>7.2500000000000004E-3</v>
      </c>
      <c r="M33" s="156">
        <f t="shared" si="5"/>
        <v>9.1211948233740223</v>
      </c>
      <c r="N33" s="157">
        <f t="shared" si="11"/>
        <v>6.6128662469461664E-4</v>
      </c>
      <c r="O33" s="155">
        <f t="shared" si="12"/>
        <v>100</v>
      </c>
      <c r="P33" s="250">
        <v>1</v>
      </c>
      <c r="Q33" s="250">
        <v>1000</v>
      </c>
      <c r="R33" s="148">
        <f t="shared" si="19"/>
        <v>9.1211948233740223</v>
      </c>
      <c r="S33" s="148">
        <f t="shared" si="20"/>
        <v>9.1211948233740223</v>
      </c>
      <c r="T33" s="148">
        <f t="shared" si="15"/>
        <v>9.1211948233740223E-2</v>
      </c>
      <c r="U33" s="148">
        <f t="shared" si="15"/>
        <v>91.21194823374023</v>
      </c>
      <c r="V33" s="7">
        <f t="shared" si="16"/>
        <v>1000</v>
      </c>
      <c r="W33" s="7">
        <f t="shared" si="16"/>
        <v>1000000</v>
      </c>
      <c r="X33" s="1345">
        <f t="shared" si="17"/>
        <v>91.211948233740216</v>
      </c>
      <c r="Y33" s="1345">
        <f t="shared" si="17"/>
        <v>91211.94823374023</v>
      </c>
    </row>
    <row r="34" spans="1:26" x14ac:dyDescent="0.2">
      <c r="A34" s="213" t="str">
        <f t="shared" si="21"/>
        <v>United Kingdom (NPL)</v>
      </c>
      <c r="B34" s="213"/>
      <c r="C34" s="219">
        <f t="shared" ref="C34:H34" si="27">I77</f>
        <v>8.1199999999999987E-3</v>
      </c>
      <c r="D34" s="219">
        <f t="shared" si="27"/>
        <v>4.0000000000000003E-5</v>
      </c>
      <c r="E34" s="219">
        <f t="shared" si="27"/>
        <v>7.9900000000000006E-3</v>
      </c>
      <c r="F34" s="219">
        <f t="shared" si="27"/>
        <v>5.0000000000000002E-5</v>
      </c>
      <c r="G34" s="219">
        <f t="shared" si="27"/>
        <v>-1.2999999999999817E-4</v>
      </c>
      <c r="H34" s="219">
        <f t="shared" si="27"/>
        <v>1.2806248474865698E-4</v>
      </c>
      <c r="I34" s="155">
        <f t="shared" si="1"/>
        <v>1</v>
      </c>
      <c r="J34" s="155">
        <f t="shared" si="2"/>
        <v>1.2999999999999817E-4</v>
      </c>
      <c r="K34" s="155">
        <f t="shared" si="3"/>
        <v>2.7856776554367898E-4</v>
      </c>
      <c r="L34" s="155">
        <f t="shared" si="4"/>
        <v>8.1199999999999987E-3</v>
      </c>
      <c r="M34" s="156">
        <f t="shared" si="5"/>
        <v>3.4306375066955543</v>
      </c>
      <c r="N34" s="157">
        <f t="shared" si="11"/>
        <v>2.7856776554367898E-4</v>
      </c>
      <c r="O34" s="155">
        <f t="shared" si="12"/>
        <v>100</v>
      </c>
      <c r="P34" s="250">
        <v>1</v>
      </c>
      <c r="Q34" s="250">
        <v>1000</v>
      </c>
      <c r="R34" s="148">
        <f t="shared" si="19"/>
        <v>3.4306375066955543</v>
      </c>
      <c r="S34" s="148">
        <f t="shared" si="20"/>
        <v>3.4306375066955543</v>
      </c>
      <c r="T34" s="148">
        <f t="shared" si="15"/>
        <v>3.4306375066955545E-2</v>
      </c>
      <c r="U34" s="148">
        <f t="shared" si="15"/>
        <v>34.306375066955546</v>
      </c>
      <c r="V34" s="7">
        <f t="shared" si="16"/>
        <v>1000</v>
      </c>
      <c r="W34" s="7">
        <f t="shared" si="16"/>
        <v>1000000</v>
      </c>
      <c r="X34" s="1345">
        <f t="shared" si="17"/>
        <v>34.306375066955546</v>
      </c>
      <c r="Y34" s="1345">
        <f t="shared" si="17"/>
        <v>34306.375066955545</v>
      </c>
    </row>
    <row r="35" spans="1:26" x14ac:dyDescent="0.2">
      <c r="A35" s="213" t="str">
        <f t="shared" si="21"/>
        <v>USA (NIST)</v>
      </c>
      <c r="B35" s="213"/>
      <c r="C35" s="219">
        <f t="shared" ref="C35:H35" si="28">I78</f>
        <v>8.1199999999999987E-3</v>
      </c>
      <c r="D35" s="219">
        <f t="shared" si="28"/>
        <v>4.0000000000000003E-5</v>
      </c>
      <c r="E35" s="219">
        <f t="shared" si="28"/>
        <v>8.0800000000000004E-3</v>
      </c>
      <c r="F35" s="219">
        <f t="shared" si="28"/>
        <v>2.5000000000000001E-5</v>
      </c>
      <c r="G35" s="219">
        <f t="shared" si="28"/>
        <v>-3.999999999999837E-5</v>
      </c>
      <c r="H35" s="219">
        <f t="shared" si="28"/>
        <v>9.4339811320566034E-5</v>
      </c>
      <c r="I35" s="155">
        <f t="shared" si="1"/>
        <v>0</v>
      </c>
      <c r="J35" s="155">
        <f t="shared" si="2"/>
        <v>0</v>
      </c>
      <c r="K35" s="155">
        <f t="shared" si="3"/>
        <v>5.0000000000000002E-5</v>
      </c>
      <c r="L35" s="155">
        <f t="shared" si="4"/>
        <v>8.1199999999999987E-3</v>
      </c>
      <c r="M35" s="156">
        <f t="shared" si="5"/>
        <v>0.61576354679802969</v>
      </c>
      <c r="N35" s="157">
        <f t="shared" si="11"/>
        <v>5.0000000000000002E-5</v>
      </c>
      <c r="O35" s="155">
        <f t="shared" si="12"/>
        <v>100</v>
      </c>
      <c r="P35" s="250">
        <v>1</v>
      </c>
      <c r="Q35" s="250">
        <v>1000</v>
      </c>
      <c r="R35" s="148">
        <f t="shared" si="19"/>
        <v>0.61576354679802969</v>
      </c>
      <c r="S35" s="148">
        <f t="shared" si="20"/>
        <v>0.61576354679802969</v>
      </c>
      <c r="T35" s="148">
        <f t="shared" si="15"/>
        <v>6.1576354679802967E-3</v>
      </c>
      <c r="U35" s="148">
        <f t="shared" si="15"/>
        <v>6.1576354679802972</v>
      </c>
      <c r="V35" s="7">
        <f t="shared" si="16"/>
        <v>1000</v>
      </c>
      <c r="W35" s="7">
        <f t="shared" si="16"/>
        <v>1000000</v>
      </c>
      <c r="X35" s="1345">
        <f t="shared" si="17"/>
        <v>6.1576354679802972</v>
      </c>
      <c r="Y35" s="1345">
        <f t="shared" si="17"/>
        <v>6157.6354679802971</v>
      </c>
    </row>
    <row r="36" spans="1:26" x14ac:dyDescent="0.2">
      <c r="A36" s="445"/>
      <c r="B36" s="445"/>
      <c r="C36" s="1130"/>
      <c r="D36" s="1130"/>
      <c r="E36" s="1130"/>
      <c r="F36" s="1130"/>
      <c r="G36" s="1130"/>
      <c r="H36" s="1130"/>
      <c r="I36" s="446"/>
      <c r="J36" s="446"/>
      <c r="K36" s="446"/>
      <c r="L36" s="446"/>
      <c r="M36" s="447"/>
      <c r="N36" s="448"/>
      <c r="O36" s="446"/>
      <c r="P36" s="1228"/>
      <c r="Q36" s="1228"/>
      <c r="R36" s="449"/>
      <c r="S36" s="449"/>
      <c r="T36" s="449"/>
      <c r="U36" s="449"/>
      <c r="V36" s="450"/>
      <c r="W36" s="450"/>
      <c r="X36" s="451"/>
      <c r="Y36" s="452"/>
    </row>
    <row r="37" spans="1:26" ht="15.75" x14ac:dyDescent="0.2">
      <c r="A37" s="461" t="s">
        <v>359</v>
      </c>
      <c r="B37" s="453"/>
      <c r="C37" s="1231"/>
      <c r="D37" s="1231"/>
      <c r="E37" s="1231"/>
      <c r="F37" s="1231"/>
      <c r="G37" s="1231"/>
      <c r="H37" s="1231"/>
      <c r="I37" s="454"/>
      <c r="J37" s="454"/>
      <c r="K37" s="454"/>
      <c r="L37" s="454"/>
      <c r="M37" s="455"/>
      <c r="N37" s="456"/>
      <c r="O37" s="454"/>
      <c r="P37" s="1229"/>
      <c r="Q37" s="1229"/>
      <c r="R37" s="457"/>
      <c r="S37" s="457"/>
      <c r="T37" s="457"/>
      <c r="U37" s="457"/>
      <c r="V37" s="458"/>
      <c r="W37" s="458"/>
      <c r="X37" s="459"/>
      <c r="Y37" s="460"/>
    </row>
    <row r="38" spans="1:26" ht="102" x14ac:dyDescent="0.2">
      <c r="A38" s="211" t="s">
        <v>0</v>
      </c>
      <c r="B38" s="212" t="s">
        <v>1</v>
      </c>
      <c r="C38" s="1230" t="s">
        <v>133</v>
      </c>
      <c r="D38" s="1230" t="s">
        <v>199</v>
      </c>
      <c r="E38" s="1230" t="s">
        <v>135</v>
      </c>
      <c r="F38" s="1230" t="s">
        <v>200</v>
      </c>
      <c r="G38" s="1230" t="s">
        <v>137</v>
      </c>
      <c r="H38" s="1230" t="s">
        <v>201</v>
      </c>
      <c r="I38" s="104" t="s">
        <v>8</v>
      </c>
      <c r="J38" s="104" t="s">
        <v>9</v>
      </c>
      <c r="K38" s="104" t="s">
        <v>107</v>
      </c>
      <c r="L38" s="104" t="s">
        <v>14</v>
      </c>
      <c r="M38" s="104" t="s">
        <v>12</v>
      </c>
      <c r="N38" s="104" t="s">
        <v>1058</v>
      </c>
      <c r="O38" s="104" t="s">
        <v>100</v>
      </c>
      <c r="P38" s="1222" t="s">
        <v>105</v>
      </c>
      <c r="Q38" s="1222" t="s">
        <v>106</v>
      </c>
      <c r="R38" s="104" t="s">
        <v>70</v>
      </c>
      <c r="S38" s="104" t="s">
        <v>71</v>
      </c>
      <c r="T38" s="147" t="s">
        <v>80</v>
      </c>
      <c r="U38" s="147" t="s">
        <v>81</v>
      </c>
      <c r="V38" s="5" t="s">
        <v>101</v>
      </c>
      <c r="W38" s="5" t="s">
        <v>102</v>
      </c>
      <c r="X38" s="112" t="s">
        <v>103</v>
      </c>
      <c r="Y38" s="112" t="s">
        <v>104</v>
      </c>
    </row>
    <row r="39" spans="1:26" x14ac:dyDescent="0.2">
      <c r="A39" s="213" t="str">
        <f>A86</f>
        <v>France (LNE)</v>
      </c>
      <c r="B39" s="213"/>
      <c r="C39" s="219">
        <f t="shared" ref="C39:H39" si="29">I86</f>
        <v>6.2699999999999995E-3</v>
      </c>
      <c r="D39" s="219">
        <f t="shared" si="29"/>
        <v>2.9999999999999997E-5</v>
      </c>
      <c r="E39" s="219">
        <f t="shared" si="29"/>
        <v>6.1980000000000004E-3</v>
      </c>
      <c r="F39" s="219">
        <f t="shared" si="29"/>
        <v>3.8000000000000002E-5</v>
      </c>
      <c r="G39" s="219">
        <f t="shared" si="29"/>
        <v>-7.1999999999999148E-5</v>
      </c>
      <c r="H39" s="219">
        <f t="shared" si="29"/>
        <v>9.6829747495281632E-5</v>
      </c>
      <c r="I39" s="155">
        <f t="shared" ref="I39:I46" si="30">IF(ABS(G39)&gt;ABS(H39), 1, 0)</f>
        <v>0</v>
      </c>
      <c r="J39" s="155">
        <f t="shared" ref="J39:J46" si="31">I39*ABS(C39-E39)</f>
        <v>0</v>
      </c>
      <c r="K39" s="155">
        <f t="shared" ref="K39:K46" si="32">SQRT(SUMSQ(F39,J39))*2</f>
        <v>7.6000000000000004E-5</v>
      </c>
      <c r="L39" s="155">
        <f t="shared" ref="L39:L46" si="33">IF(C39&lt;$K$2, C39, $K$1)</f>
        <v>6.2699999999999995E-3</v>
      </c>
      <c r="M39" s="156">
        <f t="shared" ref="M39:M46" si="34">IF(AND(C39&lt;$K$1,C39&gt; $K$2), K39/L39*100, K39/C39*100)</f>
        <v>1.2121212121212124</v>
      </c>
      <c r="N39" s="157">
        <f t="shared" ref="N39:N46" si="35">M39*L39/100</f>
        <v>7.6000000000000004E-5</v>
      </c>
      <c r="O39" s="155">
        <f t="shared" ref="O39:O46" si="36">N39/(M39*L39/100)*100</f>
        <v>100</v>
      </c>
      <c r="P39" s="250">
        <v>1</v>
      </c>
      <c r="Q39" s="250">
        <v>1000</v>
      </c>
      <c r="R39" s="148">
        <f t="shared" ref="R39:R46" si="37">IF( IF(P39&lt;L39, M39*L39/P39, M39)&gt;100, "ERROR",  IF(P39&lt;L39, M39*L39/P39, M39))</f>
        <v>1.2121212121212124</v>
      </c>
      <c r="S39" s="148">
        <f t="shared" ref="S39:S46" si="38">IF(IF(Q39&lt;L39, M39*L39/Q39, M39)&gt;100, "ERROR", IF(Q39&lt;L39, M39*L39/Q39, M39))</f>
        <v>1.2121212121212124</v>
      </c>
      <c r="T39" s="148">
        <f t="shared" ref="T39:T46" si="39">R39*P39*0.01</f>
        <v>1.2121212121212125E-2</v>
      </c>
      <c r="U39" s="148">
        <f t="shared" ref="U39:U46" si="40">S39*Q39*0.01</f>
        <v>12.121212121212125</v>
      </c>
      <c r="V39" s="7">
        <f t="shared" ref="V39:V46" si="41">P39*1000</f>
        <v>1000</v>
      </c>
      <c r="W39" s="7">
        <f t="shared" ref="W39:W46" si="42">Q39*1000</f>
        <v>1000000</v>
      </c>
      <c r="X39" s="1345">
        <f t="shared" ref="X39:X46" si="43">T39*1000</f>
        <v>12.121212121212125</v>
      </c>
      <c r="Y39" s="1345">
        <f t="shared" ref="Y39:Y46" si="44">U39*1000</f>
        <v>12121.212121212124</v>
      </c>
    </row>
    <row r="40" spans="1:26" x14ac:dyDescent="0.2">
      <c r="A40" s="213" t="str">
        <f t="shared" ref="A40:A46" si="45">A87</f>
        <v>Germany (UBA)</v>
      </c>
      <c r="B40" s="213"/>
      <c r="C40" s="219">
        <f t="shared" ref="C40:H40" si="46">I87</f>
        <v>6.2699999999999995E-3</v>
      </c>
      <c r="D40" s="219">
        <f t="shared" si="46"/>
        <v>2.9999999999999997E-5</v>
      </c>
      <c r="E40" s="219">
        <f t="shared" si="46"/>
        <v>6.3E-3</v>
      </c>
      <c r="F40" s="219">
        <f t="shared" si="46"/>
        <v>1.35E-4</v>
      </c>
      <c r="G40" s="219">
        <f t="shared" si="46"/>
        <v>3.0000000000000512E-5</v>
      </c>
      <c r="H40" s="219">
        <f t="shared" si="46"/>
        <v>2.7658633371878665E-4</v>
      </c>
      <c r="I40" s="155">
        <f t="shared" si="30"/>
        <v>0</v>
      </c>
      <c r="J40" s="155">
        <f t="shared" si="31"/>
        <v>0</v>
      </c>
      <c r="K40" s="155">
        <f t="shared" si="32"/>
        <v>2.7E-4</v>
      </c>
      <c r="L40" s="155">
        <f t="shared" si="33"/>
        <v>6.2699999999999995E-3</v>
      </c>
      <c r="M40" s="156">
        <f t="shared" si="34"/>
        <v>4.3062200956937797</v>
      </c>
      <c r="N40" s="157">
        <f t="shared" si="35"/>
        <v>2.6999999999999995E-4</v>
      </c>
      <c r="O40" s="155">
        <f t="shared" si="36"/>
        <v>100</v>
      </c>
      <c r="P40" s="250">
        <v>1</v>
      </c>
      <c r="Q40" s="250">
        <v>1000</v>
      </c>
      <c r="R40" s="148">
        <f t="shared" si="37"/>
        <v>4.3062200956937797</v>
      </c>
      <c r="S40" s="148">
        <f t="shared" si="38"/>
        <v>4.3062200956937797</v>
      </c>
      <c r="T40" s="148">
        <f t="shared" si="39"/>
        <v>4.3062200956937795E-2</v>
      </c>
      <c r="U40" s="148">
        <f t="shared" si="40"/>
        <v>43.062200956937794</v>
      </c>
      <c r="V40" s="7">
        <f t="shared" si="41"/>
        <v>1000</v>
      </c>
      <c r="W40" s="7">
        <f t="shared" si="42"/>
        <v>1000000</v>
      </c>
      <c r="X40" s="1345">
        <f t="shared" si="43"/>
        <v>43.062200956937794</v>
      </c>
      <c r="Y40" s="1345">
        <f t="shared" si="44"/>
        <v>43062.200956937791</v>
      </c>
    </row>
    <row r="41" spans="1:26" x14ac:dyDescent="0.2">
      <c r="A41" s="213" t="str">
        <f t="shared" si="45"/>
        <v>Japan (NMIJ)</v>
      </c>
      <c r="B41" s="213"/>
      <c r="C41" s="219">
        <f t="shared" ref="C41:H41" si="47">I88</f>
        <v>6.8099999999999992E-3</v>
      </c>
      <c r="D41" s="219">
        <f t="shared" si="47"/>
        <v>3.5000000000000004E-5</v>
      </c>
      <c r="E41" s="219">
        <f t="shared" si="47"/>
        <v>6.9939999999999993E-3</v>
      </c>
      <c r="F41" s="219">
        <f t="shared" si="47"/>
        <v>3.235E-4</v>
      </c>
      <c r="G41" s="219">
        <f t="shared" si="47"/>
        <v>1.8400000000000014E-4</v>
      </c>
      <c r="H41" s="219">
        <f t="shared" si="47"/>
        <v>6.5077569100266798E-4</v>
      </c>
      <c r="I41" s="155">
        <f t="shared" si="30"/>
        <v>0</v>
      </c>
      <c r="J41" s="155">
        <f t="shared" si="31"/>
        <v>0</v>
      </c>
      <c r="K41" s="155">
        <f t="shared" si="32"/>
        <v>6.4700000000000001E-4</v>
      </c>
      <c r="L41" s="155">
        <f t="shared" si="33"/>
        <v>6.8099999999999992E-3</v>
      </c>
      <c r="M41" s="156">
        <f t="shared" si="34"/>
        <v>9.5007342143906026</v>
      </c>
      <c r="N41" s="157">
        <f t="shared" si="35"/>
        <v>6.469999999999999E-4</v>
      </c>
      <c r="O41" s="155">
        <f t="shared" si="36"/>
        <v>100</v>
      </c>
      <c r="P41" s="250">
        <v>1</v>
      </c>
      <c r="Q41" s="250">
        <v>1000</v>
      </c>
      <c r="R41" s="148">
        <f t="shared" si="37"/>
        <v>9.5007342143906026</v>
      </c>
      <c r="S41" s="148">
        <f t="shared" si="38"/>
        <v>9.5007342143906026</v>
      </c>
      <c r="T41" s="148">
        <f t="shared" si="39"/>
        <v>9.5007342143906034E-2</v>
      </c>
      <c r="U41" s="148">
        <f t="shared" si="40"/>
        <v>95.00734214390603</v>
      </c>
      <c r="V41" s="7">
        <f t="shared" si="41"/>
        <v>1000</v>
      </c>
      <c r="W41" s="7">
        <f t="shared" si="42"/>
        <v>1000000</v>
      </c>
      <c r="X41" s="1345">
        <f t="shared" si="43"/>
        <v>95.00734214390603</v>
      </c>
      <c r="Y41" s="1345">
        <f t="shared" si="44"/>
        <v>95007.342143906033</v>
      </c>
    </row>
    <row r="42" spans="1:26" x14ac:dyDescent="0.2">
      <c r="A42" s="213" t="str">
        <f t="shared" si="45"/>
        <v>Korea (KRISS)</v>
      </c>
      <c r="B42" s="213"/>
      <c r="C42" s="219">
        <f t="shared" ref="C42:H42" si="48">I89</f>
        <v>6.8099999999999992E-3</v>
      </c>
      <c r="D42" s="219">
        <f t="shared" si="48"/>
        <v>3.5000000000000004E-5</v>
      </c>
      <c r="E42" s="219">
        <f t="shared" si="48"/>
        <v>6.8099999999999992E-3</v>
      </c>
      <c r="F42" s="219">
        <f t="shared" si="48"/>
        <v>1.75E-4</v>
      </c>
      <c r="G42" s="219">
        <f t="shared" si="48"/>
        <v>0</v>
      </c>
      <c r="H42" s="219">
        <f t="shared" si="48"/>
        <v>3.5693136595149491E-4</v>
      </c>
      <c r="I42" s="155">
        <f t="shared" si="30"/>
        <v>0</v>
      </c>
      <c r="J42" s="155">
        <f t="shared" si="31"/>
        <v>0</v>
      </c>
      <c r="K42" s="155">
        <f t="shared" si="32"/>
        <v>3.5E-4</v>
      </c>
      <c r="L42" s="155">
        <f t="shared" si="33"/>
        <v>6.8099999999999992E-3</v>
      </c>
      <c r="M42" s="156">
        <f t="shared" si="34"/>
        <v>5.1395007342143906</v>
      </c>
      <c r="N42" s="157">
        <f t="shared" si="35"/>
        <v>3.4999999999999994E-4</v>
      </c>
      <c r="O42" s="155">
        <f t="shared" si="36"/>
        <v>100</v>
      </c>
      <c r="P42" s="250">
        <v>1</v>
      </c>
      <c r="Q42" s="250">
        <v>1000</v>
      </c>
      <c r="R42" s="148">
        <f t="shared" si="37"/>
        <v>5.1395007342143906</v>
      </c>
      <c r="S42" s="148">
        <f t="shared" si="38"/>
        <v>5.1395007342143906</v>
      </c>
      <c r="T42" s="148">
        <f t="shared" si="39"/>
        <v>5.139500734214391E-2</v>
      </c>
      <c r="U42" s="148">
        <f t="shared" si="40"/>
        <v>51.395007342143913</v>
      </c>
      <c r="V42" s="7">
        <f t="shared" si="41"/>
        <v>1000</v>
      </c>
      <c r="W42" s="7">
        <f t="shared" si="42"/>
        <v>1000000</v>
      </c>
      <c r="X42" s="1345">
        <f t="shared" si="43"/>
        <v>51.395007342143913</v>
      </c>
      <c r="Y42" s="1345">
        <f t="shared" si="44"/>
        <v>51395.007342143916</v>
      </c>
    </row>
    <row r="43" spans="1:26" x14ac:dyDescent="0.2">
      <c r="A43" s="213" t="str">
        <f t="shared" si="45"/>
        <v>Netherlands (NMi)</v>
      </c>
      <c r="B43" s="213"/>
      <c r="C43" s="219">
        <f t="shared" ref="C43:H43" si="49">I90</f>
        <v>6.2699999999999995E-3</v>
      </c>
      <c r="D43" s="219">
        <f t="shared" si="49"/>
        <v>2.9999999999999997E-5</v>
      </c>
      <c r="E43" s="219">
        <f t="shared" si="49"/>
        <v>6.5700000000000003E-3</v>
      </c>
      <c r="F43" s="219">
        <f t="shared" si="49"/>
        <v>2.6000000000000003E-4</v>
      </c>
      <c r="G43" s="219">
        <f t="shared" si="49"/>
        <v>3.0000000000000079E-4</v>
      </c>
      <c r="H43" s="219">
        <f t="shared" si="49"/>
        <v>5.2345009313209607E-4</v>
      </c>
      <c r="I43" s="155">
        <f t="shared" si="30"/>
        <v>0</v>
      </c>
      <c r="J43" s="155">
        <f t="shared" si="31"/>
        <v>0</v>
      </c>
      <c r="K43" s="155">
        <f t="shared" si="32"/>
        <v>5.2000000000000006E-4</v>
      </c>
      <c r="L43" s="155">
        <f t="shared" si="33"/>
        <v>6.2699999999999995E-3</v>
      </c>
      <c r="M43" s="156">
        <f t="shared" si="34"/>
        <v>8.2934609250398736</v>
      </c>
      <c r="N43" s="157">
        <f t="shared" si="35"/>
        <v>5.2000000000000006E-4</v>
      </c>
      <c r="O43" s="155">
        <f t="shared" si="36"/>
        <v>100</v>
      </c>
      <c r="P43" s="250">
        <v>1</v>
      </c>
      <c r="Q43" s="250">
        <v>1000</v>
      </c>
      <c r="R43" s="148">
        <f t="shared" si="37"/>
        <v>8.2934609250398736</v>
      </c>
      <c r="S43" s="148">
        <f t="shared" si="38"/>
        <v>8.2934609250398736</v>
      </c>
      <c r="T43" s="148">
        <f t="shared" si="39"/>
        <v>8.2934609250398736E-2</v>
      </c>
      <c r="U43" s="148">
        <f t="shared" si="40"/>
        <v>82.934609250398736</v>
      </c>
      <c r="V43" s="7">
        <f t="shared" si="41"/>
        <v>1000</v>
      </c>
      <c r="W43" s="7">
        <f t="shared" si="42"/>
        <v>1000000</v>
      </c>
      <c r="X43" s="1345">
        <f t="shared" si="43"/>
        <v>82.934609250398736</v>
      </c>
      <c r="Y43" s="1345">
        <f t="shared" si="44"/>
        <v>82934.609250398731</v>
      </c>
    </row>
    <row r="44" spans="1:26" x14ac:dyDescent="0.2">
      <c r="A44" s="213" t="str">
        <f t="shared" si="45"/>
        <v>Russia (VNIIM)</v>
      </c>
      <c r="B44" s="213"/>
      <c r="C44" s="219">
        <f t="shared" ref="C44:H44" si="50">I91</f>
        <v>6.8099999999999992E-3</v>
      </c>
      <c r="D44" s="219">
        <f t="shared" si="50"/>
        <v>3.5000000000000004E-5</v>
      </c>
      <c r="E44" s="219">
        <f t="shared" si="50"/>
        <v>7.4999999999999997E-3</v>
      </c>
      <c r="F44" s="219">
        <f t="shared" si="50"/>
        <v>1.1E-4</v>
      </c>
      <c r="G44" s="219">
        <f t="shared" si="50"/>
        <v>6.9000000000000051E-4</v>
      </c>
      <c r="H44" s="219">
        <f t="shared" si="50"/>
        <v>2.3086792761230394E-4</v>
      </c>
      <c r="I44" s="155">
        <f t="shared" si="30"/>
        <v>1</v>
      </c>
      <c r="J44" s="155">
        <f t="shared" si="31"/>
        <v>6.9000000000000051E-4</v>
      </c>
      <c r="K44" s="155">
        <f t="shared" si="32"/>
        <v>1.3974262055650747E-3</v>
      </c>
      <c r="L44" s="155">
        <f t="shared" si="33"/>
        <v>6.8099999999999992E-3</v>
      </c>
      <c r="M44" s="156">
        <f t="shared" si="34"/>
        <v>20.520208598606093</v>
      </c>
      <c r="N44" s="157">
        <f t="shared" si="35"/>
        <v>1.3974262055650747E-3</v>
      </c>
      <c r="O44" s="155">
        <f t="shared" si="36"/>
        <v>100</v>
      </c>
      <c r="P44" s="250">
        <v>1</v>
      </c>
      <c r="Q44" s="250">
        <v>1000</v>
      </c>
      <c r="R44" s="148">
        <f t="shared" si="37"/>
        <v>20.520208598606093</v>
      </c>
      <c r="S44" s="148">
        <f t="shared" si="38"/>
        <v>20.520208598606093</v>
      </c>
      <c r="T44" s="148">
        <f t="shared" si="39"/>
        <v>0.20520208598606093</v>
      </c>
      <c r="U44" s="148">
        <f t="shared" si="40"/>
        <v>205.20208598606092</v>
      </c>
      <c r="V44" s="7">
        <f t="shared" si="41"/>
        <v>1000</v>
      </c>
      <c r="W44" s="7">
        <f t="shared" si="42"/>
        <v>1000000</v>
      </c>
      <c r="X44" s="1345">
        <f t="shared" si="43"/>
        <v>205.20208598606092</v>
      </c>
      <c r="Y44" s="1345">
        <f t="shared" si="44"/>
        <v>205202.08598606093</v>
      </c>
    </row>
    <row r="45" spans="1:26" x14ac:dyDescent="0.2">
      <c r="A45" s="213" t="str">
        <f t="shared" si="45"/>
        <v>United Kingdom (NPL)</v>
      </c>
      <c r="B45" s="213"/>
      <c r="C45" s="219">
        <f t="shared" ref="C45:H45" si="51">I92</f>
        <v>6.2699999999999995E-3</v>
      </c>
      <c r="D45" s="219">
        <f t="shared" si="51"/>
        <v>2.9999999999999997E-5</v>
      </c>
      <c r="E45" s="219">
        <f t="shared" si="51"/>
        <v>5.9199999999999999E-3</v>
      </c>
      <c r="F45" s="219">
        <f t="shared" si="51"/>
        <v>4.0000000000000003E-5</v>
      </c>
      <c r="G45" s="219">
        <f t="shared" si="51"/>
        <v>-3.4999999999999962E-4</v>
      </c>
      <c r="H45" s="219">
        <f t="shared" si="51"/>
        <v>1E-4</v>
      </c>
      <c r="I45" s="155">
        <f t="shared" si="30"/>
        <v>1</v>
      </c>
      <c r="J45" s="155">
        <f t="shared" si="31"/>
        <v>3.4999999999999962E-4</v>
      </c>
      <c r="K45" s="155">
        <f t="shared" si="32"/>
        <v>7.0455659815234065E-4</v>
      </c>
      <c r="L45" s="155">
        <f t="shared" si="33"/>
        <v>6.2699999999999995E-3</v>
      </c>
      <c r="M45" s="156">
        <f t="shared" si="34"/>
        <v>11.236947338952803</v>
      </c>
      <c r="N45" s="157">
        <f t="shared" si="35"/>
        <v>7.0455659815234065E-4</v>
      </c>
      <c r="O45" s="155">
        <f t="shared" si="36"/>
        <v>100</v>
      </c>
      <c r="P45" s="250">
        <v>1</v>
      </c>
      <c r="Q45" s="250">
        <v>1000</v>
      </c>
      <c r="R45" s="148">
        <f t="shared" si="37"/>
        <v>11.236947338952803</v>
      </c>
      <c r="S45" s="148">
        <f t="shared" si="38"/>
        <v>11.236947338952803</v>
      </c>
      <c r="T45" s="148">
        <f t="shared" si="39"/>
        <v>0.11236947338952803</v>
      </c>
      <c r="U45" s="148">
        <f t="shared" si="40"/>
        <v>112.36947338952803</v>
      </c>
      <c r="V45" s="7">
        <f t="shared" si="41"/>
        <v>1000</v>
      </c>
      <c r="W45" s="7">
        <f t="shared" si="42"/>
        <v>1000000</v>
      </c>
      <c r="X45" s="1345">
        <f t="shared" si="43"/>
        <v>112.36947338952804</v>
      </c>
      <c r="Y45" s="1345">
        <f t="shared" si="44"/>
        <v>112369.47338952802</v>
      </c>
    </row>
    <row r="46" spans="1:26" x14ac:dyDescent="0.2">
      <c r="A46" s="213" t="str">
        <f t="shared" si="45"/>
        <v>USA (NIST)</v>
      </c>
      <c r="B46" s="213"/>
      <c r="C46" s="219">
        <f t="shared" ref="C46:H46" si="52">I93</f>
        <v>6.2699999999999995E-3</v>
      </c>
      <c r="D46" s="219">
        <f t="shared" si="52"/>
        <v>2.9999999999999997E-5</v>
      </c>
      <c r="E46" s="219">
        <f t="shared" si="52"/>
        <v>6.2699999999999995E-3</v>
      </c>
      <c r="F46" s="219">
        <f t="shared" si="52"/>
        <v>5.5000000000000002E-5</v>
      </c>
      <c r="G46" s="219">
        <f t="shared" si="52"/>
        <v>0</v>
      </c>
      <c r="H46" s="219">
        <f t="shared" si="52"/>
        <v>1.2529964086141669E-4</v>
      </c>
      <c r="I46" s="155">
        <f t="shared" si="30"/>
        <v>0</v>
      </c>
      <c r="J46" s="155">
        <f t="shared" si="31"/>
        <v>0</v>
      </c>
      <c r="K46" s="155">
        <f t="shared" si="32"/>
        <v>1.1E-4</v>
      </c>
      <c r="L46" s="155">
        <f t="shared" si="33"/>
        <v>6.2699999999999995E-3</v>
      </c>
      <c r="M46" s="156">
        <f t="shared" si="34"/>
        <v>1.754385964912281</v>
      </c>
      <c r="N46" s="157">
        <f t="shared" si="35"/>
        <v>1.1000000000000002E-4</v>
      </c>
      <c r="O46" s="155">
        <f t="shared" si="36"/>
        <v>100</v>
      </c>
      <c r="P46" s="250">
        <v>1</v>
      </c>
      <c r="Q46" s="250">
        <v>1000</v>
      </c>
      <c r="R46" s="148">
        <f t="shared" si="37"/>
        <v>1.754385964912281</v>
      </c>
      <c r="S46" s="148">
        <f t="shared" si="38"/>
        <v>1.754385964912281</v>
      </c>
      <c r="T46" s="148">
        <f t="shared" si="39"/>
        <v>1.754385964912281E-2</v>
      </c>
      <c r="U46" s="148">
        <f t="shared" si="40"/>
        <v>17.543859649122812</v>
      </c>
      <c r="V46" s="7">
        <f t="shared" si="41"/>
        <v>1000</v>
      </c>
      <c r="W46" s="7">
        <f t="shared" si="42"/>
        <v>1000000</v>
      </c>
      <c r="X46" s="1345">
        <f t="shared" si="43"/>
        <v>17.543859649122808</v>
      </c>
      <c r="Y46" s="1345">
        <f t="shared" si="44"/>
        <v>17543.859649122813</v>
      </c>
    </row>
    <row r="47" spans="1:26" ht="14.25" x14ac:dyDescent="0.2">
      <c r="H47" s="9"/>
      <c r="U47" s="152"/>
      <c r="V47" s="21"/>
      <c r="W47" s="21"/>
      <c r="X47" s="21"/>
      <c r="Y47" s="21"/>
      <c r="Z47" s="21"/>
    </row>
    <row r="48" spans="1:26" ht="14.25" x14ac:dyDescent="0.2">
      <c r="H48" s="9"/>
      <c r="U48" s="152"/>
      <c r="V48" s="21"/>
      <c r="W48" s="21"/>
      <c r="X48" s="21"/>
      <c r="Y48" s="21"/>
      <c r="Z48" s="21"/>
    </row>
    <row r="49" spans="1:26" ht="14.25" x14ac:dyDescent="0.2">
      <c r="H49" s="9"/>
      <c r="V49" s="21"/>
      <c r="W49" s="21"/>
      <c r="X49" s="21"/>
      <c r="Y49" s="21"/>
      <c r="Z49" s="21"/>
    </row>
    <row r="50" spans="1:26" ht="14.25" x14ac:dyDescent="0.2">
      <c r="H50" s="9"/>
      <c r="X50" s="21"/>
      <c r="Y50" s="21"/>
      <c r="Z50" s="21"/>
    </row>
    <row r="51" spans="1:26" s="226" customFormat="1" x14ac:dyDescent="0.2">
      <c r="A51" s="414" t="s">
        <v>332</v>
      </c>
      <c r="P51" s="1223"/>
      <c r="Q51" s="1223"/>
    </row>
    <row r="52" spans="1:26" s="226" customFormat="1" x14ac:dyDescent="0.2">
      <c r="A52" s="415" t="s">
        <v>0</v>
      </c>
      <c r="B52" s="416" t="s">
        <v>333</v>
      </c>
      <c r="C52" s="416" t="s">
        <v>334</v>
      </c>
      <c r="D52" s="416" t="s">
        <v>333</v>
      </c>
      <c r="E52" s="417" t="s">
        <v>335</v>
      </c>
      <c r="F52" s="416" t="s">
        <v>335</v>
      </c>
      <c r="G52" s="416" t="s">
        <v>336</v>
      </c>
      <c r="H52" s="418"/>
      <c r="I52" s="418"/>
      <c r="J52" s="418"/>
      <c r="L52" s="418"/>
      <c r="M52" s="418"/>
      <c r="O52" s="418"/>
      <c r="P52" s="1224"/>
      <c r="Q52" s="1223"/>
      <c r="R52" s="419"/>
      <c r="T52" s="418"/>
      <c r="V52" s="418"/>
      <c r="W52" s="418"/>
      <c r="X52" s="418"/>
    </row>
    <row r="53" spans="1:26" s="226" customFormat="1" x14ac:dyDescent="0.2">
      <c r="B53" s="418" t="s">
        <v>337</v>
      </c>
      <c r="C53" s="418" t="s">
        <v>338</v>
      </c>
      <c r="D53" s="418" t="s">
        <v>339</v>
      </c>
      <c r="E53" s="420" t="s">
        <v>340</v>
      </c>
      <c r="F53" s="418" t="s">
        <v>339</v>
      </c>
      <c r="G53" s="418" t="s">
        <v>341</v>
      </c>
      <c r="H53" s="418"/>
      <c r="I53" s="418"/>
      <c r="J53" s="418"/>
      <c r="L53" s="418"/>
      <c r="M53" s="418"/>
      <c r="O53" s="418"/>
      <c r="P53" s="1224"/>
      <c r="Q53" s="1223"/>
      <c r="R53" s="420"/>
      <c r="T53" s="418"/>
      <c r="V53" s="418"/>
      <c r="W53" s="418"/>
      <c r="X53" s="418"/>
    </row>
    <row r="54" spans="1:26" s="226" customFormat="1" x14ac:dyDescent="0.2">
      <c r="B54" s="418" t="s">
        <v>342</v>
      </c>
      <c r="D54" s="418" t="s">
        <v>343</v>
      </c>
      <c r="E54" s="420" t="s">
        <v>344</v>
      </c>
      <c r="F54" s="418" t="s">
        <v>345</v>
      </c>
      <c r="H54" s="418"/>
      <c r="I54" s="418"/>
      <c r="J54" s="418"/>
      <c r="O54" s="418"/>
      <c r="P54" s="1224"/>
      <c r="Q54" s="1223"/>
      <c r="R54" s="420"/>
      <c r="T54" s="418"/>
    </row>
    <row r="55" spans="1:26" s="226" customFormat="1" ht="51" x14ac:dyDescent="0.2">
      <c r="A55" s="421"/>
      <c r="B55" s="422" t="s">
        <v>346</v>
      </c>
      <c r="C55" s="421"/>
      <c r="D55" s="422" t="s">
        <v>346</v>
      </c>
      <c r="E55" s="423" t="s">
        <v>346</v>
      </c>
      <c r="F55" s="422" t="s">
        <v>346</v>
      </c>
      <c r="G55" s="421"/>
      <c r="H55" s="418"/>
      <c r="I55" s="424" t="s">
        <v>11</v>
      </c>
      <c r="J55" s="424" t="s">
        <v>13</v>
      </c>
      <c r="K55" s="424" t="s">
        <v>5</v>
      </c>
      <c r="L55" s="424" t="s">
        <v>6</v>
      </c>
      <c r="M55" s="424" t="s">
        <v>7</v>
      </c>
      <c r="N55" s="424" t="s">
        <v>347</v>
      </c>
      <c r="O55" s="418"/>
      <c r="P55" s="1224"/>
      <c r="Q55" s="1223"/>
      <c r="R55" s="419"/>
      <c r="T55" s="418"/>
    </row>
    <row r="56" spans="1:26" s="226" customFormat="1" x14ac:dyDescent="0.2">
      <c r="A56" s="425" t="s">
        <v>348</v>
      </c>
      <c r="B56" s="426">
        <v>4.6539999999999999</v>
      </c>
      <c r="C56" s="427">
        <v>2</v>
      </c>
      <c r="D56" s="426">
        <v>5.8000000000000003E-2</v>
      </c>
      <c r="E56" s="428">
        <v>4.6399999999999997</v>
      </c>
      <c r="F56" s="428">
        <v>0.05</v>
      </c>
      <c r="G56" s="429">
        <v>3.0000000000000001E-3</v>
      </c>
      <c r="H56" s="430"/>
      <c r="I56" s="431">
        <f>E56/1000</f>
        <v>4.64E-3</v>
      </c>
      <c r="J56" s="431">
        <f>F56/2000</f>
        <v>2.5000000000000001E-5</v>
      </c>
      <c r="K56" s="432">
        <f>B56/1000</f>
        <v>4.6540000000000002E-3</v>
      </c>
      <c r="L56" s="431">
        <f>D56/2000</f>
        <v>2.9E-5</v>
      </c>
      <c r="M56" s="431">
        <f>K56-I56</f>
        <v>1.4000000000000123E-5</v>
      </c>
      <c r="N56" s="432">
        <f>SQRT(SUMSQ(J56,L56))*2</f>
        <v>7.6576758876306596E-5</v>
      </c>
      <c r="O56" s="430"/>
      <c r="P56" s="1225"/>
      <c r="Q56" s="1223"/>
      <c r="R56" s="433"/>
      <c r="T56" s="433"/>
      <c r="V56" s="434"/>
      <c r="W56" s="434"/>
      <c r="X56" s="434"/>
    </row>
    <row r="57" spans="1:26" s="226" customFormat="1" x14ac:dyDescent="0.2">
      <c r="A57" s="420" t="s">
        <v>349</v>
      </c>
      <c r="B57" s="435">
        <v>4.63</v>
      </c>
      <c r="C57" s="436">
        <v>2</v>
      </c>
      <c r="D57" s="435">
        <v>0.2</v>
      </c>
      <c r="E57" s="435">
        <v>4.6399999999999997</v>
      </c>
      <c r="F57" s="435">
        <v>0.05</v>
      </c>
      <c r="G57" s="437">
        <v>-2E-3</v>
      </c>
      <c r="H57" s="435"/>
      <c r="I57" s="438">
        <f t="shared" ref="I57:I63" si="53">E57/1000</f>
        <v>4.64E-3</v>
      </c>
      <c r="J57" s="438">
        <f t="shared" ref="J57:J63" si="54">F57/2000</f>
        <v>2.5000000000000001E-5</v>
      </c>
      <c r="K57" s="226">
        <f t="shared" ref="K57:K63" si="55">B57/1000</f>
        <v>4.6299999999999996E-3</v>
      </c>
      <c r="L57" s="438">
        <f t="shared" ref="L57:L63" si="56">D57/2000</f>
        <v>1E-4</v>
      </c>
      <c r="M57" s="438">
        <f t="shared" ref="M57:M63" si="57">K57-I57</f>
        <v>-1.000000000000046E-5</v>
      </c>
      <c r="N57" s="226">
        <f t="shared" ref="N57:N63" si="58">SQRT(SUMSQ(J57,L57))*2</f>
        <v>2.0615528128088305E-4</v>
      </c>
      <c r="O57" s="435"/>
      <c r="P57" s="1226"/>
      <c r="Q57" s="1223"/>
      <c r="R57" s="435"/>
      <c r="T57" s="435"/>
      <c r="V57" s="437"/>
      <c r="W57" s="437"/>
      <c r="X57" s="437"/>
    </row>
    <row r="58" spans="1:26" s="226" customFormat="1" x14ac:dyDescent="0.2">
      <c r="A58" s="420" t="s">
        <v>350</v>
      </c>
      <c r="B58" s="439">
        <v>4.6239999999999997</v>
      </c>
      <c r="C58" s="436">
        <v>2</v>
      </c>
      <c r="D58" s="439">
        <v>0.81699999999999995</v>
      </c>
      <c r="E58" s="435">
        <v>4.6100000000000003</v>
      </c>
      <c r="F58" s="435">
        <v>0.05</v>
      </c>
      <c r="G58" s="437">
        <v>2E-3</v>
      </c>
      <c r="H58" s="439"/>
      <c r="I58" s="438">
        <f t="shared" si="53"/>
        <v>4.6100000000000004E-3</v>
      </c>
      <c r="J58" s="438">
        <f t="shared" si="54"/>
        <v>2.5000000000000001E-5</v>
      </c>
      <c r="K58" s="226">
        <f t="shared" si="55"/>
        <v>4.6239999999999996E-3</v>
      </c>
      <c r="L58" s="438">
        <f t="shared" si="56"/>
        <v>4.0849999999999995E-4</v>
      </c>
      <c r="M58" s="438">
        <f t="shared" si="57"/>
        <v>1.3999999999999256E-5</v>
      </c>
      <c r="N58" s="226">
        <f t="shared" si="58"/>
        <v>8.1852855784022573E-4</v>
      </c>
      <c r="O58" s="439"/>
      <c r="P58" s="1226"/>
      <c r="Q58" s="1223"/>
      <c r="R58" s="435"/>
      <c r="T58" s="435"/>
      <c r="V58" s="437"/>
      <c r="W58" s="437"/>
      <c r="X58" s="437"/>
    </row>
    <row r="59" spans="1:26" s="226" customFormat="1" x14ac:dyDescent="0.2">
      <c r="A59" s="420" t="s">
        <v>351</v>
      </c>
      <c r="B59" s="435">
        <v>4.63</v>
      </c>
      <c r="C59" s="436">
        <v>2</v>
      </c>
      <c r="D59" s="435">
        <v>0.25</v>
      </c>
      <c r="E59" s="435">
        <v>4.6100000000000003</v>
      </c>
      <c r="F59" s="435">
        <v>0.05</v>
      </c>
      <c r="G59" s="437">
        <v>4.0000000000000001E-3</v>
      </c>
      <c r="H59" s="435"/>
      <c r="I59" s="438">
        <f t="shared" si="53"/>
        <v>4.6100000000000004E-3</v>
      </c>
      <c r="J59" s="438">
        <f t="shared" si="54"/>
        <v>2.5000000000000001E-5</v>
      </c>
      <c r="K59" s="226">
        <f t="shared" si="55"/>
        <v>4.6299999999999996E-3</v>
      </c>
      <c r="L59" s="438">
        <f t="shared" si="56"/>
        <v>1.25E-4</v>
      </c>
      <c r="M59" s="438">
        <f t="shared" si="57"/>
        <v>1.9999999999999185E-5</v>
      </c>
      <c r="N59" s="226">
        <f t="shared" si="58"/>
        <v>2.5495097567963923E-4</v>
      </c>
      <c r="O59" s="435"/>
      <c r="P59" s="1226"/>
      <c r="Q59" s="1223"/>
      <c r="R59" s="435"/>
      <c r="T59" s="435"/>
      <c r="V59" s="437"/>
      <c r="W59" s="437"/>
      <c r="X59" s="437"/>
    </row>
    <row r="60" spans="1:26" s="226" customFormat="1" x14ac:dyDescent="0.2">
      <c r="A60" s="420" t="s">
        <v>352</v>
      </c>
      <c r="B60" s="435">
        <v>4.57</v>
      </c>
      <c r="C60" s="436">
        <v>2</v>
      </c>
      <c r="D60" s="435">
        <v>0.22</v>
      </c>
      <c r="E60" s="435">
        <v>4.6399999999999997</v>
      </c>
      <c r="F60" s="435">
        <v>0.05</v>
      </c>
      <c r="G60" s="437">
        <v>-1.4999999999999999E-2</v>
      </c>
      <c r="H60" s="435"/>
      <c r="I60" s="438">
        <f t="shared" si="53"/>
        <v>4.64E-3</v>
      </c>
      <c r="J60" s="438">
        <f t="shared" si="54"/>
        <v>2.5000000000000001E-5</v>
      </c>
      <c r="K60" s="226">
        <f t="shared" si="55"/>
        <v>4.5700000000000003E-3</v>
      </c>
      <c r="L60" s="438">
        <f t="shared" si="56"/>
        <v>1.1E-4</v>
      </c>
      <c r="M60" s="438">
        <f t="shared" si="57"/>
        <v>-6.999999999999975E-5</v>
      </c>
      <c r="N60" s="226">
        <f t="shared" si="58"/>
        <v>2.2561028345356957E-4</v>
      </c>
      <c r="O60" s="435"/>
      <c r="P60" s="1226"/>
      <c r="Q60" s="1223"/>
      <c r="R60" s="435"/>
      <c r="T60" s="435"/>
      <c r="V60" s="437"/>
      <c r="W60" s="437"/>
      <c r="X60" s="437"/>
    </row>
    <row r="61" spans="1:26" s="226" customFormat="1" x14ac:dyDescent="0.2">
      <c r="A61" s="420" t="s">
        <v>353</v>
      </c>
      <c r="B61" s="435">
        <v>4.76</v>
      </c>
      <c r="C61" s="436">
        <v>2</v>
      </c>
      <c r="D61" s="435">
        <v>0.14000000000000001</v>
      </c>
      <c r="E61" s="435">
        <v>4.6100000000000003</v>
      </c>
      <c r="F61" s="435">
        <v>0.05</v>
      </c>
      <c r="G61" s="437">
        <v>3.2000000000000001E-2</v>
      </c>
      <c r="H61" s="435"/>
      <c r="I61" s="438">
        <f t="shared" si="53"/>
        <v>4.6100000000000004E-3</v>
      </c>
      <c r="J61" s="438">
        <f t="shared" si="54"/>
        <v>2.5000000000000001E-5</v>
      </c>
      <c r="K61" s="226">
        <f t="shared" si="55"/>
        <v>4.7599999999999995E-3</v>
      </c>
      <c r="L61" s="438">
        <f t="shared" si="56"/>
        <v>7.0000000000000007E-5</v>
      </c>
      <c r="M61" s="438">
        <f t="shared" si="57"/>
        <v>1.4999999999999909E-4</v>
      </c>
      <c r="N61" s="226">
        <f t="shared" si="58"/>
        <v>1.4866068747318507E-4</v>
      </c>
      <c r="O61" s="435"/>
      <c r="P61" s="1226"/>
      <c r="Q61" s="1223"/>
      <c r="R61" s="435"/>
      <c r="T61" s="435"/>
      <c r="V61" s="437"/>
      <c r="W61" s="437"/>
      <c r="X61" s="437"/>
    </row>
    <row r="62" spans="1:26" s="226" customFormat="1" x14ac:dyDescent="0.2">
      <c r="A62" s="420" t="s">
        <v>354</v>
      </c>
      <c r="B62" s="435">
        <v>4.51</v>
      </c>
      <c r="C62" s="436">
        <v>2</v>
      </c>
      <c r="D62" s="435">
        <v>0.06</v>
      </c>
      <c r="E62" s="435">
        <v>4.6399999999999997</v>
      </c>
      <c r="F62" s="435">
        <v>0.05</v>
      </c>
      <c r="G62" s="437">
        <v>-2.8000000000000001E-2</v>
      </c>
      <c r="H62" s="435"/>
      <c r="I62" s="438">
        <f t="shared" si="53"/>
        <v>4.64E-3</v>
      </c>
      <c r="J62" s="438">
        <f t="shared" si="54"/>
        <v>2.5000000000000001E-5</v>
      </c>
      <c r="K62" s="226">
        <f t="shared" si="55"/>
        <v>4.5100000000000001E-3</v>
      </c>
      <c r="L62" s="438">
        <f t="shared" si="56"/>
        <v>2.9999999999999997E-5</v>
      </c>
      <c r="M62" s="438">
        <f t="shared" si="57"/>
        <v>-1.2999999999999991E-4</v>
      </c>
      <c r="N62" s="226">
        <f t="shared" si="58"/>
        <v>7.8102496759066545E-5</v>
      </c>
      <c r="O62" s="435"/>
      <c r="P62" s="1226"/>
      <c r="Q62" s="1223"/>
      <c r="R62" s="435"/>
      <c r="T62" s="435"/>
      <c r="V62" s="437"/>
      <c r="W62" s="437"/>
      <c r="X62" s="437"/>
    </row>
    <row r="63" spans="1:26" s="226" customFormat="1" x14ac:dyDescent="0.2">
      <c r="A63" s="440" t="s">
        <v>355</v>
      </c>
      <c r="B63" s="441">
        <v>4.6399999999999997</v>
      </c>
      <c r="C63" s="442">
        <v>2</v>
      </c>
      <c r="D63" s="441">
        <v>0.05</v>
      </c>
      <c r="E63" s="441">
        <v>4.6399999999999997</v>
      </c>
      <c r="F63" s="441">
        <v>0.05</v>
      </c>
      <c r="G63" s="443">
        <v>0</v>
      </c>
      <c r="H63" s="435"/>
      <c r="I63" s="444">
        <f t="shared" si="53"/>
        <v>4.64E-3</v>
      </c>
      <c r="J63" s="444">
        <f t="shared" si="54"/>
        <v>2.5000000000000001E-5</v>
      </c>
      <c r="K63" s="421">
        <f t="shared" si="55"/>
        <v>4.64E-3</v>
      </c>
      <c r="L63" s="444">
        <f t="shared" si="56"/>
        <v>2.5000000000000001E-5</v>
      </c>
      <c r="M63" s="444">
        <f t="shared" si="57"/>
        <v>0</v>
      </c>
      <c r="N63" s="421">
        <f t="shared" si="58"/>
        <v>7.0710678118654754E-5</v>
      </c>
      <c r="O63" s="435"/>
      <c r="P63" s="1226"/>
      <c r="Q63" s="1223"/>
      <c r="R63" s="435"/>
      <c r="T63" s="435"/>
      <c r="V63" s="437"/>
      <c r="W63" s="437"/>
      <c r="X63" s="437"/>
    </row>
    <row r="64" spans="1:26" s="226" customFormat="1" x14ac:dyDescent="0.2">
      <c r="P64" s="1223"/>
      <c r="Q64" s="1223"/>
    </row>
    <row r="65" spans="1:24" s="226" customFormat="1" x14ac:dyDescent="0.2">
      <c r="P65" s="1223"/>
      <c r="Q65" s="1223"/>
    </row>
    <row r="66" spans="1:24" s="226" customFormat="1" x14ac:dyDescent="0.2">
      <c r="A66" s="440" t="s">
        <v>356</v>
      </c>
      <c r="B66" s="440"/>
      <c r="C66" s="440"/>
      <c r="D66" s="440"/>
      <c r="E66" s="440"/>
      <c r="F66" s="440"/>
      <c r="G66" s="440"/>
      <c r="P66" s="1223"/>
      <c r="Q66" s="1223"/>
    </row>
    <row r="67" spans="1:24" s="226" customFormat="1" x14ac:dyDescent="0.2">
      <c r="A67" s="415" t="s">
        <v>0</v>
      </c>
      <c r="B67" s="416" t="s">
        <v>333</v>
      </c>
      <c r="C67" s="416" t="s">
        <v>131</v>
      </c>
      <c r="D67" s="416" t="s">
        <v>333</v>
      </c>
      <c r="E67" s="417" t="s">
        <v>335</v>
      </c>
      <c r="F67" s="416" t="s">
        <v>335</v>
      </c>
      <c r="G67" s="416" t="s">
        <v>336</v>
      </c>
      <c r="H67" s="420"/>
      <c r="I67" s="420"/>
      <c r="J67" s="420"/>
      <c r="K67" s="420"/>
      <c r="L67" s="420"/>
      <c r="M67" s="420"/>
      <c r="N67" s="420"/>
      <c r="O67" s="420"/>
      <c r="P67" s="1227"/>
      <c r="Q67" s="1227"/>
      <c r="R67" s="420"/>
      <c r="S67" s="420"/>
      <c r="T67" s="420"/>
      <c r="U67" s="420"/>
      <c r="V67" s="420"/>
      <c r="W67" s="420"/>
      <c r="X67" s="420"/>
    </row>
    <row r="68" spans="1:24" s="226" customFormat="1" x14ac:dyDescent="0.2">
      <c r="B68" s="418" t="s">
        <v>337</v>
      </c>
      <c r="C68" s="418" t="s">
        <v>338</v>
      </c>
      <c r="D68" s="418" t="s">
        <v>339</v>
      </c>
      <c r="E68" s="420" t="s">
        <v>340</v>
      </c>
      <c r="F68" s="418" t="s">
        <v>339</v>
      </c>
      <c r="G68" s="418" t="s">
        <v>341</v>
      </c>
      <c r="H68" s="418"/>
      <c r="I68" s="418"/>
      <c r="J68" s="418"/>
      <c r="L68" s="418"/>
      <c r="M68" s="418"/>
      <c r="O68" s="418"/>
      <c r="P68" s="1224"/>
      <c r="Q68" s="1223"/>
      <c r="R68" s="419"/>
      <c r="T68" s="418"/>
      <c r="V68" s="418"/>
      <c r="W68" s="418"/>
      <c r="X68" s="418"/>
    </row>
    <row r="69" spans="1:24" s="226" customFormat="1" x14ac:dyDescent="0.2">
      <c r="B69" s="418" t="s">
        <v>342</v>
      </c>
      <c r="D69" s="418" t="s">
        <v>343</v>
      </c>
      <c r="E69" s="420" t="s">
        <v>344</v>
      </c>
      <c r="F69" s="418" t="s">
        <v>345</v>
      </c>
      <c r="H69" s="418"/>
      <c r="I69" s="418"/>
      <c r="J69" s="418"/>
      <c r="L69" s="418"/>
      <c r="M69" s="418"/>
      <c r="O69" s="418"/>
      <c r="P69" s="1224"/>
      <c r="Q69" s="1223"/>
      <c r="R69" s="420"/>
      <c r="T69" s="418"/>
      <c r="V69" s="418"/>
      <c r="W69" s="418"/>
      <c r="X69" s="418"/>
    </row>
    <row r="70" spans="1:24" s="226" customFormat="1" ht="51" x14ac:dyDescent="0.2">
      <c r="A70" s="421"/>
      <c r="B70" s="422" t="s">
        <v>346</v>
      </c>
      <c r="C70" s="421"/>
      <c r="D70" s="422" t="s">
        <v>346</v>
      </c>
      <c r="E70" s="423" t="s">
        <v>346</v>
      </c>
      <c r="F70" s="422" t="s">
        <v>346</v>
      </c>
      <c r="G70" s="421"/>
      <c r="H70" s="418"/>
      <c r="I70" s="424" t="s">
        <v>11</v>
      </c>
      <c r="J70" s="424" t="s">
        <v>13</v>
      </c>
      <c r="K70" s="424" t="s">
        <v>5</v>
      </c>
      <c r="L70" s="424" t="s">
        <v>6</v>
      </c>
      <c r="M70" s="424" t="s">
        <v>7</v>
      </c>
      <c r="N70" s="424" t="s">
        <v>347</v>
      </c>
      <c r="O70" s="418"/>
      <c r="P70" s="1224"/>
      <c r="Q70" s="1223"/>
      <c r="R70" s="420"/>
      <c r="T70" s="418"/>
    </row>
    <row r="71" spans="1:24" s="226" customFormat="1" x14ac:dyDescent="0.2">
      <c r="A71" s="425" t="s">
        <v>348</v>
      </c>
      <c r="B71" s="426">
        <v>8.1539999999999999</v>
      </c>
      <c r="C71" s="427">
        <v>2</v>
      </c>
      <c r="D71" s="426">
        <v>0.1</v>
      </c>
      <c r="E71" s="428">
        <v>8.1199999999999992</v>
      </c>
      <c r="F71" s="428">
        <v>0.08</v>
      </c>
      <c r="G71" s="429">
        <v>4.0000000000000001E-3</v>
      </c>
      <c r="H71" s="418"/>
      <c r="I71" s="431">
        <f>E71/1000</f>
        <v>8.1199999999999987E-3</v>
      </c>
      <c r="J71" s="431">
        <f>F71/2000</f>
        <v>4.0000000000000003E-5</v>
      </c>
      <c r="K71" s="432">
        <f>B71/1000</f>
        <v>8.1539999999999998E-3</v>
      </c>
      <c r="L71" s="431">
        <f>D71/2000</f>
        <v>5.0000000000000002E-5</v>
      </c>
      <c r="M71" s="431">
        <f>K71-I71</f>
        <v>3.4000000000001043E-5</v>
      </c>
      <c r="N71" s="432">
        <f>SQRT(SUMSQ(J71,L71))*2</f>
        <v>1.2806248474865698E-4</v>
      </c>
      <c r="O71" s="418"/>
      <c r="P71" s="1224"/>
      <c r="Q71" s="1223"/>
      <c r="R71" s="419"/>
      <c r="T71" s="418"/>
    </row>
    <row r="72" spans="1:24" s="226" customFormat="1" x14ac:dyDescent="0.2">
      <c r="A72" s="420" t="s">
        <v>349</v>
      </c>
      <c r="B72" s="435">
        <v>7.9</v>
      </c>
      <c r="C72" s="436">
        <v>2</v>
      </c>
      <c r="D72" s="435">
        <v>0.25</v>
      </c>
      <c r="E72" s="435">
        <v>8.1199999999999992</v>
      </c>
      <c r="F72" s="435">
        <v>0.08</v>
      </c>
      <c r="G72" s="437">
        <v>-2.8000000000000001E-2</v>
      </c>
      <c r="H72" s="430"/>
      <c r="I72" s="438">
        <f t="shared" ref="I72:I78" si="59">E72/1000</f>
        <v>8.1199999999999987E-3</v>
      </c>
      <c r="J72" s="438">
        <f t="shared" ref="J72:J78" si="60">F72/2000</f>
        <v>4.0000000000000003E-5</v>
      </c>
      <c r="K72" s="226">
        <f t="shared" ref="K72:K78" si="61">B72/1000</f>
        <v>7.9000000000000008E-3</v>
      </c>
      <c r="L72" s="438">
        <f t="shared" ref="L72:L78" si="62">D72/2000</f>
        <v>1.25E-4</v>
      </c>
      <c r="M72" s="438">
        <f t="shared" ref="M72:M78" si="63">K72-I72</f>
        <v>-2.1999999999999797E-4</v>
      </c>
      <c r="N72" s="226">
        <f t="shared" ref="N72:N78" si="64">SQRT(SUMSQ(J72,L72))*2</f>
        <v>2.6248809496813374E-4</v>
      </c>
      <c r="O72" s="430"/>
      <c r="P72" s="1225"/>
      <c r="Q72" s="1223"/>
      <c r="R72" s="433"/>
      <c r="T72" s="433"/>
      <c r="V72" s="434"/>
      <c r="W72" s="434"/>
      <c r="X72" s="434"/>
    </row>
    <row r="73" spans="1:24" s="226" customFormat="1" x14ac:dyDescent="0.2">
      <c r="A73" s="420" t="s">
        <v>350</v>
      </c>
      <c r="B73" s="439">
        <v>7.3479999999999999</v>
      </c>
      <c r="C73" s="436">
        <v>2</v>
      </c>
      <c r="D73" s="439">
        <v>0.64200000000000002</v>
      </c>
      <c r="E73" s="435">
        <v>7.25</v>
      </c>
      <c r="F73" s="435">
        <v>7.0000000000000007E-2</v>
      </c>
      <c r="G73" s="437">
        <v>1.2999999999999999E-2</v>
      </c>
      <c r="H73" s="435"/>
      <c r="I73" s="438">
        <f t="shared" si="59"/>
        <v>7.2500000000000004E-3</v>
      </c>
      <c r="J73" s="438">
        <f t="shared" si="60"/>
        <v>3.5000000000000004E-5</v>
      </c>
      <c r="K73" s="226">
        <f t="shared" si="61"/>
        <v>7.3479999999999995E-3</v>
      </c>
      <c r="L73" s="438">
        <f t="shared" si="62"/>
        <v>3.21E-4</v>
      </c>
      <c r="M73" s="438">
        <f t="shared" si="63"/>
        <v>9.7999999999999129E-5</v>
      </c>
      <c r="N73" s="226">
        <f t="shared" si="64"/>
        <v>6.4580492410634346E-4</v>
      </c>
      <c r="O73" s="435"/>
      <c r="P73" s="1226"/>
      <c r="Q73" s="1223"/>
      <c r="R73" s="435"/>
      <c r="T73" s="435"/>
      <c r="V73" s="437"/>
      <c r="W73" s="437"/>
      <c r="X73" s="437"/>
    </row>
    <row r="74" spans="1:24" s="226" customFormat="1" x14ac:dyDescent="0.2">
      <c r="A74" s="420" t="s">
        <v>351</v>
      </c>
      <c r="B74" s="435">
        <v>7.17</v>
      </c>
      <c r="C74" s="436">
        <v>2</v>
      </c>
      <c r="D74" s="435">
        <v>0.38</v>
      </c>
      <c r="E74" s="435">
        <v>7.25</v>
      </c>
      <c r="F74" s="435">
        <v>7.0000000000000007E-2</v>
      </c>
      <c r="G74" s="437">
        <v>-1.0999999999999999E-2</v>
      </c>
      <c r="H74" s="439"/>
      <c r="I74" s="438">
        <f t="shared" si="59"/>
        <v>7.2500000000000004E-3</v>
      </c>
      <c r="J74" s="438">
        <f t="shared" si="60"/>
        <v>3.5000000000000004E-5</v>
      </c>
      <c r="K74" s="226">
        <f t="shared" si="61"/>
        <v>7.1700000000000002E-3</v>
      </c>
      <c r="L74" s="438">
        <f t="shared" si="62"/>
        <v>1.9000000000000001E-4</v>
      </c>
      <c r="M74" s="438">
        <f t="shared" si="63"/>
        <v>-8.000000000000021E-5</v>
      </c>
      <c r="N74" s="226">
        <f t="shared" si="64"/>
        <v>3.8639358172723318E-4</v>
      </c>
      <c r="O74" s="439"/>
      <c r="P74" s="1226"/>
      <c r="Q74" s="1223"/>
      <c r="R74" s="435"/>
      <c r="T74" s="435"/>
      <c r="V74" s="437"/>
      <c r="W74" s="437"/>
      <c r="X74" s="437"/>
    </row>
    <row r="75" spans="1:24" s="226" customFormat="1" x14ac:dyDescent="0.2">
      <c r="A75" s="420" t="s">
        <v>352</v>
      </c>
      <c r="B75" s="435">
        <v>8.2200000000000006</v>
      </c>
      <c r="C75" s="436">
        <v>2</v>
      </c>
      <c r="D75" s="435">
        <v>0.48</v>
      </c>
      <c r="E75" s="435">
        <v>8.1199999999999992</v>
      </c>
      <c r="F75" s="435">
        <v>0.08</v>
      </c>
      <c r="G75" s="437">
        <v>1.2E-2</v>
      </c>
      <c r="H75" s="435"/>
      <c r="I75" s="438">
        <f t="shared" si="59"/>
        <v>8.1199999999999987E-3</v>
      </c>
      <c r="J75" s="438">
        <f t="shared" si="60"/>
        <v>4.0000000000000003E-5</v>
      </c>
      <c r="K75" s="226">
        <f t="shared" si="61"/>
        <v>8.2199999999999999E-3</v>
      </c>
      <c r="L75" s="438">
        <f t="shared" si="62"/>
        <v>2.3999999999999998E-4</v>
      </c>
      <c r="M75" s="438">
        <f t="shared" si="63"/>
        <v>1.0000000000000113E-4</v>
      </c>
      <c r="N75" s="226">
        <f t="shared" si="64"/>
        <v>4.8662100242385757E-4</v>
      </c>
      <c r="O75" s="435"/>
      <c r="P75" s="1226"/>
      <c r="Q75" s="1223"/>
      <c r="R75" s="435"/>
      <c r="T75" s="435"/>
      <c r="V75" s="437"/>
      <c r="W75" s="437"/>
      <c r="X75" s="437"/>
    </row>
    <row r="76" spans="1:24" s="226" customFormat="1" x14ac:dyDescent="0.2">
      <c r="A76" s="420" t="s">
        <v>353</v>
      </c>
      <c r="B76" s="435">
        <v>7.56</v>
      </c>
      <c r="C76" s="436">
        <v>2</v>
      </c>
      <c r="D76" s="435">
        <v>0.23</v>
      </c>
      <c r="E76" s="435">
        <v>7.25</v>
      </c>
      <c r="F76" s="435">
        <v>7.0000000000000007E-2</v>
      </c>
      <c r="G76" s="437">
        <v>4.2999999999999997E-2</v>
      </c>
      <c r="H76" s="435"/>
      <c r="I76" s="438">
        <f t="shared" si="59"/>
        <v>7.2500000000000004E-3</v>
      </c>
      <c r="J76" s="438">
        <f t="shared" si="60"/>
        <v>3.5000000000000004E-5</v>
      </c>
      <c r="K76" s="226">
        <f t="shared" si="61"/>
        <v>7.5599999999999999E-3</v>
      </c>
      <c r="L76" s="438">
        <f t="shared" si="62"/>
        <v>1.15E-4</v>
      </c>
      <c r="M76" s="438">
        <f t="shared" si="63"/>
        <v>3.0999999999999951E-4</v>
      </c>
      <c r="N76" s="226">
        <f t="shared" si="64"/>
        <v>2.4041630560342616E-4</v>
      </c>
      <c r="O76" s="435"/>
      <c r="P76" s="1226"/>
      <c r="Q76" s="1223"/>
      <c r="R76" s="435"/>
      <c r="T76" s="435"/>
      <c r="V76" s="437"/>
      <c r="W76" s="437"/>
      <c r="X76" s="437"/>
    </row>
    <row r="77" spans="1:24" s="226" customFormat="1" x14ac:dyDescent="0.2">
      <c r="A77" s="420" t="s">
        <v>354</v>
      </c>
      <c r="B77" s="435">
        <v>7.99</v>
      </c>
      <c r="C77" s="436">
        <v>2</v>
      </c>
      <c r="D77" s="435">
        <v>0.1</v>
      </c>
      <c r="E77" s="435">
        <v>8.1199999999999992</v>
      </c>
      <c r="F77" s="435">
        <v>0.08</v>
      </c>
      <c r="G77" s="437">
        <v>-1.7000000000000001E-2</v>
      </c>
      <c r="H77" s="435"/>
      <c r="I77" s="438">
        <f t="shared" si="59"/>
        <v>8.1199999999999987E-3</v>
      </c>
      <c r="J77" s="438">
        <f t="shared" si="60"/>
        <v>4.0000000000000003E-5</v>
      </c>
      <c r="K77" s="226">
        <f t="shared" si="61"/>
        <v>7.9900000000000006E-3</v>
      </c>
      <c r="L77" s="438">
        <f t="shared" si="62"/>
        <v>5.0000000000000002E-5</v>
      </c>
      <c r="M77" s="438">
        <f t="shared" si="63"/>
        <v>-1.2999999999999817E-4</v>
      </c>
      <c r="N77" s="226">
        <f t="shared" si="64"/>
        <v>1.2806248474865698E-4</v>
      </c>
      <c r="O77" s="435"/>
      <c r="P77" s="1226"/>
      <c r="Q77" s="1223"/>
      <c r="R77" s="435"/>
      <c r="T77" s="435"/>
      <c r="V77" s="437"/>
      <c r="W77" s="437"/>
      <c r="X77" s="437"/>
    </row>
    <row r="78" spans="1:24" s="226" customFormat="1" x14ac:dyDescent="0.2">
      <c r="A78" s="440" t="s">
        <v>355</v>
      </c>
      <c r="B78" s="441">
        <v>8.08</v>
      </c>
      <c r="C78" s="442">
        <v>2</v>
      </c>
      <c r="D78" s="441">
        <v>0.05</v>
      </c>
      <c r="E78" s="441">
        <v>8.1199999999999992</v>
      </c>
      <c r="F78" s="441">
        <v>0.08</v>
      </c>
      <c r="G78" s="443">
        <v>-5.0000000000000001E-3</v>
      </c>
      <c r="H78" s="435"/>
      <c r="I78" s="444">
        <f t="shared" si="59"/>
        <v>8.1199999999999987E-3</v>
      </c>
      <c r="J78" s="444">
        <f t="shared" si="60"/>
        <v>4.0000000000000003E-5</v>
      </c>
      <c r="K78" s="421">
        <f t="shared" si="61"/>
        <v>8.0800000000000004E-3</v>
      </c>
      <c r="L78" s="444">
        <f t="shared" si="62"/>
        <v>2.5000000000000001E-5</v>
      </c>
      <c r="M78" s="444">
        <f t="shared" si="63"/>
        <v>-3.999999999999837E-5</v>
      </c>
      <c r="N78" s="421">
        <f t="shared" si="64"/>
        <v>9.4339811320566034E-5</v>
      </c>
      <c r="O78" s="435"/>
      <c r="P78" s="1226"/>
      <c r="Q78" s="1223"/>
      <c r="R78" s="435"/>
      <c r="T78" s="435"/>
      <c r="V78" s="437"/>
      <c r="W78" s="437"/>
      <c r="X78" s="437"/>
    </row>
    <row r="79" spans="1:24" s="226" customFormat="1" x14ac:dyDescent="0.2">
      <c r="H79" s="435"/>
      <c r="I79" s="435"/>
      <c r="J79" s="435"/>
      <c r="L79" s="436"/>
      <c r="M79" s="436"/>
      <c r="O79" s="435"/>
      <c r="P79" s="1226"/>
      <c r="Q79" s="1223"/>
      <c r="R79" s="435"/>
      <c r="T79" s="435"/>
      <c r="V79" s="437"/>
      <c r="W79" s="437"/>
      <c r="X79" s="437"/>
    </row>
    <row r="80" spans="1:24" s="226" customFormat="1" x14ac:dyDescent="0.2">
      <c r="P80" s="1223"/>
      <c r="Q80" s="1223"/>
    </row>
    <row r="81" spans="1:26" s="226" customFormat="1" x14ac:dyDescent="0.2">
      <c r="A81" s="440" t="s">
        <v>357</v>
      </c>
      <c r="B81" s="440"/>
      <c r="C81" s="440"/>
      <c r="D81" s="440"/>
      <c r="E81" s="440"/>
      <c r="F81" s="440"/>
      <c r="G81" s="440"/>
      <c r="H81" s="420"/>
      <c r="I81" s="420"/>
      <c r="J81" s="420"/>
      <c r="K81" s="420"/>
      <c r="L81" s="420"/>
      <c r="M81" s="420"/>
      <c r="N81" s="420"/>
      <c r="O81" s="420"/>
      <c r="P81" s="1227"/>
      <c r="Q81" s="1227"/>
      <c r="R81" s="420"/>
      <c r="S81" s="420"/>
      <c r="T81" s="420"/>
      <c r="U81" s="420"/>
      <c r="V81" s="420"/>
      <c r="W81" s="420"/>
      <c r="X81" s="420"/>
    </row>
    <row r="82" spans="1:26" s="226" customFormat="1" x14ac:dyDescent="0.2">
      <c r="A82" s="415" t="s">
        <v>0</v>
      </c>
      <c r="B82" s="416" t="s">
        <v>333</v>
      </c>
      <c r="C82" s="416" t="s">
        <v>131</v>
      </c>
      <c r="D82" s="416" t="s">
        <v>333</v>
      </c>
      <c r="E82" s="417" t="s">
        <v>335</v>
      </c>
      <c r="F82" s="416" t="s">
        <v>335</v>
      </c>
      <c r="G82" s="416" t="s">
        <v>336</v>
      </c>
      <c r="H82" s="418"/>
      <c r="I82" s="418"/>
      <c r="J82" s="418"/>
      <c r="L82" s="418"/>
      <c r="M82" s="418"/>
      <c r="O82" s="418"/>
      <c r="P82" s="1224"/>
      <c r="Q82" s="1223"/>
      <c r="T82" s="418"/>
      <c r="V82" s="418"/>
      <c r="W82" s="418"/>
      <c r="X82" s="418"/>
    </row>
    <row r="83" spans="1:26" s="226" customFormat="1" x14ac:dyDescent="0.2">
      <c r="B83" s="418" t="s">
        <v>337</v>
      </c>
      <c r="C83" s="418" t="s">
        <v>338</v>
      </c>
      <c r="D83" s="418" t="s">
        <v>339</v>
      </c>
      <c r="E83" s="420" t="s">
        <v>340</v>
      </c>
      <c r="F83" s="418" t="s">
        <v>339</v>
      </c>
      <c r="G83" s="418" t="s">
        <v>341</v>
      </c>
      <c r="H83" s="418"/>
      <c r="I83" s="418"/>
      <c r="J83" s="418"/>
      <c r="L83" s="418"/>
      <c r="M83" s="418"/>
      <c r="O83" s="418"/>
      <c r="P83" s="1224"/>
      <c r="Q83" s="1223"/>
      <c r="T83" s="418"/>
      <c r="V83" s="418"/>
      <c r="W83" s="418"/>
      <c r="X83" s="418"/>
    </row>
    <row r="84" spans="1:26" s="226" customFormat="1" x14ac:dyDescent="0.2">
      <c r="B84" s="418" t="s">
        <v>342</v>
      </c>
      <c r="D84" s="418" t="s">
        <v>343</v>
      </c>
      <c r="E84" s="420" t="s">
        <v>344</v>
      </c>
      <c r="F84" s="418" t="s">
        <v>345</v>
      </c>
      <c r="H84" s="418"/>
      <c r="I84" s="418"/>
      <c r="J84" s="418"/>
      <c r="O84" s="418"/>
      <c r="P84" s="1224"/>
      <c r="Q84" s="1223"/>
      <c r="T84" s="418"/>
    </row>
    <row r="85" spans="1:26" s="226" customFormat="1" ht="51" x14ac:dyDescent="0.2">
      <c r="A85" s="421"/>
      <c r="B85" s="422" t="s">
        <v>346</v>
      </c>
      <c r="C85" s="421"/>
      <c r="D85" s="422" t="s">
        <v>346</v>
      </c>
      <c r="E85" s="423" t="s">
        <v>346</v>
      </c>
      <c r="F85" s="422" t="s">
        <v>346</v>
      </c>
      <c r="G85" s="421"/>
      <c r="H85" s="418"/>
      <c r="I85" s="424" t="s">
        <v>11</v>
      </c>
      <c r="J85" s="424" t="s">
        <v>13</v>
      </c>
      <c r="K85" s="424" t="s">
        <v>5</v>
      </c>
      <c r="L85" s="424" t="s">
        <v>6</v>
      </c>
      <c r="M85" s="424" t="s">
        <v>7</v>
      </c>
      <c r="N85" s="424" t="s">
        <v>347</v>
      </c>
      <c r="O85" s="418"/>
      <c r="P85" s="1224"/>
      <c r="Q85" s="1223"/>
      <c r="T85" s="418"/>
    </row>
    <row r="86" spans="1:26" s="226" customFormat="1" x14ac:dyDescent="0.2">
      <c r="A86" s="425" t="s">
        <v>348</v>
      </c>
      <c r="B86" s="426">
        <v>6.1980000000000004</v>
      </c>
      <c r="C86" s="427">
        <v>2</v>
      </c>
      <c r="D86" s="426">
        <v>7.5999999999999998E-2</v>
      </c>
      <c r="E86" s="428">
        <v>6.27</v>
      </c>
      <c r="F86" s="428">
        <v>0.06</v>
      </c>
      <c r="G86" s="429">
        <v>-1.2E-2</v>
      </c>
      <c r="H86" s="430"/>
      <c r="I86" s="431">
        <f>E86/1000</f>
        <v>6.2699999999999995E-3</v>
      </c>
      <c r="J86" s="431">
        <f>F86/2000</f>
        <v>2.9999999999999997E-5</v>
      </c>
      <c r="K86" s="432">
        <f>B86/1000</f>
        <v>6.1980000000000004E-3</v>
      </c>
      <c r="L86" s="431">
        <f>D86/2000</f>
        <v>3.8000000000000002E-5</v>
      </c>
      <c r="M86" s="431">
        <f>K86-I86</f>
        <v>-7.1999999999999148E-5</v>
      </c>
      <c r="N86" s="432">
        <f>SQRT(SUMSQ(J86,L86))*2</f>
        <v>9.6829747495281632E-5</v>
      </c>
      <c r="O86" s="430"/>
      <c r="P86" s="1225"/>
      <c r="Q86" s="1223"/>
      <c r="T86" s="433"/>
      <c r="V86" s="434"/>
      <c r="W86" s="434"/>
      <c r="X86" s="434"/>
    </row>
    <row r="87" spans="1:26" s="226" customFormat="1" x14ac:dyDescent="0.2">
      <c r="A87" s="420" t="s">
        <v>349</v>
      </c>
      <c r="B87" s="435">
        <v>6.3</v>
      </c>
      <c r="C87" s="436">
        <v>2</v>
      </c>
      <c r="D87" s="435">
        <v>0.27</v>
      </c>
      <c r="E87" s="435">
        <v>6.27</v>
      </c>
      <c r="F87" s="435">
        <v>0.06</v>
      </c>
      <c r="G87" s="437">
        <v>4.0000000000000001E-3</v>
      </c>
      <c r="H87" s="435"/>
      <c r="I87" s="438">
        <f t="shared" ref="I87:I93" si="65">E87/1000</f>
        <v>6.2699999999999995E-3</v>
      </c>
      <c r="J87" s="438">
        <f t="shared" ref="J87:J93" si="66">F87/2000</f>
        <v>2.9999999999999997E-5</v>
      </c>
      <c r="K87" s="226">
        <f t="shared" ref="K87:K93" si="67">B87/1000</f>
        <v>6.3E-3</v>
      </c>
      <c r="L87" s="438">
        <f t="shared" ref="L87:L93" si="68">D87/2000</f>
        <v>1.35E-4</v>
      </c>
      <c r="M87" s="438">
        <f t="shared" ref="M87:M93" si="69">K87-I87</f>
        <v>3.0000000000000512E-5</v>
      </c>
      <c r="N87" s="226">
        <f t="shared" ref="N87:N93" si="70">SQRT(SUMSQ(J87,L87))*2</f>
        <v>2.7658633371878665E-4</v>
      </c>
      <c r="O87" s="435"/>
      <c r="P87" s="1226"/>
      <c r="Q87" s="1223"/>
      <c r="T87" s="435"/>
      <c r="V87" s="437"/>
      <c r="W87" s="437"/>
      <c r="X87" s="437"/>
    </row>
    <row r="88" spans="1:26" s="226" customFormat="1" x14ac:dyDescent="0.2">
      <c r="A88" s="420" t="s">
        <v>350</v>
      </c>
      <c r="B88" s="439">
        <v>6.9939999999999998</v>
      </c>
      <c r="C88" s="436">
        <v>2</v>
      </c>
      <c r="D88" s="439">
        <v>0.64700000000000002</v>
      </c>
      <c r="E88" s="435">
        <v>6.81</v>
      </c>
      <c r="F88" s="435">
        <v>7.0000000000000007E-2</v>
      </c>
      <c r="G88" s="437">
        <v>2.5999999999999999E-2</v>
      </c>
      <c r="H88" s="439"/>
      <c r="I88" s="438">
        <f t="shared" si="65"/>
        <v>6.8099999999999992E-3</v>
      </c>
      <c r="J88" s="438">
        <f t="shared" si="66"/>
        <v>3.5000000000000004E-5</v>
      </c>
      <c r="K88" s="226">
        <f t="shared" si="67"/>
        <v>6.9939999999999993E-3</v>
      </c>
      <c r="L88" s="438">
        <f t="shared" si="68"/>
        <v>3.235E-4</v>
      </c>
      <c r="M88" s="438">
        <f t="shared" si="69"/>
        <v>1.8400000000000014E-4</v>
      </c>
      <c r="N88" s="226">
        <f t="shared" si="70"/>
        <v>6.5077569100266798E-4</v>
      </c>
      <c r="O88" s="439"/>
      <c r="P88" s="1226"/>
      <c r="Q88" s="1223"/>
      <c r="T88" s="435"/>
      <c r="V88" s="437"/>
      <c r="W88" s="437"/>
      <c r="X88" s="437"/>
    </row>
    <row r="89" spans="1:26" s="226" customFormat="1" x14ac:dyDescent="0.2">
      <c r="A89" s="420" t="s">
        <v>351</v>
      </c>
      <c r="B89" s="435">
        <v>6.81</v>
      </c>
      <c r="C89" s="436">
        <v>2</v>
      </c>
      <c r="D89" s="435">
        <v>0.35</v>
      </c>
      <c r="E89" s="435">
        <v>6.81</v>
      </c>
      <c r="F89" s="435">
        <v>7.0000000000000007E-2</v>
      </c>
      <c r="G89" s="437">
        <v>-1E-3</v>
      </c>
      <c r="H89" s="435"/>
      <c r="I89" s="438">
        <f t="shared" si="65"/>
        <v>6.8099999999999992E-3</v>
      </c>
      <c r="J89" s="438">
        <f t="shared" si="66"/>
        <v>3.5000000000000004E-5</v>
      </c>
      <c r="K89" s="226">
        <f t="shared" si="67"/>
        <v>6.8099999999999992E-3</v>
      </c>
      <c r="L89" s="438">
        <f t="shared" si="68"/>
        <v>1.75E-4</v>
      </c>
      <c r="M89" s="438">
        <f t="shared" si="69"/>
        <v>0</v>
      </c>
      <c r="N89" s="226">
        <f t="shared" si="70"/>
        <v>3.5693136595149491E-4</v>
      </c>
      <c r="O89" s="435"/>
      <c r="P89" s="1226"/>
      <c r="Q89" s="1223"/>
      <c r="T89" s="435"/>
      <c r="V89" s="437"/>
      <c r="W89" s="437"/>
      <c r="X89" s="437"/>
    </row>
    <row r="90" spans="1:26" s="226" customFormat="1" x14ac:dyDescent="0.2">
      <c r="A90" s="420" t="s">
        <v>352</v>
      </c>
      <c r="B90" s="435">
        <v>6.57</v>
      </c>
      <c r="C90" s="436">
        <v>2</v>
      </c>
      <c r="D90" s="435">
        <v>0.52</v>
      </c>
      <c r="E90" s="435">
        <v>6.27</v>
      </c>
      <c r="F90" s="435">
        <v>0.06</v>
      </c>
      <c r="G90" s="437">
        <v>4.7E-2</v>
      </c>
      <c r="H90" s="435"/>
      <c r="I90" s="438">
        <f t="shared" si="65"/>
        <v>6.2699999999999995E-3</v>
      </c>
      <c r="J90" s="438">
        <f t="shared" si="66"/>
        <v>2.9999999999999997E-5</v>
      </c>
      <c r="K90" s="226">
        <f t="shared" si="67"/>
        <v>6.5700000000000003E-3</v>
      </c>
      <c r="L90" s="438">
        <f t="shared" si="68"/>
        <v>2.6000000000000003E-4</v>
      </c>
      <c r="M90" s="438">
        <f t="shared" si="69"/>
        <v>3.0000000000000079E-4</v>
      </c>
      <c r="N90" s="226">
        <f t="shared" si="70"/>
        <v>5.2345009313209607E-4</v>
      </c>
      <c r="O90" s="435"/>
      <c r="P90" s="1226"/>
      <c r="Q90" s="1223"/>
      <c r="T90" s="435"/>
      <c r="V90" s="437"/>
      <c r="W90" s="437"/>
      <c r="X90" s="437"/>
    </row>
    <row r="91" spans="1:26" s="226" customFormat="1" x14ac:dyDescent="0.2">
      <c r="A91" s="420" t="s">
        <v>353</v>
      </c>
      <c r="B91" s="435">
        <v>7.5</v>
      </c>
      <c r="C91" s="436">
        <v>2</v>
      </c>
      <c r="D91" s="435">
        <v>0.22</v>
      </c>
      <c r="E91" s="435">
        <v>6.81</v>
      </c>
      <c r="F91" s="435">
        <v>7.0000000000000007E-2</v>
      </c>
      <c r="G91" s="437">
        <v>0.10100000000000001</v>
      </c>
      <c r="H91" s="435"/>
      <c r="I91" s="438">
        <f t="shared" si="65"/>
        <v>6.8099999999999992E-3</v>
      </c>
      <c r="J91" s="438">
        <f t="shared" si="66"/>
        <v>3.5000000000000004E-5</v>
      </c>
      <c r="K91" s="226">
        <f t="shared" si="67"/>
        <v>7.4999999999999997E-3</v>
      </c>
      <c r="L91" s="438">
        <f t="shared" si="68"/>
        <v>1.1E-4</v>
      </c>
      <c r="M91" s="438">
        <f t="shared" si="69"/>
        <v>6.9000000000000051E-4</v>
      </c>
      <c r="N91" s="226">
        <f t="shared" si="70"/>
        <v>2.3086792761230394E-4</v>
      </c>
      <c r="O91" s="435"/>
      <c r="P91" s="1226"/>
      <c r="Q91" s="1223"/>
      <c r="T91" s="435"/>
      <c r="V91" s="437"/>
      <c r="W91" s="437"/>
      <c r="X91" s="437"/>
    </row>
    <row r="92" spans="1:26" s="226" customFormat="1" x14ac:dyDescent="0.2">
      <c r="A92" s="420" t="s">
        <v>354</v>
      </c>
      <c r="B92" s="435">
        <v>5.92</v>
      </c>
      <c r="C92" s="436">
        <v>2</v>
      </c>
      <c r="D92" s="435">
        <v>0.08</v>
      </c>
      <c r="E92" s="435">
        <v>6.27</v>
      </c>
      <c r="F92" s="435">
        <v>0.06</v>
      </c>
      <c r="G92" s="437">
        <v>-5.6000000000000001E-2</v>
      </c>
      <c r="H92" s="435"/>
      <c r="I92" s="438">
        <f t="shared" si="65"/>
        <v>6.2699999999999995E-3</v>
      </c>
      <c r="J92" s="438">
        <f t="shared" si="66"/>
        <v>2.9999999999999997E-5</v>
      </c>
      <c r="K92" s="226">
        <f t="shared" si="67"/>
        <v>5.9199999999999999E-3</v>
      </c>
      <c r="L92" s="438">
        <f t="shared" si="68"/>
        <v>4.0000000000000003E-5</v>
      </c>
      <c r="M92" s="438">
        <f t="shared" si="69"/>
        <v>-3.4999999999999962E-4</v>
      </c>
      <c r="N92" s="226">
        <f t="shared" si="70"/>
        <v>1E-4</v>
      </c>
      <c r="O92" s="435"/>
      <c r="P92" s="1226"/>
      <c r="Q92" s="1223"/>
      <c r="T92" s="435"/>
      <c r="V92" s="437"/>
      <c r="W92" s="437"/>
      <c r="X92" s="437"/>
    </row>
    <row r="93" spans="1:26" s="226" customFormat="1" x14ac:dyDescent="0.2">
      <c r="A93" s="440" t="s">
        <v>355</v>
      </c>
      <c r="B93" s="441">
        <v>6.27</v>
      </c>
      <c r="C93" s="442">
        <v>2</v>
      </c>
      <c r="D93" s="441">
        <v>0.11</v>
      </c>
      <c r="E93" s="441">
        <v>6.27</v>
      </c>
      <c r="F93" s="441">
        <v>0.06</v>
      </c>
      <c r="G93" s="443">
        <v>-1E-3</v>
      </c>
      <c r="H93" s="435"/>
      <c r="I93" s="444">
        <f t="shared" si="65"/>
        <v>6.2699999999999995E-3</v>
      </c>
      <c r="J93" s="444">
        <f t="shared" si="66"/>
        <v>2.9999999999999997E-5</v>
      </c>
      <c r="K93" s="421">
        <f t="shared" si="67"/>
        <v>6.2699999999999995E-3</v>
      </c>
      <c r="L93" s="444">
        <f t="shared" si="68"/>
        <v>5.5000000000000002E-5</v>
      </c>
      <c r="M93" s="444">
        <f t="shared" si="69"/>
        <v>0</v>
      </c>
      <c r="N93" s="421">
        <f t="shared" si="70"/>
        <v>1.2529964086141669E-4</v>
      </c>
      <c r="O93" s="435"/>
      <c r="P93" s="1226"/>
      <c r="Q93" s="1223"/>
      <c r="T93" s="435"/>
      <c r="V93" s="437"/>
      <c r="W93" s="437"/>
      <c r="X93" s="437"/>
    </row>
    <row r="94" spans="1:26" ht="14.25" x14ac:dyDescent="0.2">
      <c r="U94" s="152"/>
      <c r="V94" s="21"/>
      <c r="W94" s="21"/>
      <c r="X94" s="21"/>
      <c r="Y94" s="21"/>
      <c r="Z94" s="21"/>
    </row>
    <row r="95" spans="1:26" ht="14.25" x14ac:dyDescent="0.2">
      <c r="H95" s="9"/>
      <c r="U95" s="152"/>
      <c r="V95" s="21"/>
      <c r="W95" s="21"/>
      <c r="X95" s="21"/>
      <c r="Y95" s="21"/>
      <c r="Z95" s="21"/>
    </row>
    <row r="96" spans="1:26" ht="14.25" x14ac:dyDescent="0.2">
      <c r="H96" s="9"/>
      <c r="U96" s="152"/>
      <c r="V96" s="21"/>
      <c r="W96" s="21"/>
      <c r="X96" s="21"/>
      <c r="Y96" s="21"/>
      <c r="Z96" s="21"/>
    </row>
    <row r="97" spans="1:26" ht="14.25" x14ac:dyDescent="0.2">
      <c r="H97" s="9"/>
      <c r="U97" s="152"/>
      <c r="V97" s="21"/>
      <c r="W97" s="21"/>
      <c r="X97" s="21"/>
      <c r="Y97" s="21"/>
      <c r="Z97" s="21"/>
    </row>
    <row r="98" spans="1:26" ht="14.25" x14ac:dyDescent="0.2">
      <c r="H98" s="9"/>
      <c r="U98" s="152"/>
      <c r="V98" s="21"/>
      <c r="W98" s="21"/>
      <c r="X98" s="21"/>
      <c r="Y98" s="21"/>
      <c r="Z98" s="21"/>
    </row>
    <row r="99" spans="1:26" ht="14.25" x14ac:dyDescent="0.2">
      <c r="H99" s="9"/>
      <c r="U99" s="152"/>
      <c r="V99" s="21"/>
      <c r="W99" s="21"/>
      <c r="X99" s="21"/>
      <c r="Y99" s="21"/>
      <c r="Z99" s="21"/>
    </row>
    <row r="100" spans="1:26" ht="14.25" x14ac:dyDescent="0.2">
      <c r="H100" s="9"/>
      <c r="U100" s="152"/>
      <c r="V100" s="21"/>
      <c r="W100" s="21"/>
      <c r="X100" s="21"/>
      <c r="Y100" s="21"/>
      <c r="Z100" s="21"/>
    </row>
    <row r="101" spans="1:26" ht="14.25" x14ac:dyDescent="0.2">
      <c r="U101" s="152"/>
      <c r="V101" s="21"/>
      <c r="W101" s="21"/>
      <c r="X101" s="21"/>
      <c r="Y101" s="21"/>
      <c r="Z101" s="21"/>
    </row>
    <row r="102" spans="1:26" ht="14.25" x14ac:dyDescent="0.2">
      <c r="U102" s="152"/>
      <c r="V102" s="21"/>
      <c r="W102" s="21"/>
      <c r="X102" s="21"/>
      <c r="Y102" s="21"/>
      <c r="Z102" s="21"/>
    </row>
    <row r="103" spans="1:26" ht="14.25" x14ac:dyDescent="0.2">
      <c r="U103" s="152"/>
      <c r="V103" s="21"/>
      <c r="W103" s="21"/>
      <c r="X103" s="21"/>
      <c r="Y103" s="21"/>
      <c r="Z103" s="21"/>
    </row>
    <row r="104" spans="1:26" ht="14.25" x14ac:dyDescent="0.2">
      <c r="U104" s="152"/>
      <c r="V104" s="21"/>
      <c r="W104" s="21"/>
      <c r="X104" s="21"/>
      <c r="Y104" s="21"/>
      <c r="Z104" s="21"/>
    </row>
    <row r="105" spans="1:26" ht="14.25" x14ac:dyDescent="0.2">
      <c r="U105" s="152"/>
      <c r="V105" s="21"/>
      <c r="W105" s="21"/>
      <c r="X105" s="21"/>
      <c r="Y105" s="21"/>
      <c r="Z105" s="21"/>
    </row>
    <row r="106" spans="1:26" ht="14.25" x14ac:dyDescent="0.2">
      <c r="U106" s="152"/>
      <c r="V106" s="21"/>
      <c r="W106" s="21"/>
      <c r="X106" s="21"/>
      <c r="Y106" s="21"/>
      <c r="Z106" s="21"/>
    </row>
    <row r="107" spans="1:26" ht="14.25" x14ac:dyDescent="0.2">
      <c r="A107" s="23"/>
      <c r="B107" s="23"/>
      <c r="C107" s="23"/>
      <c r="D107" s="23"/>
      <c r="T107" s="151"/>
      <c r="U107" s="152"/>
      <c r="V107" s="21"/>
      <c r="W107" s="21"/>
      <c r="X107" s="21"/>
      <c r="Y107" s="21"/>
      <c r="Z107" s="21"/>
    </row>
    <row r="108" spans="1:26" ht="14.25" x14ac:dyDescent="0.2">
      <c r="T108" s="151"/>
      <c r="U108" s="152"/>
      <c r="V108" s="21"/>
      <c r="W108" s="21"/>
      <c r="X108" s="21"/>
      <c r="Y108" s="21"/>
      <c r="Z108" s="21"/>
    </row>
    <row r="109" spans="1:26" ht="14.25" x14ac:dyDescent="0.2">
      <c r="T109" s="151"/>
      <c r="U109" s="152"/>
      <c r="V109" s="21"/>
      <c r="W109" s="21"/>
      <c r="X109" s="21"/>
      <c r="Y109" s="21"/>
      <c r="Z109" s="21"/>
    </row>
    <row r="110" spans="1:26" ht="14.25" x14ac:dyDescent="0.2">
      <c r="T110" s="151"/>
      <c r="U110" s="152"/>
      <c r="V110" s="21"/>
      <c r="W110" s="21"/>
      <c r="X110" s="21"/>
      <c r="Y110" s="21"/>
      <c r="Z110" s="21"/>
    </row>
    <row r="111" spans="1:26" ht="14.25" x14ac:dyDescent="0.2">
      <c r="T111" s="151"/>
      <c r="U111" s="152"/>
      <c r="V111" s="21"/>
      <c r="W111" s="21"/>
      <c r="X111" s="21"/>
      <c r="Y111" s="21"/>
      <c r="Z111" s="21"/>
    </row>
    <row r="112" spans="1:26" ht="14.25" x14ac:dyDescent="0.2">
      <c r="T112" s="151"/>
      <c r="U112" s="152"/>
      <c r="V112" s="21"/>
      <c r="W112" s="21"/>
      <c r="X112" s="21"/>
      <c r="Y112" s="21"/>
      <c r="Z112" s="21"/>
    </row>
    <row r="113" spans="1:26" ht="14.25" x14ac:dyDescent="0.2">
      <c r="T113" s="151"/>
      <c r="U113" s="152"/>
      <c r="V113" s="21"/>
      <c r="W113" s="21"/>
      <c r="X113" s="21"/>
      <c r="Y113" s="21"/>
      <c r="Z113" s="21"/>
    </row>
    <row r="114" spans="1:26" ht="14.25" x14ac:dyDescent="0.2">
      <c r="T114" s="151"/>
      <c r="U114" s="152"/>
      <c r="V114" s="21"/>
      <c r="W114" s="21"/>
      <c r="X114" s="21"/>
      <c r="Y114" s="21"/>
      <c r="Z114" s="21"/>
    </row>
    <row r="115" spans="1:26" ht="14.25" x14ac:dyDescent="0.2">
      <c r="T115" s="151"/>
      <c r="U115" s="152"/>
      <c r="V115" s="21"/>
      <c r="W115" s="21"/>
      <c r="X115" s="21"/>
      <c r="Y115" s="21"/>
      <c r="Z115" s="21"/>
    </row>
    <row r="116" spans="1:26" ht="14.25" x14ac:dyDescent="0.2">
      <c r="T116" s="151"/>
      <c r="U116" s="152"/>
      <c r="V116" s="21"/>
      <c r="W116" s="21"/>
      <c r="X116" s="21"/>
      <c r="Y116" s="21"/>
      <c r="Z116" s="21"/>
    </row>
    <row r="117" spans="1:26" ht="14.25" x14ac:dyDescent="0.2">
      <c r="T117" s="151"/>
      <c r="U117" s="152"/>
      <c r="V117" s="21"/>
      <c r="W117" s="21"/>
      <c r="X117" s="21"/>
      <c r="Y117" s="21"/>
      <c r="Z117" s="21"/>
    </row>
    <row r="118" spans="1:26" ht="14.25" x14ac:dyDescent="0.2">
      <c r="T118" s="151"/>
      <c r="U118" s="152"/>
      <c r="V118" s="21"/>
      <c r="W118" s="21"/>
      <c r="X118" s="21"/>
      <c r="Y118" s="21"/>
      <c r="Z118" s="21"/>
    </row>
    <row r="119" spans="1:26" ht="14.25" x14ac:dyDescent="0.2">
      <c r="T119" s="151"/>
      <c r="U119" s="152"/>
      <c r="V119" s="21"/>
      <c r="W119" s="21"/>
      <c r="X119" s="21"/>
      <c r="Y119" s="21"/>
      <c r="Z119" s="21"/>
    </row>
    <row r="120" spans="1:26" ht="14.25" x14ac:dyDescent="0.2">
      <c r="A120" s="23"/>
      <c r="B120" s="23"/>
      <c r="C120" s="23"/>
      <c r="D120" s="23"/>
      <c r="T120" s="151"/>
      <c r="U120" s="152"/>
      <c r="V120" s="21"/>
      <c r="W120" s="21"/>
      <c r="X120" s="21"/>
      <c r="Y120" s="21"/>
      <c r="Z120" s="21"/>
    </row>
    <row r="121" spans="1:26" ht="14.25" x14ac:dyDescent="0.2">
      <c r="A121" s="23"/>
      <c r="B121" s="23"/>
      <c r="C121" s="23"/>
      <c r="D121" s="23"/>
      <c r="T121" s="151"/>
      <c r="U121" s="152"/>
      <c r="V121" s="21"/>
      <c r="W121" s="21"/>
      <c r="X121" s="21"/>
      <c r="Y121" s="21"/>
      <c r="Z121" s="21"/>
    </row>
    <row r="122" spans="1:26" ht="14.25" x14ac:dyDescent="0.2">
      <c r="A122" s="23"/>
      <c r="B122" s="23"/>
      <c r="C122" s="23"/>
      <c r="D122" s="23"/>
      <c r="T122" s="151"/>
      <c r="U122" s="152"/>
      <c r="V122" s="21"/>
      <c r="W122" s="21"/>
      <c r="X122" s="21"/>
      <c r="Y122" s="21"/>
      <c r="Z122" s="21"/>
    </row>
    <row r="123" spans="1:26" ht="14.25" x14ac:dyDescent="0.2">
      <c r="A123" s="23"/>
      <c r="B123" s="23"/>
      <c r="C123" s="23"/>
      <c r="D123" s="23"/>
      <c r="T123" s="151"/>
      <c r="U123" s="152"/>
      <c r="V123" s="21"/>
      <c r="W123" s="21"/>
      <c r="X123" s="21"/>
      <c r="Y123" s="21"/>
      <c r="Z123" s="21"/>
    </row>
    <row r="124" spans="1:26" ht="14.25" x14ac:dyDescent="0.2">
      <c r="A124" s="23"/>
      <c r="B124" s="23"/>
      <c r="C124" s="23"/>
      <c r="D124" s="23"/>
      <c r="T124" s="151"/>
      <c r="U124" s="152"/>
      <c r="V124" s="21"/>
      <c r="W124" s="21"/>
      <c r="X124" s="21"/>
      <c r="Y124" s="21"/>
      <c r="Z124" s="21"/>
    </row>
    <row r="125" spans="1:26" ht="14.25" x14ac:dyDescent="0.2">
      <c r="A125" s="23"/>
      <c r="B125" s="23"/>
      <c r="C125" s="23"/>
      <c r="D125" s="23"/>
      <c r="T125" s="151"/>
      <c r="U125" s="152"/>
      <c r="V125" s="21"/>
      <c r="W125" s="21"/>
      <c r="X125" s="21"/>
      <c r="Y125" s="21"/>
      <c r="Z125" s="21"/>
    </row>
    <row r="126" spans="1:26" ht="14.25" x14ac:dyDescent="0.2">
      <c r="A126" s="23"/>
      <c r="B126" s="23"/>
      <c r="C126" s="23"/>
      <c r="D126" s="23"/>
      <c r="T126" s="151"/>
      <c r="U126" s="152"/>
      <c r="V126" s="21"/>
      <c r="W126" s="21"/>
      <c r="X126" s="21"/>
      <c r="Y126" s="21"/>
      <c r="Z126" s="21"/>
    </row>
    <row r="127" spans="1:26" ht="14.25" x14ac:dyDescent="0.2">
      <c r="A127" s="23"/>
      <c r="B127" s="23"/>
      <c r="C127" s="23"/>
      <c r="D127" s="23"/>
      <c r="T127" s="151"/>
      <c r="U127" s="152"/>
      <c r="V127" s="21"/>
      <c r="W127" s="21"/>
      <c r="X127" s="21"/>
      <c r="Y127" s="21"/>
      <c r="Z127" s="21"/>
    </row>
    <row r="128" spans="1:26" ht="14.25" x14ac:dyDescent="0.2">
      <c r="A128" s="23"/>
      <c r="B128" s="23"/>
      <c r="C128" s="23"/>
      <c r="D128" s="23"/>
      <c r="T128" s="151"/>
      <c r="U128" s="152"/>
      <c r="V128" s="21"/>
      <c r="W128" s="21"/>
      <c r="X128" s="21"/>
      <c r="Y128" s="21"/>
      <c r="Z128" s="21"/>
    </row>
    <row r="129" spans="1:26" ht="14.25" x14ac:dyDescent="0.2">
      <c r="A129" s="23"/>
      <c r="B129" s="23"/>
      <c r="C129" s="23"/>
      <c r="D129" s="23"/>
      <c r="T129" s="151"/>
      <c r="U129" s="152"/>
      <c r="V129" s="21"/>
      <c r="W129" s="21"/>
      <c r="X129" s="21"/>
      <c r="Y129" s="21"/>
      <c r="Z129" s="21"/>
    </row>
    <row r="130" spans="1:26" ht="14.25" x14ac:dyDescent="0.2">
      <c r="A130" s="23"/>
      <c r="B130" s="23"/>
      <c r="C130" s="23"/>
      <c r="D130" s="23"/>
      <c r="T130" s="151"/>
      <c r="U130" s="152"/>
      <c r="V130" s="21"/>
      <c r="W130" s="21"/>
      <c r="X130" s="21"/>
      <c r="Y130" s="21"/>
      <c r="Z130" s="21"/>
    </row>
    <row r="131" spans="1:26" ht="14.25" x14ac:dyDescent="0.2">
      <c r="A131" s="23"/>
      <c r="B131" s="23"/>
      <c r="C131" s="23"/>
      <c r="D131" s="23"/>
      <c r="T131" s="151"/>
      <c r="U131" s="152"/>
      <c r="V131" s="21"/>
      <c r="W131" s="21"/>
      <c r="X131" s="21"/>
      <c r="Y131" s="21"/>
      <c r="Z131" s="21"/>
    </row>
    <row r="132" spans="1:26" ht="14.25" x14ac:dyDescent="0.2">
      <c r="A132" s="23"/>
      <c r="B132" s="23"/>
      <c r="C132" s="23"/>
      <c r="D132" s="23"/>
      <c r="T132" s="151"/>
      <c r="U132" s="152"/>
      <c r="V132" s="21"/>
      <c r="W132" s="21"/>
      <c r="X132" s="21"/>
      <c r="Y132" s="21"/>
      <c r="Z132" s="21"/>
    </row>
    <row r="133" spans="1:26" ht="14.25" x14ac:dyDescent="0.2">
      <c r="A133" s="23"/>
      <c r="B133" s="23"/>
      <c r="C133" s="23"/>
      <c r="D133" s="23"/>
      <c r="T133" s="151"/>
      <c r="U133" s="152"/>
      <c r="V133" s="21"/>
      <c r="W133" s="21"/>
      <c r="X133" s="21"/>
      <c r="Y133" s="21"/>
      <c r="Z133" s="21"/>
    </row>
    <row r="134" spans="1:26" ht="13.5" x14ac:dyDescent="0.2">
      <c r="A134" s="24"/>
      <c r="B134" s="24"/>
      <c r="T134" s="153"/>
      <c r="V134" s="21"/>
      <c r="W134" s="21"/>
      <c r="X134" s="21"/>
      <c r="Y134" s="21"/>
      <c r="Z134" s="21"/>
    </row>
    <row r="148" spans="1:26" ht="16.899999999999999" customHeight="1" x14ac:dyDescent="0.2">
      <c r="A148" s="25"/>
    </row>
    <row r="149" spans="1:26" ht="12" customHeight="1" x14ac:dyDescent="0.2">
      <c r="A149" s="4"/>
    </row>
    <row r="150" spans="1:26" ht="13.15" customHeight="1" x14ac:dyDescent="0.2"/>
    <row r="151" spans="1:26" ht="13.15" customHeight="1" x14ac:dyDescent="0.2"/>
    <row r="152" spans="1:26" ht="13.15" customHeight="1" x14ac:dyDescent="0.2"/>
    <row r="153" spans="1:26" s="149" customFormat="1" ht="13.15" customHeight="1" x14ac:dyDescent="0.2">
      <c r="A153" s="1"/>
      <c r="B153" s="1"/>
      <c r="C153" s="1"/>
      <c r="D153" s="1"/>
      <c r="E153" s="1"/>
      <c r="F153" s="1"/>
      <c r="G153" s="1"/>
      <c r="H153" s="1"/>
      <c r="P153" s="21"/>
      <c r="Q153" s="21"/>
      <c r="T153" s="150"/>
      <c r="U153" s="150"/>
      <c r="V153" s="1"/>
      <c r="W153" s="1"/>
      <c r="X153" s="1"/>
      <c r="Y153" s="1"/>
      <c r="Z153" s="1"/>
    </row>
    <row r="154" spans="1:26" s="149" customFormat="1" ht="13.15" customHeight="1" x14ac:dyDescent="0.2">
      <c r="A154" s="1"/>
      <c r="B154" s="1"/>
      <c r="C154" s="1"/>
      <c r="D154" s="1"/>
      <c r="E154" s="1"/>
      <c r="F154" s="1"/>
      <c r="G154" s="1"/>
      <c r="H154" s="1"/>
      <c r="P154" s="21"/>
      <c r="Q154" s="21"/>
      <c r="T154" s="150"/>
      <c r="U154" s="150"/>
      <c r="V154" s="1"/>
      <c r="W154" s="1"/>
      <c r="X154" s="1"/>
      <c r="Y154" s="1"/>
      <c r="Z154" s="1"/>
    </row>
    <row r="155" spans="1:26" s="149" customFormat="1" ht="13.15" customHeight="1" x14ac:dyDescent="0.2">
      <c r="A155" s="1"/>
      <c r="B155" s="1"/>
      <c r="C155" s="1"/>
      <c r="D155" s="1"/>
      <c r="E155" s="1"/>
      <c r="F155" s="1"/>
      <c r="G155" s="1"/>
      <c r="H155" s="1"/>
      <c r="P155" s="21"/>
      <c r="Q155" s="21"/>
      <c r="T155" s="150"/>
      <c r="U155" s="150"/>
      <c r="V155" s="1"/>
      <c r="W155" s="1"/>
      <c r="X155" s="1"/>
      <c r="Y155" s="1"/>
      <c r="Z155" s="1"/>
    </row>
    <row r="156" spans="1:26" s="149" customFormat="1" ht="12" customHeight="1" x14ac:dyDescent="0.2">
      <c r="A156" s="1"/>
      <c r="B156" s="1"/>
      <c r="C156" s="1"/>
      <c r="D156" s="1"/>
      <c r="E156" s="1"/>
      <c r="F156" s="1"/>
      <c r="G156" s="1"/>
      <c r="H156" s="1"/>
      <c r="P156" s="21"/>
      <c r="Q156" s="21"/>
      <c r="T156" s="150"/>
      <c r="U156" s="150"/>
      <c r="V156" s="1"/>
      <c r="W156" s="1"/>
      <c r="X156" s="1"/>
      <c r="Y156" s="1"/>
      <c r="Z156" s="1"/>
    </row>
    <row r="157" spans="1:26" s="149" customFormat="1" ht="12" customHeight="1" x14ac:dyDescent="0.2">
      <c r="A157" s="1"/>
      <c r="B157" s="1"/>
      <c r="C157" s="1"/>
      <c r="D157" s="1"/>
      <c r="E157" s="1"/>
      <c r="F157" s="1"/>
      <c r="G157" s="1"/>
      <c r="H157" s="1"/>
      <c r="P157" s="21"/>
      <c r="Q157" s="21"/>
      <c r="T157" s="150"/>
      <c r="U157" s="150"/>
      <c r="V157" s="1"/>
      <c r="W157" s="1"/>
      <c r="X157" s="1"/>
      <c r="Y157" s="1"/>
      <c r="Z157" s="1"/>
    </row>
    <row r="158" spans="1:26" s="149" customFormat="1" ht="15" customHeight="1" x14ac:dyDescent="0.2">
      <c r="A158" s="1"/>
      <c r="B158" s="1"/>
      <c r="C158" s="1"/>
      <c r="D158" s="1"/>
      <c r="E158" s="1"/>
      <c r="F158" s="1"/>
      <c r="G158" s="1"/>
      <c r="H158" s="1"/>
      <c r="P158" s="21"/>
      <c r="Q158" s="21"/>
      <c r="T158" s="150"/>
      <c r="U158" s="150"/>
      <c r="V158" s="1"/>
      <c r="W158" s="1"/>
      <c r="X158" s="1"/>
      <c r="Y158" s="1"/>
      <c r="Z158" s="1"/>
    </row>
    <row r="159" spans="1:26" s="149" customFormat="1" ht="15" customHeight="1" x14ac:dyDescent="0.2">
      <c r="A159" s="1"/>
      <c r="B159" s="1"/>
      <c r="C159" s="1"/>
      <c r="D159" s="1"/>
      <c r="E159" s="1"/>
      <c r="F159" s="1"/>
      <c r="G159" s="1"/>
      <c r="H159" s="1"/>
      <c r="P159" s="21"/>
      <c r="Q159" s="21"/>
      <c r="T159" s="150"/>
      <c r="U159" s="150"/>
      <c r="V159" s="1"/>
      <c r="W159" s="1"/>
      <c r="X159" s="1"/>
      <c r="Y159" s="1"/>
      <c r="Z159" s="1"/>
    </row>
  </sheetData>
  <sheetProtection sheet="1" formatCells="0" formatColumns="0" formatRows="0"/>
  <phoneticPr fontId="4"/>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00858-033A-4AF7-8B9A-405120156B10}">
  <dimension ref="A1:Z375"/>
  <sheetViews>
    <sheetView topLeftCell="A13" zoomScale="160" zoomScaleNormal="160" workbookViewId="0">
      <selection activeCell="P16" sqref="P16"/>
    </sheetView>
  </sheetViews>
  <sheetFormatPr defaultColWidth="9.33203125" defaultRowHeight="12.75" x14ac:dyDescent="0.2"/>
  <cols>
    <col min="1" max="2" width="9.33203125" style="1"/>
    <col min="3" max="7" width="10.1640625" style="1" customWidth="1"/>
    <col min="8" max="8" width="9.33203125" style="1"/>
    <col min="9" max="15" width="8" style="149" customWidth="1"/>
    <col min="16" max="17" width="9.1640625" style="2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72</v>
      </c>
      <c r="B1" s="97"/>
      <c r="C1" s="97"/>
      <c r="D1" s="97"/>
      <c r="E1" s="97"/>
      <c r="F1" s="97"/>
      <c r="G1" s="97"/>
      <c r="H1" s="97"/>
      <c r="I1" s="113"/>
      <c r="J1" s="154" t="s">
        <v>130</v>
      </c>
      <c r="K1" s="210">
        <v>10</v>
      </c>
      <c r="L1" s="154" t="s">
        <v>129</v>
      </c>
      <c r="M1" s="113"/>
      <c r="N1" s="113" t="s">
        <v>1059</v>
      </c>
      <c r="O1" s="113"/>
      <c r="P1" s="1"/>
      <c r="Q1" s="1"/>
      <c r="R1" s="113"/>
      <c r="S1" s="113"/>
      <c r="T1" s="146"/>
      <c r="U1" s="146"/>
    </row>
    <row r="2" spans="1:25" x14ac:dyDescent="0.2">
      <c r="A2" s="99" t="s">
        <v>73</v>
      </c>
      <c r="B2" s="97"/>
      <c r="C2" s="97"/>
      <c r="D2" s="97"/>
      <c r="E2" s="97"/>
      <c r="F2" s="97"/>
      <c r="G2" s="97"/>
      <c r="H2" s="97"/>
      <c r="I2" s="113"/>
      <c r="J2" s="154" t="s">
        <v>4</v>
      </c>
      <c r="K2" s="210">
        <v>1</v>
      </c>
      <c r="L2" s="154" t="s">
        <v>129</v>
      </c>
      <c r="M2" s="113"/>
      <c r="N2" s="113" t="s">
        <v>79</v>
      </c>
      <c r="O2" s="113"/>
      <c r="P2" s="1"/>
      <c r="Q2" s="1"/>
      <c r="R2" s="113"/>
      <c r="S2" s="113"/>
      <c r="T2" s="146"/>
      <c r="U2" s="146"/>
    </row>
    <row r="3" spans="1:25" x14ac:dyDescent="0.2">
      <c r="A3" s="97"/>
      <c r="B3" s="97"/>
      <c r="C3" s="97"/>
      <c r="D3" s="97"/>
      <c r="E3" s="97"/>
      <c r="F3" s="97"/>
      <c r="G3" s="97"/>
      <c r="H3" s="97"/>
      <c r="I3" s="113"/>
      <c r="J3" s="113"/>
      <c r="K3" s="113"/>
      <c r="L3" s="113"/>
      <c r="M3" s="113"/>
      <c r="N3" s="113" t="s">
        <v>311</v>
      </c>
      <c r="O3" s="113"/>
      <c r="P3" s="1"/>
      <c r="Q3" s="1"/>
      <c r="R3" s="113"/>
      <c r="S3" s="113"/>
      <c r="T3" s="146"/>
      <c r="U3" s="146"/>
    </row>
    <row r="4" spans="1:25" x14ac:dyDescent="0.2">
      <c r="A4" s="100"/>
      <c r="B4" s="97"/>
      <c r="C4" s="97"/>
      <c r="D4" s="97"/>
      <c r="E4" s="97"/>
      <c r="F4" s="97"/>
      <c r="G4" s="97"/>
      <c r="H4" s="97"/>
      <c r="I4" s="113"/>
      <c r="J4" s="113"/>
      <c r="K4" s="113"/>
      <c r="L4" s="113"/>
      <c r="M4" s="113"/>
      <c r="N4" s="113"/>
      <c r="O4" s="113"/>
      <c r="P4" s="1"/>
      <c r="Q4" s="1"/>
      <c r="R4" s="113"/>
      <c r="S4" s="113"/>
      <c r="T4" s="146"/>
      <c r="U4" s="146"/>
    </row>
    <row r="5" spans="1:25" ht="20.25" x14ac:dyDescent="0.2">
      <c r="A5" s="101" t="s">
        <v>78</v>
      </c>
      <c r="B5" s="97"/>
      <c r="C5" s="97"/>
      <c r="D5" s="97"/>
      <c r="E5" s="97"/>
      <c r="F5" s="97"/>
      <c r="G5" s="97"/>
      <c r="H5" s="97"/>
      <c r="I5" s="113"/>
      <c r="J5" s="113"/>
      <c r="K5" s="113"/>
      <c r="L5" s="113"/>
      <c r="M5" s="113"/>
      <c r="N5" s="113"/>
      <c r="O5" s="113"/>
      <c r="P5" s="1"/>
      <c r="Q5" s="1"/>
      <c r="R5" s="113"/>
      <c r="S5" s="113"/>
      <c r="T5" s="146"/>
      <c r="U5" s="146"/>
    </row>
    <row r="6" spans="1:25" s="2" customFormat="1" x14ac:dyDescent="0.2">
      <c r="A6" s="113" t="s">
        <v>74</v>
      </c>
      <c r="B6" s="99"/>
      <c r="C6" s="99"/>
      <c r="D6" s="99"/>
      <c r="E6" s="99"/>
      <c r="F6" s="99"/>
      <c r="G6" s="99"/>
      <c r="H6" s="99"/>
      <c r="I6" s="113"/>
      <c r="J6" s="113"/>
      <c r="K6" s="113"/>
      <c r="L6" s="113"/>
      <c r="M6" s="113"/>
      <c r="N6" s="113"/>
      <c r="O6" s="113"/>
      <c r="R6" s="113"/>
      <c r="S6" s="113"/>
      <c r="T6" s="146"/>
      <c r="U6" s="146"/>
    </row>
    <row r="7" spans="1:25" s="2" customFormat="1" x14ac:dyDescent="0.2">
      <c r="A7" s="113" t="s">
        <v>75</v>
      </c>
      <c r="B7" s="99"/>
      <c r="C7" s="99"/>
      <c r="D7" s="99"/>
      <c r="E7" s="99"/>
      <c r="F7" s="99"/>
      <c r="G7" s="99"/>
      <c r="H7" s="99"/>
      <c r="I7" s="113"/>
      <c r="J7" s="113"/>
      <c r="K7" s="113"/>
      <c r="L7" s="113"/>
      <c r="M7" s="113"/>
      <c r="N7" s="113"/>
      <c r="O7" s="113"/>
      <c r="R7" s="113"/>
      <c r="S7" s="113"/>
      <c r="T7" s="146"/>
      <c r="U7" s="146"/>
    </row>
    <row r="8" spans="1:25" s="2" customFormat="1" x14ac:dyDescent="0.2">
      <c r="A8" s="99" t="s">
        <v>76</v>
      </c>
      <c r="B8" s="99"/>
      <c r="C8" s="99"/>
      <c r="D8" s="99"/>
      <c r="E8" s="99"/>
      <c r="F8" s="99"/>
      <c r="G8" s="99"/>
      <c r="H8" s="99"/>
      <c r="I8" s="113"/>
      <c r="J8" s="113"/>
      <c r="K8" s="113"/>
      <c r="L8" s="113"/>
      <c r="M8" s="113"/>
      <c r="N8" s="113"/>
      <c r="O8" s="113"/>
      <c r="R8" s="113"/>
      <c r="S8" s="113"/>
      <c r="T8" s="146"/>
      <c r="U8" s="146"/>
    </row>
    <row r="9" spans="1:25" s="2" customFormat="1" x14ac:dyDescent="0.2">
      <c r="A9" s="113" t="s">
        <v>77</v>
      </c>
      <c r="B9" s="99"/>
      <c r="C9" s="99"/>
      <c r="D9" s="99"/>
      <c r="E9" s="99"/>
      <c r="F9" s="99"/>
      <c r="G9" s="99"/>
      <c r="H9" s="99"/>
      <c r="I9" s="113"/>
      <c r="J9" s="113"/>
      <c r="K9" s="113"/>
      <c r="L9" s="113"/>
      <c r="M9" s="113"/>
      <c r="N9" s="113"/>
      <c r="O9" s="113"/>
      <c r="R9" s="113"/>
      <c r="S9" s="113"/>
      <c r="T9" s="146"/>
      <c r="U9" s="146"/>
    </row>
    <row r="10" spans="1:25" x14ac:dyDescent="0.2">
      <c r="A10" s="102"/>
      <c r="B10" s="97"/>
      <c r="C10" s="97"/>
      <c r="D10" s="97"/>
      <c r="E10" s="97"/>
      <c r="F10" s="97"/>
      <c r="G10" s="97"/>
      <c r="H10" s="97"/>
      <c r="I10" s="113"/>
      <c r="J10" s="113"/>
      <c r="K10" s="113"/>
      <c r="L10" s="113"/>
      <c r="M10" s="113"/>
      <c r="N10" s="113"/>
      <c r="O10" s="113"/>
      <c r="P10" s="1"/>
      <c r="Q10" s="1"/>
      <c r="R10" s="113"/>
      <c r="S10" s="113"/>
      <c r="T10" s="146"/>
      <c r="U10" s="146"/>
    </row>
    <row r="11" spans="1:25" x14ac:dyDescent="0.2">
      <c r="A11" s="97"/>
      <c r="B11" s="97"/>
      <c r="C11" s="97"/>
      <c r="D11" s="97"/>
      <c r="E11" s="97"/>
      <c r="F11" s="97"/>
      <c r="G11" s="97"/>
      <c r="H11" s="97"/>
      <c r="I11" s="113"/>
      <c r="J11" s="113"/>
      <c r="K11" s="113"/>
      <c r="L11" s="113"/>
      <c r="M11" s="113"/>
      <c r="N11" s="113"/>
      <c r="O11" s="113"/>
      <c r="P11" s="1"/>
      <c r="Q11" s="1"/>
      <c r="R11" s="113"/>
      <c r="S11" s="113"/>
      <c r="T11" s="146"/>
      <c r="U11" s="146"/>
    </row>
    <row r="12" spans="1:25" x14ac:dyDescent="0.2">
      <c r="A12" s="97"/>
      <c r="B12" s="97"/>
      <c r="C12" s="97"/>
      <c r="D12" s="97"/>
      <c r="E12" s="97"/>
      <c r="F12" s="97"/>
      <c r="G12" s="97"/>
      <c r="H12" s="97"/>
      <c r="I12" s="113"/>
      <c r="J12" s="113"/>
      <c r="K12" s="113"/>
      <c r="L12" s="113"/>
      <c r="M12" s="113"/>
      <c r="N12" s="113"/>
      <c r="O12" s="113"/>
      <c r="P12" s="1"/>
      <c r="Q12" s="1"/>
      <c r="R12" s="113"/>
      <c r="S12" s="113"/>
      <c r="T12" s="146"/>
      <c r="U12" s="146"/>
    </row>
    <row r="13" spans="1:25" x14ac:dyDescent="0.2">
      <c r="A13" s="97"/>
      <c r="B13" s="97"/>
      <c r="C13" s="97"/>
      <c r="D13" s="97"/>
      <c r="E13" s="97"/>
      <c r="F13" s="97"/>
      <c r="G13" s="97"/>
      <c r="H13" s="97"/>
      <c r="I13" s="113"/>
      <c r="J13" s="113"/>
      <c r="K13" s="113"/>
      <c r="L13" s="113"/>
      <c r="M13" s="113"/>
      <c r="N13" s="113"/>
      <c r="O13" s="113"/>
      <c r="P13" s="1"/>
      <c r="Q13" s="1"/>
      <c r="R13" s="113"/>
      <c r="S13" s="113"/>
      <c r="T13" s="146"/>
      <c r="U13" s="146"/>
    </row>
    <row r="14" spans="1:25" x14ac:dyDescent="0.2">
      <c r="A14" s="97"/>
      <c r="B14" s="97"/>
      <c r="C14" s="97"/>
      <c r="D14" s="97"/>
      <c r="E14" s="97"/>
      <c r="F14" s="97"/>
      <c r="G14" s="97"/>
      <c r="H14" s="97"/>
      <c r="I14" s="113"/>
      <c r="J14" s="113"/>
      <c r="K14" s="113"/>
      <c r="L14" s="113"/>
      <c r="M14" s="113"/>
      <c r="N14" s="113"/>
      <c r="O14" s="113"/>
      <c r="P14" s="1"/>
      <c r="Q14" s="1"/>
      <c r="R14" s="113"/>
      <c r="S14" s="113"/>
      <c r="T14" s="146"/>
      <c r="U14" s="146"/>
    </row>
    <row r="15" spans="1:25" ht="15.75" x14ac:dyDescent="0.2">
      <c r="A15" s="103" t="s">
        <v>82</v>
      </c>
      <c r="B15" s="97"/>
      <c r="C15" s="97"/>
      <c r="D15" s="97"/>
      <c r="E15" s="97"/>
      <c r="F15" s="97"/>
      <c r="G15" s="97"/>
      <c r="H15" s="97"/>
      <c r="I15" s="113"/>
      <c r="J15" s="113"/>
      <c r="K15" s="113"/>
      <c r="L15" s="113"/>
      <c r="M15" s="113"/>
      <c r="N15" s="113"/>
      <c r="O15" s="113"/>
      <c r="P15" s="1"/>
      <c r="Q15" s="1"/>
      <c r="R15" s="113"/>
      <c r="S15" s="113"/>
      <c r="T15" s="146"/>
      <c r="U15" s="146"/>
    </row>
    <row r="16" spans="1:25" ht="102" x14ac:dyDescent="0.2">
      <c r="A16" s="211" t="s">
        <v>0</v>
      </c>
      <c r="B16" s="212" t="s">
        <v>1</v>
      </c>
      <c r="C16" s="212" t="s">
        <v>133</v>
      </c>
      <c r="D16" s="212" t="s">
        <v>134</v>
      </c>
      <c r="E16" s="212" t="s">
        <v>135</v>
      </c>
      <c r="F16" s="212" t="s">
        <v>136</v>
      </c>
      <c r="G16" s="212" t="s">
        <v>137</v>
      </c>
      <c r="H16" s="212" t="s">
        <v>138</v>
      </c>
      <c r="I16" s="104" t="s">
        <v>8</v>
      </c>
      <c r="J16" s="104" t="s">
        <v>9</v>
      </c>
      <c r="K16" s="104" t="s">
        <v>107</v>
      </c>
      <c r="L16" s="104" t="s">
        <v>14</v>
      </c>
      <c r="M16" s="104" t="s">
        <v>12</v>
      </c>
      <c r="N16" s="104" t="s">
        <v>1058</v>
      </c>
      <c r="O16" s="104" t="s">
        <v>100</v>
      </c>
      <c r="P16" s="6" t="s">
        <v>105</v>
      </c>
      <c r="Q16" s="6" t="s">
        <v>106</v>
      </c>
      <c r="R16" s="104" t="s">
        <v>1051</v>
      </c>
      <c r="S16" s="104" t="s">
        <v>1052</v>
      </c>
      <c r="T16" s="147" t="s">
        <v>80</v>
      </c>
      <c r="U16" s="147" t="s">
        <v>81</v>
      </c>
      <c r="V16" s="5" t="s">
        <v>101</v>
      </c>
      <c r="W16" s="5" t="s">
        <v>102</v>
      </c>
      <c r="X16" s="112" t="s">
        <v>103</v>
      </c>
      <c r="Y16" s="112" t="s">
        <v>104</v>
      </c>
    </row>
    <row r="17" spans="1:25" x14ac:dyDescent="0.2">
      <c r="A17" s="213" t="str">
        <f>A102</f>
        <v>KRISS</v>
      </c>
      <c r="B17" s="213"/>
      <c r="C17" s="214">
        <f t="shared" ref="C17:H17" si="0">B102*0.001</f>
        <v>5.0999999999999995E-3</v>
      </c>
      <c r="D17" s="214">
        <f t="shared" si="0"/>
        <v>1E-4</v>
      </c>
      <c r="E17" s="214">
        <f t="shared" si="0"/>
        <v>5.1100000000000008E-3</v>
      </c>
      <c r="F17" s="214">
        <f t="shared" si="0"/>
        <v>1E-4</v>
      </c>
      <c r="G17" s="214">
        <f t="shared" si="0"/>
        <v>5.0000000000000004E-6</v>
      </c>
      <c r="H17" s="214">
        <f t="shared" si="0"/>
        <v>2.8000000000000003E-4</v>
      </c>
      <c r="I17" s="155">
        <f t="shared" ref="I17:I23" si="1">IF(ABS(G17)&gt;ABS(H17), 1, 0)</f>
        <v>0</v>
      </c>
      <c r="J17" s="155">
        <f t="shared" ref="J17:J23" si="2">I17*ABS(C17-E17)</f>
        <v>0</v>
      </c>
      <c r="K17" s="155">
        <f t="shared" ref="K17:K23" si="3">SQRT(SUMSQ(F17,J17))*2</f>
        <v>2.0000000000000001E-4</v>
      </c>
      <c r="L17" s="155">
        <f t="shared" ref="L17:L23" si="4">IF(C17&lt;$K$2, C17, $K$1)</f>
        <v>5.0999999999999995E-3</v>
      </c>
      <c r="M17" s="156">
        <f t="shared" ref="M17:M23" si="5">IF(AND(C17&lt;$K$1,C17&gt; $K$2), K17/L17*100, K17/C17*100)</f>
        <v>3.9215686274509811</v>
      </c>
      <c r="N17" s="157">
        <f t="shared" ref="N17:N23" si="6">M17*L17/100</f>
        <v>2.0000000000000001E-4</v>
      </c>
      <c r="O17" s="155">
        <f t="shared" ref="O17" si="7">N17/(M17*L17/100)*100</f>
        <v>100</v>
      </c>
      <c r="P17" s="250">
        <v>1</v>
      </c>
      <c r="Q17" s="250">
        <v>1000</v>
      </c>
      <c r="R17" s="148">
        <f>IF( IF(P17&lt;L17, M17*L17/P17, M17)&gt;100, "ERROR",  IF(P17&lt;L17, M17*L17/P17, M17))</f>
        <v>3.9215686274509811</v>
      </c>
      <c r="S17" s="148">
        <f>IF(IF(Q17&lt;L17, M17*L17/Q17, M17)&gt;100, "ERROR", IF(Q17&lt;L17, M17*L17/Q17, M17))</f>
        <v>3.9215686274509811</v>
      </c>
      <c r="T17" s="148">
        <f>R17*P17*0.01</f>
        <v>3.921568627450981E-2</v>
      </c>
      <c r="U17" s="148">
        <f>S17*Q17*0.01</f>
        <v>39.215686274509814</v>
      </c>
      <c r="V17" s="7">
        <f>P17*1000</f>
        <v>1000</v>
      </c>
      <c r="W17" s="7">
        <f>Q17*1000</f>
        <v>1000000</v>
      </c>
      <c r="X17" s="1345">
        <f>T17*1000</f>
        <v>39.215686274509814</v>
      </c>
      <c r="Y17" s="1345">
        <f>U17*1000</f>
        <v>39215.686274509811</v>
      </c>
    </row>
    <row r="18" spans="1:25" x14ac:dyDescent="0.2">
      <c r="A18" s="213" t="str">
        <f t="shared" ref="A18:A26" si="8">A103</f>
        <v>LNE</v>
      </c>
      <c r="B18" s="213"/>
      <c r="C18" s="214">
        <f t="shared" ref="C18:F18" si="9">B103*0.001</f>
        <v>5.0999999999999995E-3</v>
      </c>
      <c r="D18" s="214">
        <f t="shared" si="9"/>
        <v>1E-4</v>
      </c>
      <c r="E18" s="214">
        <f t="shared" si="9"/>
        <v>5.5999999999999999E-3</v>
      </c>
      <c r="F18" s="214">
        <f t="shared" si="9"/>
        <v>1.1E-4</v>
      </c>
      <c r="G18" s="214">
        <f t="shared" ref="G18:H26" si="10">F103*0.001</f>
        <v>5.0000000000000001E-4</v>
      </c>
      <c r="H18" s="214">
        <f t="shared" si="10"/>
        <v>2.9500000000000001E-4</v>
      </c>
      <c r="I18" s="155">
        <f t="shared" si="1"/>
        <v>1</v>
      </c>
      <c r="J18" s="155">
        <f t="shared" si="2"/>
        <v>5.0000000000000044E-4</v>
      </c>
      <c r="K18" s="155">
        <f t="shared" si="3"/>
        <v>1.0239140588936173E-3</v>
      </c>
      <c r="L18" s="155">
        <f t="shared" si="4"/>
        <v>5.0999999999999995E-3</v>
      </c>
      <c r="M18" s="156">
        <f t="shared" si="5"/>
        <v>20.076746252816026</v>
      </c>
      <c r="N18" s="157">
        <f t="shared" si="6"/>
        <v>1.0239140588936173E-3</v>
      </c>
      <c r="O18" s="155">
        <f t="shared" ref="O18:O23" si="11">N18/(M18*L18/100)*100</f>
        <v>100</v>
      </c>
      <c r="P18" s="250">
        <v>1</v>
      </c>
      <c r="Q18" s="250">
        <v>1000</v>
      </c>
      <c r="R18" s="148">
        <f t="shared" ref="R18:R26" si="12">IF( IF(P18&lt;L18, M18*L18/P18, M18)&gt;100, "ERROR",  IF(P18&lt;L18, M18*L18/P18, M18))</f>
        <v>20.076746252816026</v>
      </c>
      <c r="S18" s="148">
        <f t="shared" ref="S18:S26" si="13">IF(IF(Q18&lt;L18, M18*L18/Q18, M18)&gt;100, "ERROR", IF(Q18&lt;L18, M18*L18/Q18, M18))</f>
        <v>20.076746252816026</v>
      </c>
      <c r="T18" s="148">
        <f t="shared" ref="T18:U23" si="14">R18*P18*0.01</f>
        <v>0.20076746252816027</v>
      </c>
      <c r="U18" s="148">
        <f t="shared" si="14"/>
        <v>200.76746252816025</v>
      </c>
      <c r="V18" s="7">
        <f t="shared" ref="V18:V26" si="15">P18*1000</f>
        <v>1000</v>
      </c>
      <c r="W18" s="7">
        <f t="shared" ref="W18:W26" si="16">Q18*1000</f>
        <v>1000000</v>
      </c>
      <c r="X18" s="1345">
        <f t="shared" ref="X18:X26" si="17">T18*1000</f>
        <v>200.76746252816028</v>
      </c>
      <c r="Y18" s="1345">
        <f t="shared" ref="Y18:Y26" si="18">U18*1000</f>
        <v>200767.46252816025</v>
      </c>
    </row>
    <row r="19" spans="1:25" x14ac:dyDescent="0.2">
      <c r="A19" s="213" t="str">
        <f t="shared" si="8"/>
        <v>NIST</v>
      </c>
      <c r="B19" s="213"/>
      <c r="C19" s="214">
        <f t="shared" ref="C19:F19" si="19">B104*0.001</f>
        <v>5.0999999999999995E-3</v>
      </c>
      <c r="D19" s="214">
        <f t="shared" si="19"/>
        <v>1E-4</v>
      </c>
      <c r="E19" s="214">
        <f t="shared" si="19"/>
        <v>5.2400000000000007E-3</v>
      </c>
      <c r="F19" s="214">
        <f t="shared" si="19"/>
        <v>4.0000000000000003E-5</v>
      </c>
      <c r="G19" s="214">
        <f t="shared" si="10"/>
        <v>1.35E-4</v>
      </c>
      <c r="H19" s="214">
        <f t="shared" si="10"/>
        <v>2.1700000000000002E-4</v>
      </c>
      <c r="I19" s="155">
        <f t="shared" si="1"/>
        <v>0</v>
      </c>
      <c r="J19" s="155">
        <f t="shared" si="2"/>
        <v>0</v>
      </c>
      <c r="K19" s="155">
        <f t="shared" si="3"/>
        <v>8.0000000000000007E-5</v>
      </c>
      <c r="L19" s="155">
        <f t="shared" si="4"/>
        <v>5.0999999999999995E-3</v>
      </c>
      <c r="M19" s="156">
        <f t="shared" si="5"/>
        <v>1.5686274509803926</v>
      </c>
      <c r="N19" s="157">
        <f t="shared" si="6"/>
        <v>8.000000000000002E-5</v>
      </c>
      <c r="O19" s="155">
        <f t="shared" si="11"/>
        <v>100</v>
      </c>
      <c r="P19" s="250">
        <v>1</v>
      </c>
      <c r="Q19" s="250">
        <v>1000</v>
      </c>
      <c r="R19" s="148">
        <f t="shared" si="12"/>
        <v>1.5686274509803926</v>
      </c>
      <c r="S19" s="148">
        <f t="shared" si="13"/>
        <v>1.5686274509803926</v>
      </c>
      <c r="T19" s="148">
        <f t="shared" si="14"/>
        <v>1.5686274509803925E-2</v>
      </c>
      <c r="U19" s="148">
        <f t="shared" si="14"/>
        <v>15.686274509803924</v>
      </c>
      <c r="V19" s="7">
        <f t="shared" si="15"/>
        <v>1000</v>
      </c>
      <c r="W19" s="7">
        <f t="shared" si="16"/>
        <v>1000000</v>
      </c>
      <c r="X19" s="1345">
        <f t="shared" si="17"/>
        <v>15.686274509803924</v>
      </c>
      <c r="Y19" s="1345">
        <f t="shared" si="18"/>
        <v>15686.274509803925</v>
      </c>
    </row>
    <row r="20" spans="1:25" x14ac:dyDescent="0.2">
      <c r="A20" s="213" t="str">
        <f t="shared" si="8"/>
        <v>NMISA</v>
      </c>
      <c r="B20" s="213"/>
      <c r="C20" s="214">
        <f t="shared" ref="C20:F20" si="20">B105*0.001</f>
        <v>5.0999999999999995E-3</v>
      </c>
      <c r="D20" s="214">
        <f t="shared" si="20"/>
        <v>1E-4</v>
      </c>
      <c r="E20" s="214">
        <f t="shared" si="20"/>
        <v>4.7999999999999996E-3</v>
      </c>
      <c r="F20" s="214">
        <f t="shared" si="20"/>
        <v>6.0000000000000002E-5</v>
      </c>
      <c r="G20" s="214">
        <f t="shared" si="10"/>
        <v>-2.9700000000000001E-4</v>
      </c>
      <c r="H20" s="214">
        <f t="shared" si="10"/>
        <v>2.3300000000000003E-4</v>
      </c>
      <c r="I20" s="155">
        <f t="shared" si="1"/>
        <v>1</v>
      </c>
      <c r="J20" s="155">
        <f t="shared" si="2"/>
        <v>2.9999999999999992E-4</v>
      </c>
      <c r="K20" s="155">
        <f t="shared" si="3"/>
        <v>6.1188234163113398E-4</v>
      </c>
      <c r="L20" s="155">
        <f t="shared" si="4"/>
        <v>5.0999999999999995E-3</v>
      </c>
      <c r="M20" s="156">
        <f t="shared" si="5"/>
        <v>11.997692973159491</v>
      </c>
      <c r="N20" s="157">
        <f t="shared" si="6"/>
        <v>6.1188234163113398E-4</v>
      </c>
      <c r="O20" s="155">
        <f t="shared" si="11"/>
        <v>100</v>
      </c>
      <c r="P20" s="250">
        <v>1</v>
      </c>
      <c r="Q20" s="250">
        <v>1000</v>
      </c>
      <c r="R20" s="148">
        <f t="shared" si="12"/>
        <v>11.997692973159491</v>
      </c>
      <c r="S20" s="148">
        <f t="shared" si="13"/>
        <v>11.997692973159491</v>
      </c>
      <c r="T20" s="148">
        <f t="shared" si="14"/>
        <v>0.11997692973159492</v>
      </c>
      <c r="U20" s="148">
        <f t="shared" si="14"/>
        <v>119.97692973159492</v>
      </c>
      <c r="V20" s="7">
        <f t="shared" si="15"/>
        <v>1000</v>
      </c>
      <c r="W20" s="7">
        <f t="shared" si="16"/>
        <v>1000000</v>
      </c>
      <c r="X20" s="1345">
        <f t="shared" si="17"/>
        <v>119.97692973159492</v>
      </c>
      <c r="Y20" s="1345">
        <f t="shared" si="18"/>
        <v>119976.92973159492</v>
      </c>
    </row>
    <row r="21" spans="1:25" x14ac:dyDescent="0.2">
      <c r="A21" s="213" t="str">
        <f t="shared" si="8"/>
        <v>NPL</v>
      </c>
      <c r="B21" s="213"/>
      <c r="C21" s="214">
        <f t="shared" ref="C21:F21" si="21">B106*0.001</f>
        <v>5.0999999999999995E-3</v>
      </c>
      <c r="D21" s="214">
        <f t="shared" si="21"/>
        <v>1E-4</v>
      </c>
      <c r="E21" s="214">
        <f t="shared" si="21"/>
        <v>5.1200000000000004E-3</v>
      </c>
      <c r="F21" s="214">
        <f t="shared" si="21"/>
        <v>5.0000000000000002E-5</v>
      </c>
      <c r="G21" s="214">
        <f t="shared" si="10"/>
        <v>2.0000000000000002E-5</v>
      </c>
      <c r="H21" s="214">
        <f t="shared" si="10"/>
        <v>2.2600000000000002E-4</v>
      </c>
      <c r="I21" s="155">
        <f t="shared" si="1"/>
        <v>0</v>
      </c>
      <c r="J21" s="155">
        <f t="shared" si="2"/>
        <v>0</v>
      </c>
      <c r="K21" s="155">
        <f t="shared" si="3"/>
        <v>1E-4</v>
      </c>
      <c r="L21" s="155">
        <f t="shared" si="4"/>
        <v>5.0999999999999995E-3</v>
      </c>
      <c r="M21" s="156">
        <f t="shared" si="5"/>
        <v>1.9607843137254906</v>
      </c>
      <c r="N21" s="157">
        <f t="shared" si="6"/>
        <v>1E-4</v>
      </c>
      <c r="O21" s="155">
        <f t="shared" si="11"/>
        <v>100</v>
      </c>
      <c r="P21" s="250">
        <v>1</v>
      </c>
      <c r="Q21" s="250">
        <v>1000</v>
      </c>
      <c r="R21" s="148">
        <f t="shared" si="12"/>
        <v>1.9607843137254906</v>
      </c>
      <c r="S21" s="148">
        <f t="shared" si="13"/>
        <v>1.9607843137254906</v>
      </c>
      <c r="T21" s="148">
        <f t="shared" si="14"/>
        <v>1.9607843137254905E-2</v>
      </c>
      <c r="U21" s="148">
        <f t="shared" si="14"/>
        <v>19.607843137254907</v>
      </c>
      <c r="V21" s="7">
        <f t="shared" si="15"/>
        <v>1000</v>
      </c>
      <c r="W21" s="7">
        <f t="shared" si="16"/>
        <v>1000000</v>
      </c>
      <c r="X21" s="1345">
        <f t="shared" si="17"/>
        <v>19.607843137254907</v>
      </c>
      <c r="Y21" s="1345">
        <f t="shared" si="18"/>
        <v>19607.843137254906</v>
      </c>
    </row>
    <row r="22" spans="1:25" x14ac:dyDescent="0.2">
      <c r="A22" s="213" t="str">
        <f t="shared" si="8"/>
        <v>VNIIM</v>
      </c>
      <c r="B22" s="213"/>
      <c r="C22" s="214">
        <f t="shared" ref="C22:F22" si="22">B107*0.001</f>
        <v>5.0999999999999995E-3</v>
      </c>
      <c r="D22" s="214">
        <f t="shared" si="22"/>
        <v>1E-4</v>
      </c>
      <c r="E22" s="214">
        <f t="shared" si="22"/>
        <v>5.6299999999999996E-3</v>
      </c>
      <c r="F22" s="214">
        <f t="shared" si="22"/>
        <v>8.0000000000000007E-5</v>
      </c>
      <c r="G22" s="214">
        <f t="shared" si="10"/>
        <v>5.3000000000000009E-4</v>
      </c>
      <c r="H22" s="214">
        <f t="shared" si="10"/>
        <v>2.5800000000000004E-4</v>
      </c>
      <c r="I22" s="155">
        <f t="shared" si="1"/>
        <v>1</v>
      </c>
      <c r="J22" s="155">
        <f t="shared" si="2"/>
        <v>5.3000000000000009E-4</v>
      </c>
      <c r="K22" s="155">
        <f t="shared" si="3"/>
        <v>1.072007462660592E-3</v>
      </c>
      <c r="L22" s="155">
        <f t="shared" si="4"/>
        <v>5.0999999999999995E-3</v>
      </c>
      <c r="M22" s="156">
        <f t="shared" si="5"/>
        <v>21.019754169815531</v>
      </c>
      <c r="N22" s="157">
        <f t="shared" si="6"/>
        <v>1.072007462660592E-3</v>
      </c>
      <c r="O22" s="155">
        <f t="shared" si="11"/>
        <v>100</v>
      </c>
      <c r="P22" s="250">
        <v>1</v>
      </c>
      <c r="Q22" s="250">
        <v>1000</v>
      </c>
      <c r="R22" s="148">
        <f t="shared" si="12"/>
        <v>21.019754169815531</v>
      </c>
      <c r="S22" s="148">
        <f t="shared" si="13"/>
        <v>21.019754169815531</v>
      </c>
      <c r="T22" s="148">
        <f t="shared" si="14"/>
        <v>0.21019754169815533</v>
      </c>
      <c r="U22" s="148">
        <f t="shared" si="14"/>
        <v>210.19754169815533</v>
      </c>
      <c r="V22" s="7">
        <f t="shared" si="15"/>
        <v>1000</v>
      </c>
      <c r="W22" s="7">
        <f t="shared" si="16"/>
        <v>1000000</v>
      </c>
      <c r="X22" s="1345">
        <f t="shared" si="17"/>
        <v>210.19754169815533</v>
      </c>
      <c r="Y22" s="1345">
        <f t="shared" si="18"/>
        <v>210197.54169815534</v>
      </c>
    </row>
    <row r="23" spans="1:25" x14ac:dyDescent="0.2">
      <c r="A23" s="213" t="str">
        <f t="shared" si="8"/>
        <v>VSL</v>
      </c>
      <c r="B23" s="213"/>
      <c r="C23" s="214">
        <f t="shared" ref="C23:F23" si="23">B108*0.001</f>
        <v>5.0999999999999995E-3</v>
      </c>
      <c r="D23" s="214">
        <f t="shared" si="23"/>
        <v>1E-4</v>
      </c>
      <c r="E23" s="214">
        <f t="shared" si="23"/>
        <v>5.1399999999999996E-3</v>
      </c>
      <c r="F23" s="214">
        <f t="shared" si="23"/>
        <v>5.0000000000000002E-5</v>
      </c>
      <c r="G23" s="214">
        <f t="shared" si="10"/>
        <v>4.1E-5</v>
      </c>
      <c r="H23" s="214">
        <f t="shared" si="10"/>
        <v>2.2500000000000002E-4</v>
      </c>
      <c r="I23" s="155">
        <f t="shared" si="1"/>
        <v>0</v>
      </c>
      <c r="J23" s="155">
        <f t="shared" si="2"/>
        <v>0</v>
      </c>
      <c r="K23" s="155">
        <f t="shared" si="3"/>
        <v>1E-4</v>
      </c>
      <c r="L23" s="155">
        <f t="shared" si="4"/>
        <v>5.0999999999999995E-3</v>
      </c>
      <c r="M23" s="156">
        <f t="shared" si="5"/>
        <v>1.9607843137254906</v>
      </c>
      <c r="N23" s="157">
        <f t="shared" si="6"/>
        <v>1E-4</v>
      </c>
      <c r="O23" s="155">
        <f t="shared" si="11"/>
        <v>100</v>
      </c>
      <c r="P23" s="250">
        <v>1</v>
      </c>
      <c r="Q23" s="250">
        <v>1000</v>
      </c>
      <c r="R23" s="148">
        <f t="shared" si="12"/>
        <v>1.9607843137254906</v>
      </c>
      <c r="S23" s="148">
        <f t="shared" si="13"/>
        <v>1.9607843137254906</v>
      </c>
      <c r="T23" s="148">
        <f t="shared" si="14"/>
        <v>1.9607843137254905E-2</v>
      </c>
      <c r="U23" s="148">
        <f t="shared" si="14"/>
        <v>19.607843137254907</v>
      </c>
      <c r="V23" s="7">
        <f t="shared" si="15"/>
        <v>1000</v>
      </c>
      <c r="W23" s="7">
        <f t="shared" si="16"/>
        <v>1000000</v>
      </c>
      <c r="X23" s="1345">
        <f t="shared" si="17"/>
        <v>19.607843137254907</v>
      </c>
      <c r="Y23" s="1345">
        <f t="shared" si="18"/>
        <v>19607.843137254906</v>
      </c>
    </row>
    <row r="24" spans="1:25" x14ac:dyDescent="0.2">
      <c r="A24" s="213" t="str">
        <f t="shared" si="8"/>
        <v>METAS</v>
      </c>
      <c r="B24" s="213"/>
      <c r="C24" s="214">
        <f t="shared" ref="C24:F24" si="24">B109*0.001</f>
        <v>5.091E-3</v>
      </c>
      <c r="D24" s="214">
        <f t="shared" si="24"/>
        <v>4.2000000000000004E-5</v>
      </c>
      <c r="E24" s="214">
        <f t="shared" si="24"/>
        <v>6.2100000000000002E-3</v>
      </c>
      <c r="F24" s="214">
        <f t="shared" si="24"/>
        <v>3.5999999999999997E-4</v>
      </c>
      <c r="G24" s="214">
        <f t="shared" si="10"/>
        <v>1.119E-3</v>
      </c>
      <c r="H24" s="214">
        <f t="shared" si="10"/>
        <v>7.1000000000000002E-4</v>
      </c>
      <c r="I24" s="155">
        <f t="shared" ref="I24:I26" si="25">IF(ABS(G24)&gt;ABS(H24), 1, 0)</f>
        <v>1</v>
      </c>
      <c r="J24" s="155">
        <f t="shared" ref="J24:J26" si="26">I24*ABS(C24-E24)</f>
        <v>1.1190000000000002E-3</v>
      </c>
      <c r="K24" s="155">
        <f t="shared" ref="K24:K26" si="27">SQRT(SUMSQ(F24,J24))*2</f>
        <v>2.3509666097160974E-3</v>
      </c>
      <c r="L24" s="155">
        <f t="shared" ref="L24:L26" si="28">IF(C24&lt;$K$2, C24, $K$1)</f>
        <v>5.091E-3</v>
      </c>
      <c r="M24" s="156">
        <f t="shared" ref="M24:M26" si="29">IF(AND(C24&lt;$K$1,C24&gt; $K$2), K24/L24*100, K24/C24*100)</f>
        <v>46.178876639483349</v>
      </c>
      <c r="N24" s="157">
        <f t="shared" ref="N24:N26" si="30">M24*L24/100</f>
        <v>2.3509666097160974E-3</v>
      </c>
      <c r="O24" s="155">
        <f t="shared" ref="O24:O26" si="31">N24/(M24*L24/100)*100</f>
        <v>100</v>
      </c>
      <c r="P24" s="250">
        <v>1</v>
      </c>
      <c r="Q24" s="250">
        <v>1000</v>
      </c>
      <c r="R24" s="148">
        <f t="shared" si="12"/>
        <v>46.178876639483349</v>
      </c>
      <c r="S24" s="148">
        <f t="shared" si="13"/>
        <v>46.178876639483349</v>
      </c>
      <c r="T24" s="148">
        <f t="shared" ref="T24:T26" si="32">R24*P24*0.01</f>
        <v>0.46178876639483352</v>
      </c>
      <c r="U24" s="148">
        <f t="shared" ref="U24:U26" si="33">S24*Q24*0.01</f>
        <v>461.78876639483354</v>
      </c>
      <c r="V24" s="7">
        <f t="shared" si="15"/>
        <v>1000</v>
      </c>
      <c r="W24" s="7">
        <f t="shared" si="16"/>
        <v>1000000</v>
      </c>
      <c r="X24" s="1345">
        <f t="shared" si="17"/>
        <v>461.78876639483354</v>
      </c>
      <c r="Y24" s="1345">
        <f t="shared" si="18"/>
        <v>461788.76639483357</v>
      </c>
    </row>
    <row r="25" spans="1:25" x14ac:dyDescent="0.2">
      <c r="A25" s="213" t="str">
        <f t="shared" si="8"/>
        <v>UBA</v>
      </c>
      <c r="B25" s="213"/>
      <c r="C25" s="214">
        <f t="shared" ref="C25:F25" si="34">B110*0.001</f>
        <v>5.091E-3</v>
      </c>
      <c r="D25" s="214">
        <f t="shared" si="34"/>
        <v>4.2000000000000004E-5</v>
      </c>
      <c r="E25" s="214">
        <f t="shared" si="34"/>
        <v>5.0899999999999999E-3</v>
      </c>
      <c r="F25" s="214">
        <f t="shared" si="34"/>
        <v>2.0000000000000002E-5</v>
      </c>
      <c r="G25" s="214">
        <f t="shared" si="10"/>
        <v>-9.9999999999999995E-7</v>
      </c>
      <c r="H25" s="214">
        <f t="shared" si="10"/>
        <v>9.5000000000000005E-5</v>
      </c>
      <c r="I25" s="155">
        <f t="shared" si="25"/>
        <v>0</v>
      </c>
      <c r="J25" s="155">
        <f t="shared" si="26"/>
        <v>0</v>
      </c>
      <c r="K25" s="155">
        <f t="shared" si="27"/>
        <v>4.0000000000000003E-5</v>
      </c>
      <c r="L25" s="155">
        <f t="shared" si="28"/>
        <v>5.091E-3</v>
      </c>
      <c r="M25" s="156">
        <f t="shared" si="29"/>
        <v>0.78570025535258314</v>
      </c>
      <c r="N25" s="157">
        <f t="shared" si="30"/>
        <v>4.000000000000001E-5</v>
      </c>
      <c r="O25" s="155">
        <f t="shared" si="31"/>
        <v>100</v>
      </c>
      <c r="P25" s="250">
        <v>1</v>
      </c>
      <c r="Q25" s="250">
        <v>1000</v>
      </c>
      <c r="R25" s="148">
        <f t="shared" si="12"/>
        <v>0.78570025535258314</v>
      </c>
      <c r="S25" s="148">
        <f t="shared" si="13"/>
        <v>0.78570025535258314</v>
      </c>
      <c r="T25" s="148">
        <f t="shared" si="32"/>
        <v>7.8570025535258312E-3</v>
      </c>
      <c r="U25" s="148">
        <f t="shared" si="33"/>
        <v>7.857002553525831</v>
      </c>
      <c r="V25" s="7">
        <f t="shared" si="15"/>
        <v>1000</v>
      </c>
      <c r="W25" s="7">
        <f t="shared" si="16"/>
        <v>1000000</v>
      </c>
      <c r="X25" s="1345">
        <f t="shared" si="17"/>
        <v>7.857002553525831</v>
      </c>
      <c r="Y25" s="1345">
        <f t="shared" si="18"/>
        <v>7857.002553525831</v>
      </c>
    </row>
    <row r="26" spans="1:25" x14ac:dyDescent="0.2">
      <c r="A26" s="213" t="str">
        <f t="shared" si="8"/>
        <v>CHMI</v>
      </c>
      <c r="B26" s="213"/>
      <c r="C26" s="214">
        <f t="shared" ref="C26:F26" si="35">B111*0.001</f>
        <v>5.091E-3</v>
      </c>
      <c r="D26" s="214">
        <f t="shared" si="35"/>
        <v>4.2000000000000004E-5</v>
      </c>
      <c r="E26" s="214">
        <f t="shared" si="35"/>
        <v>5.1500000000000001E-3</v>
      </c>
      <c r="F26" s="214">
        <f t="shared" si="35"/>
        <v>1.55E-4</v>
      </c>
      <c r="G26" s="214">
        <f t="shared" si="10"/>
        <v>5.8999999999999998E-5</v>
      </c>
      <c r="H26" s="214">
        <f t="shared" si="10"/>
        <v>2.7600000000000004E-4</v>
      </c>
      <c r="I26" s="155">
        <f t="shared" si="25"/>
        <v>0</v>
      </c>
      <c r="J26" s="155">
        <f t="shared" si="26"/>
        <v>0</v>
      </c>
      <c r="K26" s="155">
        <f t="shared" si="27"/>
        <v>3.1E-4</v>
      </c>
      <c r="L26" s="155">
        <f t="shared" si="28"/>
        <v>5.091E-3</v>
      </c>
      <c r="M26" s="156">
        <f t="shared" si="29"/>
        <v>6.0891769789825183</v>
      </c>
      <c r="N26" s="157">
        <f t="shared" si="30"/>
        <v>3.1E-4</v>
      </c>
      <c r="O26" s="155">
        <f t="shared" si="31"/>
        <v>100</v>
      </c>
      <c r="P26" s="250">
        <v>1</v>
      </c>
      <c r="Q26" s="250">
        <v>1000</v>
      </c>
      <c r="R26" s="148">
        <f t="shared" si="12"/>
        <v>6.0891769789825183</v>
      </c>
      <c r="S26" s="148">
        <f t="shared" si="13"/>
        <v>6.0891769789825183</v>
      </c>
      <c r="T26" s="148">
        <f t="shared" si="32"/>
        <v>6.0891769789825183E-2</v>
      </c>
      <c r="U26" s="148">
        <f t="shared" si="33"/>
        <v>60.891769789825183</v>
      </c>
      <c r="V26" s="7">
        <f t="shared" si="15"/>
        <v>1000</v>
      </c>
      <c r="W26" s="7">
        <f t="shared" si="16"/>
        <v>1000000</v>
      </c>
      <c r="X26" s="1345">
        <f t="shared" si="17"/>
        <v>60.891769789825183</v>
      </c>
      <c r="Y26" s="1345">
        <f t="shared" si="18"/>
        <v>60891.769789825186</v>
      </c>
    </row>
    <row r="27" spans="1:25" x14ac:dyDescent="0.2">
      <c r="A27" s="97"/>
      <c r="B27" s="97"/>
      <c r="C27" s="97"/>
      <c r="D27" s="106"/>
      <c r="E27" s="107"/>
      <c r="F27" s="107"/>
      <c r="G27" s="108"/>
      <c r="H27" s="109"/>
      <c r="I27" s="158"/>
      <c r="J27" s="158"/>
      <c r="K27" s="158"/>
      <c r="L27" s="158"/>
      <c r="M27" s="159"/>
      <c r="N27" s="160"/>
      <c r="O27" s="158"/>
      <c r="R27" s="113"/>
      <c r="S27" s="113"/>
      <c r="T27" s="146"/>
      <c r="U27" s="146"/>
    </row>
    <row r="28" spans="1:25" ht="15.75" x14ac:dyDescent="0.2">
      <c r="A28" s="103" t="s">
        <v>83</v>
      </c>
      <c r="B28" s="97"/>
      <c r="C28" s="97"/>
      <c r="D28" s="106"/>
      <c r="E28" s="107"/>
      <c r="F28" s="107"/>
      <c r="G28" s="108"/>
      <c r="H28" s="109"/>
      <c r="I28" s="158"/>
      <c r="J28" s="158"/>
      <c r="K28" s="158"/>
      <c r="L28" s="158"/>
      <c r="M28" s="159"/>
      <c r="N28" s="160"/>
      <c r="O28" s="158"/>
      <c r="R28" s="113"/>
      <c r="S28" s="113"/>
      <c r="T28" s="146"/>
      <c r="U28" s="146"/>
    </row>
    <row r="29" spans="1:25" ht="76.5" x14ac:dyDescent="0.2">
      <c r="A29" s="211" t="s">
        <v>0</v>
      </c>
      <c r="B29" s="212" t="s">
        <v>1</v>
      </c>
      <c r="C29" s="212" t="s">
        <v>133</v>
      </c>
      <c r="D29" s="212" t="s">
        <v>134</v>
      </c>
      <c r="E29" s="212" t="s">
        <v>135</v>
      </c>
      <c r="F29" s="212" t="s">
        <v>136</v>
      </c>
      <c r="G29" s="212" t="s">
        <v>137</v>
      </c>
      <c r="H29" s="212" t="s">
        <v>138</v>
      </c>
      <c r="I29" s="104" t="s">
        <v>8</v>
      </c>
      <c r="J29" s="104" t="s">
        <v>9</v>
      </c>
      <c r="K29" s="104" t="s">
        <v>107</v>
      </c>
      <c r="L29" s="104" t="s">
        <v>14</v>
      </c>
      <c r="M29" s="104" t="s">
        <v>12</v>
      </c>
      <c r="N29" s="104" t="s">
        <v>10</v>
      </c>
      <c r="O29" s="104" t="s">
        <v>100</v>
      </c>
      <c r="P29" s="1222" t="s">
        <v>105</v>
      </c>
      <c r="Q29" s="1222" t="s">
        <v>106</v>
      </c>
      <c r="R29" s="104" t="s">
        <v>70</v>
      </c>
      <c r="S29" s="104" t="s">
        <v>71</v>
      </c>
      <c r="T29" s="147" t="s">
        <v>80</v>
      </c>
      <c r="U29" s="147" t="s">
        <v>81</v>
      </c>
      <c r="V29" s="5" t="s">
        <v>101</v>
      </c>
      <c r="W29" s="5" t="s">
        <v>102</v>
      </c>
      <c r="X29" s="112" t="s">
        <v>103</v>
      </c>
      <c r="Y29" s="112" t="s">
        <v>104</v>
      </c>
    </row>
    <row r="30" spans="1:25" x14ac:dyDescent="0.2">
      <c r="A30" s="213" t="str">
        <f t="shared" ref="A30:A39" si="36">A116</f>
        <v>KRISS</v>
      </c>
      <c r="B30" s="213"/>
      <c r="C30" s="214">
        <f t="shared" ref="C30:F30" si="37">B116*0.001</f>
        <v>4.9100000000000003E-3</v>
      </c>
      <c r="D30" s="214">
        <f t="shared" si="37"/>
        <v>1E-4</v>
      </c>
      <c r="E30" s="214">
        <f t="shared" si="37"/>
        <v>4.8600000000000006E-3</v>
      </c>
      <c r="F30" s="214">
        <f t="shared" si="37"/>
        <v>1E-4</v>
      </c>
      <c r="G30" s="218">
        <f t="shared" ref="G30:H39" si="38">F116*0.001</f>
        <v>-4.2999999999999995E-5</v>
      </c>
      <c r="H30" s="218">
        <f t="shared" si="38"/>
        <v>2.6800000000000001E-4</v>
      </c>
      <c r="I30" s="155">
        <f t="shared" ref="I30" si="39">IF(ABS(G30)&gt;ABS(H30), 1, 0)</f>
        <v>0</v>
      </c>
      <c r="J30" s="155">
        <f t="shared" ref="J30" si="40">I30*ABS(C30-E30)</f>
        <v>0</v>
      </c>
      <c r="K30" s="155">
        <f t="shared" ref="K30" si="41">SQRT(SUMSQ(F30,J30))*2</f>
        <v>2.0000000000000001E-4</v>
      </c>
      <c r="L30" s="155">
        <f>IF(C30&lt;$K$2, C30, $K$1)</f>
        <v>4.9100000000000003E-3</v>
      </c>
      <c r="M30" s="156">
        <f>IF(AND(C30&lt;$K$1,C30&gt; $K$2), K30/L30*100, K30/C30*100)</f>
        <v>4.0733197556008145</v>
      </c>
      <c r="N30" s="157">
        <f t="shared" ref="N30" si="42">M30*L30/100</f>
        <v>2.0000000000000001E-4</v>
      </c>
      <c r="O30" s="155">
        <f t="shared" ref="O30" si="43">N30/(M30*L30/100)*100</f>
        <v>100</v>
      </c>
      <c r="P30" s="250">
        <v>1</v>
      </c>
      <c r="Q30" s="250">
        <v>1000</v>
      </c>
      <c r="R30" s="148">
        <f>IF( IF(P30&lt;L30, M30*L30/P30, M30)&gt;100, "ERROR",  IF(P30&lt;L30, M30*L30/P30, M30))</f>
        <v>4.0733197556008145</v>
      </c>
      <c r="S30" s="148">
        <f>IF(IF(Q30&lt;L30, M30*L30/Q30, M30)&gt;100, "ERROR", IF(Q30&lt;L30, M30*L30/Q30, M30))</f>
        <v>4.0733197556008145</v>
      </c>
      <c r="T30" s="148">
        <f>R30*P30*0.01</f>
        <v>4.0733197556008148E-2</v>
      </c>
      <c r="U30" s="148">
        <f>S30*Q30*0.01</f>
        <v>40.733197556008143</v>
      </c>
      <c r="V30" s="7">
        <f>P30*1000</f>
        <v>1000</v>
      </c>
      <c r="W30" s="7">
        <f>Q30*1000</f>
        <v>1000000</v>
      </c>
      <c r="X30" s="1345">
        <f>T30*1000</f>
        <v>40.73319755600815</v>
      </c>
      <c r="Y30" s="1345">
        <f>U30*1000</f>
        <v>40733.197556008141</v>
      </c>
    </row>
    <row r="31" spans="1:25" x14ac:dyDescent="0.2">
      <c r="A31" s="213" t="str">
        <f t="shared" si="36"/>
        <v>LNE</v>
      </c>
      <c r="B31" s="213"/>
      <c r="C31" s="214">
        <f t="shared" ref="C31:F31" si="44">B117*0.001</f>
        <v>4.9100000000000003E-3</v>
      </c>
      <c r="D31" s="214">
        <f t="shared" si="44"/>
        <v>1E-4</v>
      </c>
      <c r="E31" s="214">
        <f t="shared" si="44"/>
        <v>5.4099999999999999E-3</v>
      </c>
      <c r="F31" s="214">
        <f t="shared" si="44"/>
        <v>1E-4</v>
      </c>
      <c r="G31" s="218">
        <f t="shared" si="38"/>
        <v>5.0799999999999999E-4</v>
      </c>
      <c r="H31" s="218">
        <f t="shared" si="38"/>
        <v>2.8100000000000005E-4</v>
      </c>
      <c r="I31" s="155">
        <f t="shared" ref="I31:I39" si="45">IF(ABS(G31)&gt;ABS(H31), 1, 0)</f>
        <v>1</v>
      </c>
      <c r="J31" s="155">
        <f t="shared" ref="J31:J39" si="46">I31*ABS(C31-E31)</f>
        <v>4.9999999999999958E-4</v>
      </c>
      <c r="K31" s="155">
        <f t="shared" ref="K31:K39" si="47">SQRT(SUMSQ(F31,J31))*2</f>
        <v>1.0198039027185561E-3</v>
      </c>
      <c r="L31" s="155">
        <f t="shared" ref="L31:L39" si="48">IF(C31&lt;$K$2, C31, $K$1)</f>
        <v>4.9100000000000003E-3</v>
      </c>
      <c r="M31" s="156">
        <f t="shared" ref="M31:M39" si="49">IF(AND(C31&lt;$K$1,C31&gt; $K$2), K31/L31*100, K31/C31*100)</f>
        <v>20.769936918911526</v>
      </c>
      <c r="N31" s="157">
        <f t="shared" ref="N31:N39" si="50">M31*L31/100</f>
        <v>1.0198039027185561E-3</v>
      </c>
      <c r="O31" s="155">
        <f t="shared" ref="O31:O39" si="51">N31/(M31*L31/100)*100</f>
        <v>100</v>
      </c>
      <c r="P31" s="250">
        <v>1</v>
      </c>
      <c r="Q31" s="250">
        <v>1000</v>
      </c>
      <c r="R31" s="148">
        <f t="shared" ref="R31:R39" si="52">IF( IF(P31&lt;L31, M31*L31/P31, M31)&gt;100, "ERROR",  IF(P31&lt;L31, M31*L31/P31, M31))</f>
        <v>20.769936918911526</v>
      </c>
      <c r="S31" s="148">
        <f t="shared" ref="S31:S39" si="53">IF(IF(Q31&lt;L31, M31*L31/Q31, M31)&gt;100, "ERROR", IF(Q31&lt;L31, M31*L31/Q31, M31))</f>
        <v>20.769936918911526</v>
      </c>
      <c r="T31" s="148">
        <f t="shared" ref="T31:T39" si="54">R31*P31*0.01</f>
        <v>0.20769936918911527</v>
      </c>
      <c r="U31" s="148">
        <f t="shared" ref="U31:U39" si="55">S31*Q31*0.01</f>
        <v>207.69936918911526</v>
      </c>
      <c r="V31" s="7">
        <f t="shared" ref="V31:V39" si="56">P31*1000</f>
        <v>1000</v>
      </c>
      <c r="W31" s="7">
        <f t="shared" ref="W31:W39" si="57">Q31*1000</f>
        <v>1000000</v>
      </c>
      <c r="X31" s="1345">
        <f t="shared" ref="X31:X39" si="58">T31*1000</f>
        <v>207.69936918911529</v>
      </c>
      <c r="Y31" s="1345">
        <f t="shared" ref="Y31:Y39" si="59">U31*1000</f>
        <v>207699.36918911527</v>
      </c>
    </row>
    <row r="32" spans="1:25" x14ac:dyDescent="0.2">
      <c r="A32" s="213" t="str">
        <f t="shared" si="36"/>
        <v>NIST</v>
      </c>
      <c r="B32" s="213"/>
      <c r="C32" s="214">
        <f t="shared" ref="C32:F32" si="60">B118*0.001</f>
        <v>4.9100000000000003E-3</v>
      </c>
      <c r="D32" s="214">
        <f t="shared" si="60"/>
        <v>1E-4</v>
      </c>
      <c r="E32" s="214">
        <f t="shared" si="60"/>
        <v>5.0300000000000006E-3</v>
      </c>
      <c r="F32" s="214">
        <f t="shared" si="60"/>
        <v>4.0000000000000003E-5</v>
      </c>
      <c r="G32" s="218">
        <f t="shared" si="38"/>
        <v>1.2400000000000001E-4</v>
      </c>
      <c r="H32" s="218">
        <f t="shared" si="38"/>
        <v>2.0699999999999999E-4</v>
      </c>
      <c r="I32" s="155">
        <f t="shared" si="45"/>
        <v>0</v>
      </c>
      <c r="J32" s="155">
        <f t="shared" si="46"/>
        <v>0</v>
      </c>
      <c r="K32" s="155">
        <f t="shared" si="47"/>
        <v>8.0000000000000007E-5</v>
      </c>
      <c r="L32" s="155">
        <f t="shared" si="48"/>
        <v>4.9100000000000003E-3</v>
      </c>
      <c r="M32" s="156">
        <f t="shared" si="49"/>
        <v>1.629327902240326</v>
      </c>
      <c r="N32" s="157">
        <f t="shared" si="50"/>
        <v>8.0000000000000007E-5</v>
      </c>
      <c r="O32" s="155">
        <f t="shared" si="51"/>
        <v>100</v>
      </c>
      <c r="P32" s="250">
        <v>1</v>
      </c>
      <c r="Q32" s="250">
        <v>1000</v>
      </c>
      <c r="R32" s="148">
        <f t="shared" si="52"/>
        <v>1.629327902240326</v>
      </c>
      <c r="S32" s="148">
        <f t="shared" si="53"/>
        <v>1.629327902240326</v>
      </c>
      <c r="T32" s="148">
        <f t="shared" si="54"/>
        <v>1.6293279022403261E-2</v>
      </c>
      <c r="U32" s="148">
        <f t="shared" si="55"/>
        <v>16.293279022403262</v>
      </c>
      <c r="V32" s="7">
        <f t="shared" si="56"/>
        <v>1000</v>
      </c>
      <c r="W32" s="7">
        <f t="shared" si="57"/>
        <v>1000000</v>
      </c>
      <c r="X32" s="1345">
        <f t="shared" si="58"/>
        <v>16.293279022403262</v>
      </c>
      <c r="Y32" s="1345">
        <f t="shared" si="59"/>
        <v>16293.279022403261</v>
      </c>
    </row>
    <row r="33" spans="1:25" x14ac:dyDescent="0.2">
      <c r="A33" s="213" t="str">
        <f t="shared" si="36"/>
        <v>NMISA</v>
      </c>
      <c r="B33" s="213"/>
      <c r="C33" s="214">
        <f t="shared" ref="C33:F33" si="61">B119*0.001</f>
        <v>4.9100000000000003E-3</v>
      </c>
      <c r="D33" s="214">
        <f t="shared" si="61"/>
        <v>1E-4</v>
      </c>
      <c r="E33" s="214">
        <f t="shared" si="61"/>
        <v>5.2100000000000002E-3</v>
      </c>
      <c r="F33" s="214">
        <f t="shared" si="61"/>
        <v>6.0000000000000002E-5</v>
      </c>
      <c r="G33" s="218">
        <f t="shared" si="38"/>
        <v>3.0200000000000002E-4</v>
      </c>
      <c r="H33" s="218">
        <f t="shared" si="38"/>
        <v>2.24E-4</v>
      </c>
      <c r="I33" s="155">
        <f t="shared" si="45"/>
        <v>1</v>
      </c>
      <c r="J33" s="155">
        <f t="shared" si="46"/>
        <v>2.9999999999999992E-4</v>
      </c>
      <c r="K33" s="155">
        <f t="shared" si="47"/>
        <v>6.1188234163113398E-4</v>
      </c>
      <c r="L33" s="155">
        <f t="shared" si="48"/>
        <v>4.9100000000000003E-3</v>
      </c>
      <c r="M33" s="156">
        <f t="shared" si="49"/>
        <v>12.461962151346924</v>
      </c>
      <c r="N33" s="157">
        <f t="shared" si="50"/>
        <v>6.1188234163113398E-4</v>
      </c>
      <c r="O33" s="155">
        <f t="shared" si="51"/>
        <v>100</v>
      </c>
      <c r="P33" s="250">
        <v>1</v>
      </c>
      <c r="Q33" s="250">
        <v>1000</v>
      </c>
      <c r="R33" s="148">
        <f t="shared" si="52"/>
        <v>12.461962151346924</v>
      </c>
      <c r="S33" s="148">
        <f t="shared" si="53"/>
        <v>12.461962151346924</v>
      </c>
      <c r="T33" s="148">
        <f t="shared" si="54"/>
        <v>0.12461962151346924</v>
      </c>
      <c r="U33" s="148">
        <f t="shared" si="55"/>
        <v>124.61962151346926</v>
      </c>
      <c r="V33" s="7">
        <f t="shared" si="56"/>
        <v>1000</v>
      </c>
      <c r="W33" s="7">
        <f t="shared" si="57"/>
        <v>1000000</v>
      </c>
      <c r="X33" s="1345">
        <f t="shared" si="58"/>
        <v>124.61962151346924</v>
      </c>
      <c r="Y33" s="1345">
        <f t="shared" si="59"/>
        <v>124619.62151346926</v>
      </c>
    </row>
    <row r="34" spans="1:25" x14ac:dyDescent="0.2">
      <c r="A34" s="213" t="str">
        <f t="shared" si="36"/>
        <v>NPL</v>
      </c>
      <c r="B34" s="213"/>
      <c r="C34" s="214">
        <f t="shared" ref="C34:F34" si="62">B120*0.001</f>
        <v>4.9100000000000003E-3</v>
      </c>
      <c r="D34" s="214">
        <f t="shared" si="62"/>
        <v>1E-4</v>
      </c>
      <c r="E34" s="214">
        <f t="shared" si="62"/>
        <v>4.9500000000000004E-3</v>
      </c>
      <c r="F34" s="214">
        <f t="shared" si="62"/>
        <v>5.0000000000000002E-5</v>
      </c>
      <c r="G34" s="218">
        <f t="shared" si="38"/>
        <v>4.2000000000000004E-5</v>
      </c>
      <c r="H34" s="218">
        <f t="shared" si="38"/>
        <v>2.1800000000000001E-4</v>
      </c>
      <c r="I34" s="155">
        <f t="shared" si="45"/>
        <v>0</v>
      </c>
      <c r="J34" s="155">
        <f t="shared" si="46"/>
        <v>0</v>
      </c>
      <c r="K34" s="155">
        <f t="shared" si="47"/>
        <v>1E-4</v>
      </c>
      <c r="L34" s="155">
        <f t="shared" si="48"/>
        <v>4.9100000000000003E-3</v>
      </c>
      <c r="M34" s="156">
        <f t="shared" si="49"/>
        <v>2.0366598778004072</v>
      </c>
      <c r="N34" s="157">
        <f t="shared" si="50"/>
        <v>1E-4</v>
      </c>
      <c r="O34" s="155">
        <f t="shared" si="51"/>
        <v>100</v>
      </c>
      <c r="P34" s="250">
        <v>1</v>
      </c>
      <c r="Q34" s="250">
        <v>1000</v>
      </c>
      <c r="R34" s="148">
        <f t="shared" si="52"/>
        <v>2.0366598778004072</v>
      </c>
      <c r="S34" s="148">
        <f t="shared" si="53"/>
        <v>2.0366598778004072</v>
      </c>
      <c r="T34" s="148">
        <f t="shared" si="54"/>
        <v>2.0366598778004074E-2</v>
      </c>
      <c r="U34" s="148">
        <f t="shared" si="55"/>
        <v>20.366598778004072</v>
      </c>
      <c r="V34" s="7">
        <f t="shared" si="56"/>
        <v>1000</v>
      </c>
      <c r="W34" s="7">
        <f t="shared" si="57"/>
        <v>1000000</v>
      </c>
      <c r="X34" s="1345">
        <f t="shared" si="58"/>
        <v>20.366598778004075</v>
      </c>
      <c r="Y34" s="1345">
        <f t="shared" si="59"/>
        <v>20366.59877800407</v>
      </c>
    </row>
    <row r="35" spans="1:25" x14ac:dyDescent="0.2">
      <c r="A35" s="213" t="str">
        <f t="shared" si="36"/>
        <v>VNIIM</v>
      </c>
      <c r="B35" s="213"/>
      <c r="C35" s="214">
        <f t="shared" ref="C35:F35" si="63">B121*0.001</f>
        <v>4.9100000000000003E-3</v>
      </c>
      <c r="D35" s="214">
        <f t="shared" si="63"/>
        <v>1E-4</v>
      </c>
      <c r="E35" s="214">
        <f t="shared" si="63"/>
        <v>5.4099999999999999E-3</v>
      </c>
      <c r="F35" s="214">
        <f t="shared" si="63"/>
        <v>8.0000000000000007E-5</v>
      </c>
      <c r="G35" s="218">
        <f t="shared" si="38"/>
        <v>4.9799999999999996E-4</v>
      </c>
      <c r="H35" s="218">
        <f t="shared" si="38"/>
        <v>2.4699999999999999E-4</v>
      </c>
      <c r="I35" s="155">
        <f t="shared" si="45"/>
        <v>1</v>
      </c>
      <c r="J35" s="155">
        <f t="shared" si="46"/>
        <v>4.9999999999999958E-4</v>
      </c>
      <c r="K35" s="155">
        <f t="shared" si="47"/>
        <v>1.0127191120937722E-3</v>
      </c>
      <c r="L35" s="155">
        <f t="shared" si="48"/>
        <v>4.9100000000000003E-3</v>
      </c>
      <c r="M35" s="156">
        <f t="shared" si="49"/>
        <v>20.625643830830391</v>
      </c>
      <c r="N35" s="157">
        <f t="shared" si="50"/>
        <v>1.0127191120937722E-3</v>
      </c>
      <c r="O35" s="155">
        <f t="shared" si="51"/>
        <v>100</v>
      </c>
      <c r="P35" s="250">
        <v>1</v>
      </c>
      <c r="Q35" s="250">
        <v>1000</v>
      </c>
      <c r="R35" s="148">
        <f t="shared" si="52"/>
        <v>20.625643830830391</v>
      </c>
      <c r="S35" s="148">
        <f t="shared" si="53"/>
        <v>20.625643830830391</v>
      </c>
      <c r="T35" s="148">
        <f t="shared" si="54"/>
        <v>0.20625643830830392</v>
      </c>
      <c r="U35" s="148">
        <f t="shared" si="55"/>
        <v>206.25643830830393</v>
      </c>
      <c r="V35" s="7">
        <f t="shared" si="56"/>
        <v>1000</v>
      </c>
      <c r="W35" s="7">
        <f t="shared" si="57"/>
        <v>1000000</v>
      </c>
      <c r="X35" s="1345">
        <f t="shared" si="58"/>
        <v>206.25643830830393</v>
      </c>
      <c r="Y35" s="1345">
        <f t="shared" si="59"/>
        <v>206256.43830830391</v>
      </c>
    </row>
    <row r="36" spans="1:25" x14ac:dyDescent="0.2">
      <c r="A36" s="213" t="str">
        <f t="shared" si="36"/>
        <v>VSL</v>
      </c>
      <c r="B36" s="213"/>
      <c r="C36" s="214">
        <f t="shared" ref="C36:F36" si="64">B122*0.001</f>
        <v>4.9100000000000003E-3</v>
      </c>
      <c r="D36" s="214">
        <f t="shared" si="64"/>
        <v>1E-4</v>
      </c>
      <c r="E36" s="214">
        <f t="shared" si="64"/>
        <v>4.96E-3</v>
      </c>
      <c r="F36" s="214">
        <f t="shared" si="64"/>
        <v>5.0000000000000002E-5</v>
      </c>
      <c r="G36" s="218">
        <f t="shared" si="38"/>
        <v>5.0000000000000002E-5</v>
      </c>
      <c r="H36" s="218">
        <f t="shared" si="38"/>
        <v>2.1700000000000002E-4</v>
      </c>
      <c r="I36" s="155">
        <f t="shared" si="45"/>
        <v>0</v>
      </c>
      <c r="J36" s="155">
        <f t="shared" si="46"/>
        <v>0</v>
      </c>
      <c r="K36" s="155">
        <f t="shared" si="47"/>
        <v>1E-4</v>
      </c>
      <c r="L36" s="155">
        <f t="shared" si="48"/>
        <v>4.9100000000000003E-3</v>
      </c>
      <c r="M36" s="156">
        <f t="shared" si="49"/>
        <v>2.0366598778004072</v>
      </c>
      <c r="N36" s="157">
        <f t="shared" si="50"/>
        <v>1E-4</v>
      </c>
      <c r="O36" s="155">
        <f t="shared" si="51"/>
        <v>100</v>
      </c>
      <c r="P36" s="250">
        <v>1</v>
      </c>
      <c r="Q36" s="250">
        <v>1000</v>
      </c>
      <c r="R36" s="148">
        <f t="shared" si="52"/>
        <v>2.0366598778004072</v>
      </c>
      <c r="S36" s="148">
        <f t="shared" si="53"/>
        <v>2.0366598778004072</v>
      </c>
      <c r="T36" s="148">
        <f t="shared" si="54"/>
        <v>2.0366598778004074E-2</v>
      </c>
      <c r="U36" s="148">
        <f t="shared" si="55"/>
        <v>20.366598778004072</v>
      </c>
      <c r="V36" s="7">
        <f t="shared" si="56"/>
        <v>1000</v>
      </c>
      <c r="W36" s="7">
        <f t="shared" si="57"/>
        <v>1000000</v>
      </c>
      <c r="X36" s="1345">
        <f t="shared" si="58"/>
        <v>20.366598778004075</v>
      </c>
      <c r="Y36" s="1345">
        <f t="shared" si="59"/>
        <v>20366.59877800407</v>
      </c>
    </row>
    <row r="37" spans="1:25" x14ac:dyDescent="0.2">
      <c r="A37" s="213" t="str">
        <f t="shared" si="36"/>
        <v>METAS</v>
      </c>
      <c r="B37" s="213"/>
      <c r="C37" s="214">
        <f t="shared" ref="C37:F37" si="65">B123*0.001</f>
        <v>4.9509999999999997E-3</v>
      </c>
      <c r="D37" s="214">
        <f t="shared" si="65"/>
        <v>6.5500000000000006E-5</v>
      </c>
      <c r="E37" s="214">
        <f t="shared" si="65"/>
        <v>5.4900000000000001E-3</v>
      </c>
      <c r="F37" s="214">
        <f t="shared" si="65"/>
        <v>7.4999999999999993E-5</v>
      </c>
      <c r="G37" s="218">
        <f t="shared" si="38"/>
        <v>5.3900000000000009E-4</v>
      </c>
      <c r="H37" s="218">
        <f t="shared" si="38"/>
        <v>2.4000000000000001E-4</v>
      </c>
      <c r="I37" s="155">
        <f t="shared" si="45"/>
        <v>1</v>
      </c>
      <c r="J37" s="155">
        <f t="shared" si="46"/>
        <v>5.3900000000000042E-4</v>
      </c>
      <c r="K37" s="155">
        <f t="shared" si="47"/>
        <v>1.0883859609531912E-3</v>
      </c>
      <c r="L37" s="155">
        <f t="shared" si="48"/>
        <v>4.9509999999999997E-3</v>
      </c>
      <c r="M37" s="156">
        <f t="shared" si="49"/>
        <v>21.983154129533254</v>
      </c>
      <c r="N37" s="157">
        <f t="shared" si="50"/>
        <v>1.0883859609531915E-3</v>
      </c>
      <c r="O37" s="155">
        <f t="shared" si="51"/>
        <v>100</v>
      </c>
      <c r="P37" s="250">
        <v>1</v>
      </c>
      <c r="Q37" s="250">
        <v>1000</v>
      </c>
      <c r="R37" s="148">
        <f t="shared" si="52"/>
        <v>21.983154129533254</v>
      </c>
      <c r="S37" s="148">
        <f t="shared" si="53"/>
        <v>21.983154129533254</v>
      </c>
      <c r="T37" s="148">
        <f t="shared" si="54"/>
        <v>0.21983154129533256</v>
      </c>
      <c r="U37" s="148">
        <f t="shared" si="55"/>
        <v>219.83154129533253</v>
      </c>
      <c r="V37" s="7">
        <f t="shared" si="56"/>
        <v>1000</v>
      </c>
      <c r="W37" s="7">
        <f t="shared" si="57"/>
        <v>1000000</v>
      </c>
      <c r="X37" s="1345">
        <f t="shared" si="58"/>
        <v>219.83154129533256</v>
      </c>
      <c r="Y37" s="1345">
        <f t="shared" si="59"/>
        <v>219831.54129533251</v>
      </c>
    </row>
    <row r="38" spans="1:25" x14ac:dyDescent="0.2">
      <c r="A38" s="213" t="str">
        <f t="shared" si="36"/>
        <v>UBA</v>
      </c>
      <c r="B38" s="213"/>
      <c r="C38" s="214">
        <f t="shared" ref="C38:F38" si="66">B124*0.001</f>
        <v>4.9509999999999997E-3</v>
      </c>
      <c r="D38" s="214">
        <f t="shared" si="66"/>
        <v>6.5500000000000006E-5</v>
      </c>
      <c r="E38" s="214">
        <f t="shared" si="66"/>
        <v>4.9199999999999999E-3</v>
      </c>
      <c r="F38" s="214">
        <f t="shared" si="66"/>
        <v>2.5000000000000001E-5</v>
      </c>
      <c r="G38" s="218">
        <f t="shared" si="38"/>
        <v>-3.1000000000000001E-5</v>
      </c>
      <c r="H38" s="218">
        <f t="shared" si="38"/>
        <v>1.4099999999999998E-4</v>
      </c>
      <c r="I38" s="155">
        <f t="shared" si="45"/>
        <v>0</v>
      </c>
      <c r="J38" s="155">
        <f t="shared" si="46"/>
        <v>0</v>
      </c>
      <c r="K38" s="155">
        <f t="shared" si="47"/>
        <v>5.0000000000000002E-5</v>
      </c>
      <c r="L38" s="155">
        <f t="shared" si="48"/>
        <v>4.9509999999999997E-3</v>
      </c>
      <c r="M38" s="156">
        <f t="shared" si="49"/>
        <v>1.0098969905069684</v>
      </c>
      <c r="N38" s="157">
        <f t="shared" si="50"/>
        <v>5.0000000000000002E-5</v>
      </c>
      <c r="O38" s="155">
        <f t="shared" si="51"/>
        <v>100</v>
      </c>
      <c r="P38" s="250">
        <v>1</v>
      </c>
      <c r="Q38" s="250">
        <v>1000</v>
      </c>
      <c r="R38" s="148">
        <f t="shared" si="52"/>
        <v>1.0098969905069684</v>
      </c>
      <c r="S38" s="148">
        <f t="shared" si="53"/>
        <v>1.0098969905069684</v>
      </c>
      <c r="T38" s="148">
        <f t="shared" si="54"/>
        <v>1.0098969905069683E-2</v>
      </c>
      <c r="U38" s="148">
        <f t="shared" si="55"/>
        <v>10.098969905069684</v>
      </c>
      <c r="V38" s="7">
        <f t="shared" si="56"/>
        <v>1000</v>
      </c>
      <c r="W38" s="7">
        <f t="shared" si="57"/>
        <v>1000000</v>
      </c>
      <c r="X38" s="1345">
        <f t="shared" si="58"/>
        <v>10.098969905069684</v>
      </c>
      <c r="Y38" s="1345">
        <f t="shared" si="59"/>
        <v>10098.969905069684</v>
      </c>
    </row>
    <row r="39" spans="1:25" x14ac:dyDescent="0.2">
      <c r="A39" s="213" t="str">
        <f t="shared" si="36"/>
        <v>CHMI</v>
      </c>
      <c r="B39" s="213"/>
      <c r="C39" s="214">
        <f t="shared" ref="C39:F39" si="67">B125*0.001</f>
        <v>4.9509999999999997E-3</v>
      </c>
      <c r="D39" s="214">
        <f t="shared" si="67"/>
        <v>6.5500000000000006E-5</v>
      </c>
      <c r="E39" s="214">
        <f t="shared" si="67"/>
        <v>5.1399999999999996E-3</v>
      </c>
      <c r="F39" s="214">
        <f t="shared" si="67"/>
        <v>1.2E-4</v>
      </c>
      <c r="G39" s="218">
        <f t="shared" si="38"/>
        <v>1.8900000000000001E-4</v>
      </c>
      <c r="H39" s="218">
        <f t="shared" si="38"/>
        <v>2.5399999999999999E-4</v>
      </c>
      <c r="I39" s="155">
        <f t="shared" si="45"/>
        <v>0</v>
      </c>
      <c r="J39" s="155">
        <f t="shared" si="46"/>
        <v>0</v>
      </c>
      <c r="K39" s="155">
        <f t="shared" si="47"/>
        <v>2.4000000000000001E-4</v>
      </c>
      <c r="L39" s="155">
        <f t="shared" si="48"/>
        <v>4.9509999999999997E-3</v>
      </c>
      <c r="M39" s="156">
        <f t="shared" si="49"/>
        <v>4.8475055544334484</v>
      </c>
      <c r="N39" s="157">
        <f t="shared" si="50"/>
        <v>2.4000000000000001E-4</v>
      </c>
      <c r="O39" s="155">
        <f t="shared" si="51"/>
        <v>100</v>
      </c>
      <c r="P39" s="250">
        <v>1</v>
      </c>
      <c r="Q39" s="250">
        <v>1000</v>
      </c>
      <c r="R39" s="148">
        <f t="shared" si="52"/>
        <v>4.8475055544334484</v>
      </c>
      <c r="S39" s="148">
        <f t="shared" si="53"/>
        <v>4.8475055544334484</v>
      </c>
      <c r="T39" s="148">
        <f t="shared" si="54"/>
        <v>4.8475055544334483E-2</v>
      </c>
      <c r="U39" s="148">
        <f t="shared" si="55"/>
        <v>48.475055544334481</v>
      </c>
      <c r="V39" s="7">
        <f t="shared" si="56"/>
        <v>1000</v>
      </c>
      <c r="W39" s="7">
        <f t="shared" si="57"/>
        <v>1000000</v>
      </c>
      <c r="X39" s="1345">
        <f t="shared" si="58"/>
        <v>48.475055544334481</v>
      </c>
      <c r="Y39" s="1345">
        <f t="shared" si="59"/>
        <v>48475.055544334478</v>
      </c>
    </row>
    <row r="40" spans="1:25" x14ac:dyDescent="0.2">
      <c r="A40" s="97"/>
      <c r="B40" s="97"/>
      <c r="C40" s="97"/>
      <c r="D40" s="97"/>
      <c r="E40" s="97"/>
      <c r="F40" s="97"/>
      <c r="G40" s="97"/>
      <c r="H40" s="97"/>
      <c r="I40" s="113"/>
      <c r="J40" s="113"/>
      <c r="K40" s="113"/>
      <c r="L40" s="113"/>
      <c r="M40" s="113"/>
      <c r="N40" s="113"/>
      <c r="O40" s="113"/>
      <c r="R40" s="113"/>
      <c r="S40" s="113"/>
      <c r="T40" s="146"/>
      <c r="U40" s="146"/>
    </row>
    <row r="41" spans="1:25" ht="15.75" x14ac:dyDescent="0.2">
      <c r="A41" s="103" t="s">
        <v>86</v>
      </c>
      <c r="B41" s="97"/>
      <c r="C41" s="97"/>
      <c r="D41" s="106"/>
      <c r="E41" s="107"/>
      <c r="F41" s="107"/>
      <c r="G41" s="108"/>
      <c r="H41" s="109"/>
      <c r="I41" s="158"/>
      <c r="J41" s="158"/>
      <c r="K41" s="158"/>
      <c r="L41" s="158"/>
      <c r="M41" s="159"/>
      <c r="N41" s="160"/>
      <c r="O41" s="158"/>
      <c r="R41" s="113"/>
      <c r="S41" s="113"/>
      <c r="T41" s="146"/>
      <c r="U41" s="146"/>
    </row>
    <row r="42" spans="1:25" ht="76.5" x14ac:dyDescent="0.2">
      <c r="A42" s="211" t="s">
        <v>0</v>
      </c>
      <c r="B42" s="212" t="s">
        <v>1</v>
      </c>
      <c r="C42" s="212" t="s">
        <v>133</v>
      </c>
      <c r="D42" s="212" t="s">
        <v>134</v>
      </c>
      <c r="E42" s="212" t="s">
        <v>135</v>
      </c>
      <c r="F42" s="212" t="s">
        <v>136</v>
      </c>
      <c r="G42" s="212" t="s">
        <v>137</v>
      </c>
      <c r="H42" s="212" t="s">
        <v>138</v>
      </c>
      <c r="I42" s="104" t="s">
        <v>8</v>
      </c>
      <c r="J42" s="104" t="s">
        <v>9</v>
      </c>
      <c r="K42" s="104" t="s">
        <v>107</v>
      </c>
      <c r="L42" s="104" t="s">
        <v>14</v>
      </c>
      <c r="M42" s="104" t="s">
        <v>12</v>
      </c>
      <c r="N42" s="104" t="s">
        <v>10</v>
      </c>
      <c r="O42" s="104" t="s">
        <v>100</v>
      </c>
      <c r="P42" s="1222" t="s">
        <v>105</v>
      </c>
      <c r="Q42" s="1222" t="s">
        <v>106</v>
      </c>
      <c r="R42" s="104" t="s">
        <v>70</v>
      </c>
      <c r="S42" s="104" t="s">
        <v>71</v>
      </c>
      <c r="T42" s="147" t="s">
        <v>80</v>
      </c>
      <c r="U42" s="147" t="s">
        <v>81</v>
      </c>
      <c r="V42" s="5" t="s">
        <v>101</v>
      </c>
      <c r="W42" s="5" t="s">
        <v>102</v>
      </c>
      <c r="X42" s="112" t="s">
        <v>103</v>
      </c>
      <c r="Y42" s="112" t="s">
        <v>104</v>
      </c>
    </row>
    <row r="43" spans="1:25" x14ac:dyDescent="0.2">
      <c r="A43" s="213" t="str">
        <f>A130</f>
        <v>KRISS</v>
      </c>
      <c r="B43" s="213"/>
      <c r="C43" s="214">
        <f t="shared" ref="C43:F43" si="68">B130*0.001</f>
        <v>4.6600000000000001E-3</v>
      </c>
      <c r="D43" s="214">
        <f t="shared" si="68"/>
        <v>8.9999999999999992E-5</v>
      </c>
      <c r="E43" s="214">
        <f t="shared" si="68"/>
        <v>4.5199999999999997E-3</v>
      </c>
      <c r="F43" s="214">
        <f t="shared" si="68"/>
        <v>8.0000000000000007E-5</v>
      </c>
      <c r="G43" s="214">
        <f>F130*0.001</f>
        <v>-1.3300000000000001E-4</v>
      </c>
      <c r="H43" s="214">
        <f>G130*0.001</f>
        <v>2.43E-4</v>
      </c>
      <c r="I43" s="155">
        <f t="shared" ref="I43" si="69">IF(ABS(G43)&gt;ABS(H43), 1, 0)</f>
        <v>0</v>
      </c>
      <c r="J43" s="155">
        <f t="shared" ref="J43" si="70">I43*ABS(C43-E43)</f>
        <v>0</v>
      </c>
      <c r="K43" s="155">
        <f t="shared" ref="K43" si="71">SQRT(SUMSQ(F43,J43))*2</f>
        <v>1.6000000000000001E-4</v>
      </c>
      <c r="L43" s="155">
        <f>IF(C43&lt;$K$2, C43, $K$1)</f>
        <v>4.6600000000000001E-3</v>
      </c>
      <c r="M43" s="156">
        <f>IF(AND(C43&lt;$K$1,C43&gt; $K$2), K43/L43*100, K43/C43*100)</f>
        <v>3.4334763948497855</v>
      </c>
      <c r="N43" s="157">
        <f t="shared" ref="N43" si="72">M43*L43/100</f>
        <v>1.6000000000000001E-4</v>
      </c>
      <c r="O43" s="155">
        <f t="shared" ref="O43" si="73">N43/(M43*L43/100)*100</f>
        <v>100</v>
      </c>
      <c r="P43" s="250">
        <v>1</v>
      </c>
      <c r="Q43" s="250">
        <v>1000</v>
      </c>
      <c r="R43" s="148">
        <f t="shared" ref="R43:R52" si="74">IF( IF(P43&lt;L43, M43*L43/P43, M43)&gt;100, "ERROR",  IF(P43&lt;L43, M43*L43/P43, M43))</f>
        <v>3.4334763948497855</v>
      </c>
      <c r="S43" s="148">
        <f t="shared" ref="S43:S52" si="75">IF(IF(Q43&lt;L43, M43*L43/Q43, M43)&gt;100, "ERROR", IF(Q43&lt;L43, M43*L43/Q43, M43))</f>
        <v>3.4334763948497855</v>
      </c>
      <c r="T43" s="148">
        <f>R43*P43*0.01</f>
        <v>3.4334763948497854E-2</v>
      </c>
      <c r="U43" s="148">
        <f>S43*Q43*0.01</f>
        <v>34.334763948497859</v>
      </c>
      <c r="V43" s="7">
        <f>P43*1000</f>
        <v>1000</v>
      </c>
      <c r="W43" s="7">
        <f>Q43*1000</f>
        <v>1000000</v>
      </c>
      <c r="X43" s="1345">
        <f>T43*1000</f>
        <v>34.334763948497852</v>
      </c>
      <c r="Y43" s="1345">
        <f>U43*1000</f>
        <v>34334.763948497857</v>
      </c>
    </row>
    <row r="44" spans="1:25" x14ac:dyDescent="0.2">
      <c r="A44" s="213" t="str">
        <f t="shared" ref="A44:A52" si="76">A131</f>
        <v>LNE</v>
      </c>
      <c r="B44" s="213"/>
      <c r="C44" s="214">
        <f t="shared" ref="C44:H44" si="77">B131*0.001</f>
        <v>4.6600000000000001E-3</v>
      </c>
      <c r="D44" s="214">
        <f t="shared" si="77"/>
        <v>8.9999999999999992E-5</v>
      </c>
      <c r="E44" s="214">
        <f t="shared" si="77"/>
        <v>5.1700000000000001E-3</v>
      </c>
      <c r="F44" s="214">
        <f t="shared" si="77"/>
        <v>1.1E-4</v>
      </c>
      <c r="G44" s="214">
        <f t="shared" si="77"/>
        <v>5.1500000000000005E-4</v>
      </c>
      <c r="H44" s="214">
        <f t="shared" si="77"/>
        <v>2.7700000000000001E-4</v>
      </c>
      <c r="I44" s="155">
        <f t="shared" ref="I44:I52" si="78">IF(ABS(G44)&gt;ABS(H44), 1, 0)</f>
        <v>1</v>
      </c>
      <c r="J44" s="155">
        <f t="shared" ref="J44:J52" si="79">I44*ABS(C44-E44)</f>
        <v>5.1000000000000004E-4</v>
      </c>
      <c r="K44" s="155">
        <f t="shared" ref="K44:K52" si="80">SQRT(SUMSQ(F44,J44))*2</f>
        <v>1.0434557968596466E-3</v>
      </c>
      <c r="L44" s="155">
        <f t="shared" ref="L44:L52" si="81">IF(C44&lt;$K$2, C44, $K$1)</f>
        <v>4.6600000000000001E-3</v>
      </c>
      <c r="M44" s="156">
        <f t="shared" ref="M44:M52" si="82">IF(AND(C44&lt;$K$1,C44&gt; $K$2), K44/L44*100, K44/C44*100)</f>
        <v>22.391755297417308</v>
      </c>
      <c r="N44" s="157">
        <f t="shared" ref="N44:N52" si="83">M44*L44/100</f>
        <v>1.0434557968596466E-3</v>
      </c>
      <c r="O44" s="155">
        <f t="shared" ref="O44:O52" si="84">N44/(M44*L44/100)*100</f>
        <v>100</v>
      </c>
      <c r="P44" s="250">
        <v>1</v>
      </c>
      <c r="Q44" s="250">
        <v>1000</v>
      </c>
      <c r="R44" s="148">
        <f t="shared" si="74"/>
        <v>22.391755297417308</v>
      </c>
      <c r="S44" s="148">
        <f t="shared" si="75"/>
        <v>22.391755297417308</v>
      </c>
      <c r="T44" s="148">
        <f t="shared" ref="T44:T52" si="85">R44*P44*0.01</f>
        <v>0.2239175529741731</v>
      </c>
      <c r="U44" s="148">
        <f t="shared" ref="U44:U52" si="86">S44*Q44*0.01</f>
        <v>223.91755297417308</v>
      </c>
      <c r="V44" s="7">
        <f t="shared" ref="V44:V52" si="87">P44*1000</f>
        <v>1000</v>
      </c>
      <c r="W44" s="7">
        <f t="shared" ref="W44:W52" si="88">Q44*1000</f>
        <v>1000000</v>
      </c>
      <c r="X44" s="1345">
        <f t="shared" ref="X44:X52" si="89">T44*1000</f>
        <v>223.91755297417311</v>
      </c>
      <c r="Y44" s="1345">
        <f t="shared" ref="Y44:Y52" si="90">U44*1000</f>
        <v>223917.55297417307</v>
      </c>
    </row>
    <row r="45" spans="1:25" x14ac:dyDescent="0.2">
      <c r="A45" s="213" t="str">
        <f t="shared" si="76"/>
        <v>NIST</v>
      </c>
      <c r="B45" s="213"/>
      <c r="C45" s="214">
        <f t="shared" ref="C45:H45" si="91">B132*0.001</f>
        <v>4.6600000000000001E-3</v>
      </c>
      <c r="D45" s="214">
        <f t="shared" si="91"/>
        <v>8.9999999999999992E-5</v>
      </c>
      <c r="E45" s="214">
        <f t="shared" si="91"/>
        <v>4.7599999999999995E-3</v>
      </c>
      <c r="F45" s="214">
        <f t="shared" si="91"/>
        <v>6.0000000000000002E-5</v>
      </c>
      <c r="G45" s="214">
        <f t="shared" si="91"/>
        <v>1.08E-4</v>
      </c>
      <c r="H45" s="214">
        <f t="shared" si="91"/>
        <v>2.14E-4</v>
      </c>
      <c r="I45" s="155">
        <f t="shared" si="78"/>
        <v>0</v>
      </c>
      <c r="J45" s="155">
        <f t="shared" si="79"/>
        <v>0</v>
      </c>
      <c r="K45" s="155">
        <f t="shared" si="80"/>
        <v>1.2E-4</v>
      </c>
      <c r="L45" s="155">
        <f t="shared" si="81"/>
        <v>4.6600000000000001E-3</v>
      </c>
      <c r="M45" s="156">
        <f t="shared" si="82"/>
        <v>2.5751072961373391</v>
      </c>
      <c r="N45" s="157">
        <f t="shared" si="83"/>
        <v>1.2E-4</v>
      </c>
      <c r="O45" s="155">
        <f t="shared" si="84"/>
        <v>100</v>
      </c>
      <c r="P45" s="250">
        <v>1</v>
      </c>
      <c r="Q45" s="250">
        <v>1000</v>
      </c>
      <c r="R45" s="148">
        <f t="shared" si="74"/>
        <v>2.5751072961373391</v>
      </c>
      <c r="S45" s="148">
        <f t="shared" si="75"/>
        <v>2.5751072961373391</v>
      </c>
      <c r="T45" s="148">
        <f t="shared" si="85"/>
        <v>2.575107296137339E-2</v>
      </c>
      <c r="U45" s="148">
        <f t="shared" si="86"/>
        <v>25.751072961373392</v>
      </c>
      <c r="V45" s="7">
        <f t="shared" si="87"/>
        <v>1000</v>
      </c>
      <c r="W45" s="7">
        <f t="shared" si="88"/>
        <v>1000000</v>
      </c>
      <c r="X45" s="1345">
        <f t="shared" si="89"/>
        <v>25.751072961373392</v>
      </c>
      <c r="Y45" s="1345">
        <f t="shared" si="90"/>
        <v>25751.072961373393</v>
      </c>
    </row>
    <row r="46" spans="1:25" x14ac:dyDescent="0.2">
      <c r="A46" s="213" t="str">
        <f t="shared" si="76"/>
        <v>NMISA</v>
      </c>
      <c r="B46" s="213"/>
      <c r="C46" s="214">
        <f t="shared" ref="C46:H46" si="92">B133*0.001</f>
        <v>4.6600000000000001E-3</v>
      </c>
      <c r="D46" s="214">
        <f t="shared" si="92"/>
        <v>8.9999999999999992E-5</v>
      </c>
      <c r="E46" s="214">
        <f t="shared" si="92"/>
        <v>5.0199999999999993E-3</v>
      </c>
      <c r="F46" s="214">
        <f t="shared" si="92"/>
        <v>5.0000000000000002E-5</v>
      </c>
      <c r="G46" s="214">
        <f t="shared" si="92"/>
        <v>3.6200000000000002E-4</v>
      </c>
      <c r="H46" s="214">
        <f t="shared" si="92"/>
        <v>2.0599999999999999E-4</v>
      </c>
      <c r="I46" s="155">
        <f t="shared" si="78"/>
        <v>1</v>
      </c>
      <c r="J46" s="155">
        <f t="shared" si="79"/>
        <v>3.5999999999999921E-4</v>
      </c>
      <c r="K46" s="155">
        <f t="shared" si="80"/>
        <v>7.269112738154484E-4</v>
      </c>
      <c r="L46" s="155">
        <f t="shared" si="81"/>
        <v>4.6600000000000001E-3</v>
      </c>
      <c r="M46" s="156">
        <f t="shared" si="82"/>
        <v>15.598954373722068</v>
      </c>
      <c r="N46" s="157">
        <f t="shared" si="83"/>
        <v>7.2691127381544829E-4</v>
      </c>
      <c r="O46" s="155">
        <f t="shared" si="84"/>
        <v>100</v>
      </c>
      <c r="P46" s="250">
        <v>1</v>
      </c>
      <c r="Q46" s="250">
        <v>1000</v>
      </c>
      <c r="R46" s="148">
        <f t="shared" si="74"/>
        <v>15.598954373722068</v>
      </c>
      <c r="S46" s="148">
        <f t="shared" si="75"/>
        <v>15.598954373722068</v>
      </c>
      <c r="T46" s="148">
        <f t="shared" si="85"/>
        <v>0.15598954373722068</v>
      </c>
      <c r="U46" s="148">
        <f t="shared" si="86"/>
        <v>155.98954373722069</v>
      </c>
      <c r="V46" s="7">
        <f t="shared" si="87"/>
        <v>1000</v>
      </c>
      <c r="W46" s="7">
        <f t="shared" si="88"/>
        <v>1000000</v>
      </c>
      <c r="X46" s="1345">
        <f t="shared" si="89"/>
        <v>155.98954373722069</v>
      </c>
      <c r="Y46" s="1345">
        <f t="shared" si="90"/>
        <v>155989.54373722069</v>
      </c>
    </row>
    <row r="47" spans="1:25" x14ac:dyDescent="0.2">
      <c r="A47" s="213" t="str">
        <f t="shared" si="76"/>
        <v>NPL</v>
      </c>
      <c r="B47" s="213"/>
      <c r="C47" s="214">
        <f t="shared" ref="C47:H47" si="93">B134*0.001</f>
        <v>4.6600000000000001E-3</v>
      </c>
      <c r="D47" s="214">
        <f t="shared" si="93"/>
        <v>8.9999999999999992E-5</v>
      </c>
      <c r="E47" s="214">
        <f t="shared" si="93"/>
        <v>4.6600000000000001E-3</v>
      </c>
      <c r="F47" s="214">
        <f t="shared" si="93"/>
        <v>5.0000000000000002E-5</v>
      </c>
      <c r="G47" s="214">
        <f t="shared" si="93"/>
        <v>9.9999999999999995E-7</v>
      </c>
      <c r="H47" s="214">
        <f t="shared" si="93"/>
        <v>2.05E-4</v>
      </c>
      <c r="I47" s="155">
        <f t="shared" si="78"/>
        <v>0</v>
      </c>
      <c r="J47" s="155">
        <f t="shared" si="79"/>
        <v>0</v>
      </c>
      <c r="K47" s="155">
        <f t="shared" si="80"/>
        <v>1E-4</v>
      </c>
      <c r="L47" s="155">
        <f t="shared" si="81"/>
        <v>4.6600000000000001E-3</v>
      </c>
      <c r="M47" s="156">
        <f t="shared" si="82"/>
        <v>2.1459227467811157</v>
      </c>
      <c r="N47" s="157">
        <f t="shared" si="83"/>
        <v>1E-4</v>
      </c>
      <c r="O47" s="155">
        <f t="shared" si="84"/>
        <v>100</v>
      </c>
      <c r="P47" s="250">
        <v>1</v>
      </c>
      <c r="Q47" s="250">
        <v>1000</v>
      </c>
      <c r="R47" s="148">
        <f t="shared" si="74"/>
        <v>2.1459227467811157</v>
      </c>
      <c r="S47" s="148">
        <f t="shared" si="75"/>
        <v>2.1459227467811157</v>
      </c>
      <c r="T47" s="148">
        <f t="shared" si="85"/>
        <v>2.1459227467811159E-2</v>
      </c>
      <c r="U47" s="148">
        <f t="shared" si="86"/>
        <v>21.459227467811157</v>
      </c>
      <c r="V47" s="7">
        <f t="shared" si="87"/>
        <v>1000</v>
      </c>
      <c r="W47" s="7">
        <f t="shared" si="88"/>
        <v>1000000</v>
      </c>
      <c r="X47" s="1345">
        <f t="shared" si="89"/>
        <v>21.459227467811157</v>
      </c>
      <c r="Y47" s="1345">
        <f t="shared" si="90"/>
        <v>21459.227467811157</v>
      </c>
    </row>
    <row r="48" spans="1:25" x14ac:dyDescent="0.2">
      <c r="A48" s="213" t="str">
        <f t="shared" si="76"/>
        <v>VNIIM</v>
      </c>
      <c r="B48" s="213"/>
      <c r="C48" s="214">
        <f t="shared" ref="C48:H48" si="94">B135*0.001</f>
        <v>4.6600000000000001E-3</v>
      </c>
      <c r="D48" s="214">
        <f t="shared" si="94"/>
        <v>8.9999999999999992E-5</v>
      </c>
      <c r="E48" s="214">
        <f t="shared" si="94"/>
        <v>5.2100000000000002E-3</v>
      </c>
      <c r="F48" s="214">
        <f t="shared" si="94"/>
        <v>1.1E-4</v>
      </c>
      <c r="G48" s="214">
        <f t="shared" si="94"/>
        <v>5.5500000000000005E-4</v>
      </c>
      <c r="H48" s="214">
        <f t="shared" si="94"/>
        <v>2.8399999999999996E-4</v>
      </c>
      <c r="I48" s="155">
        <f t="shared" si="78"/>
        <v>1</v>
      </c>
      <c r="J48" s="155">
        <f t="shared" si="79"/>
        <v>5.5000000000000014E-4</v>
      </c>
      <c r="K48" s="155">
        <f t="shared" si="80"/>
        <v>1.121784292990413E-3</v>
      </c>
      <c r="L48" s="155">
        <f t="shared" si="81"/>
        <v>4.6600000000000001E-3</v>
      </c>
      <c r="M48" s="156">
        <f t="shared" si="82"/>
        <v>24.072624313098991</v>
      </c>
      <c r="N48" s="157">
        <f t="shared" si="83"/>
        <v>1.121784292990413E-3</v>
      </c>
      <c r="O48" s="155">
        <f t="shared" si="84"/>
        <v>100</v>
      </c>
      <c r="P48" s="250">
        <v>1</v>
      </c>
      <c r="Q48" s="250">
        <v>1000</v>
      </c>
      <c r="R48" s="148">
        <f t="shared" si="74"/>
        <v>24.072624313098991</v>
      </c>
      <c r="S48" s="148">
        <f t="shared" si="75"/>
        <v>24.072624313098991</v>
      </c>
      <c r="T48" s="148">
        <f t="shared" si="85"/>
        <v>0.24072624313098992</v>
      </c>
      <c r="U48" s="148">
        <f t="shared" si="86"/>
        <v>240.7262431309899</v>
      </c>
      <c r="V48" s="7">
        <f t="shared" si="87"/>
        <v>1000</v>
      </c>
      <c r="W48" s="7">
        <f t="shared" si="88"/>
        <v>1000000</v>
      </c>
      <c r="X48" s="1345">
        <f t="shared" si="89"/>
        <v>240.72624313098993</v>
      </c>
      <c r="Y48" s="1345">
        <f t="shared" si="90"/>
        <v>240726.2431309899</v>
      </c>
    </row>
    <row r="49" spans="1:25" x14ac:dyDescent="0.2">
      <c r="A49" s="213" t="str">
        <f t="shared" si="76"/>
        <v>VSL</v>
      </c>
      <c r="B49" s="213"/>
      <c r="C49" s="214">
        <f t="shared" ref="C49:H49" si="95">B136*0.001</f>
        <v>4.6600000000000001E-3</v>
      </c>
      <c r="D49" s="214">
        <f t="shared" si="95"/>
        <v>8.9999999999999992E-5</v>
      </c>
      <c r="E49" s="214">
        <f t="shared" si="95"/>
        <v>4.7499999999999999E-3</v>
      </c>
      <c r="F49" s="214">
        <f t="shared" si="95"/>
        <v>7.0000000000000007E-5</v>
      </c>
      <c r="G49" s="214">
        <f t="shared" si="95"/>
        <v>9.6000000000000002E-5</v>
      </c>
      <c r="H49" s="214">
        <f t="shared" si="95"/>
        <v>2.31E-4</v>
      </c>
      <c r="I49" s="155">
        <f t="shared" si="78"/>
        <v>0</v>
      </c>
      <c r="J49" s="155">
        <f t="shared" si="79"/>
        <v>0</v>
      </c>
      <c r="K49" s="155">
        <f t="shared" si="80"/>
        <v>1.4000000000000001E-4</v>
      </c>
      <c r="L49" s="155">
        <f t="shared" si="81"/>
        <v>4.6600000000000001E-3</v>
      </c>
      <c r="M49" s="156">
        <f t="shared" si="82"/>
        <v>3.0042918454935625</v>
      </c>
      <c r="N49" s="157">
        <f t="shared" si="83"/>
        <v>1.4000000000000001E-4</v>
      </c>
      <c r="O49" s="155">
        <f t="shared" si="84"/>
        <v>100</v>
      </c>
      <c r="P49" s="250">
        <v>1</v>
      </c>
      <c r="Q49" s="250">
        <v>1000</v>
      </c>
      <c r="R49" s="148">
        <f t="shared" si="74"/>
        <v>3.0042918454935625</v>
      </c>
      <c r="S49" s="148">
        <f t="shared" si="75"/>
        <v>3.0042918454935625</v>
      </c>
      <c r="T49" s="148">
        <f t="shared" si="85"/>
        <v>3.0042918454935626E-2</v>
      </c>
      <c r="U49" s="148">
        <f t="shared" si="86"/>
        <v>30.042918454935627</v>
      </c>
      <c r="V49" s="7">
        <f t="shared" si="87"/>
        <v>1000</v>
      </c>
      <c r="W49" s="7">
        <f t="shared" si="88"/>
        <v>1000000</v>
      </c>
      <c r="X49" s="1345">
        <f t="shared" si="89"/>
        <v>30.042918454935627</v>
      </c>
      <c r="Y49" s="1345">
        <f t="shared" si="90"/>
        <v>30042.918454935629</v>
      </c>
    </row>
    <row r="50" spans="1:25" x14ac:dyDescent="0.2">
      <c r="A50" s="213" t="str">
        <f t="shared" si="76"/>
        <v>METAS</v>
      </c>
      <c r="B50" s="213"/>
      <c r="C50" s="214">
        <f t="shared" ref="C50:H50" si="96">B137*0.001</f>
        <v>4.6280000000000002E-3</v>
      </c>
      <c r="D50" s="214">
        <f t="shared" si="96"/>
        <v>1.15E-4</v>
      </c>
      <c r="E50" s="214">
        <f t="shared" si="96"/>
        <v>5.1500000000000001E-3</v>
      </c>
      <c r="F50" s="214">
        <f t="shared" si="96"/>
        <v>7.0000000000000007E-5</v>
      </c>
      <c r="G50" s="214">
        <f t="shared" si="96"/>
        <v>5.22E-4</v>
      </c>
      <c r="H50" s="214">
        <f t="shared" si="96"/>
        <v>4.1799999999999997E-4</v>
      </c>
      <c r="I50" s="155">
        <f t="shared" si="78"/>
        <v>1</v>
      </c>
      <c r="J50" s="155">
        <f t="shared" si="79"/>
        <v>5.2199999999999989E-4</v>
      </c>
      <c r="K50" s="155">
        <f t="shared" si="80"/>
        <v>1.0533451476130698E-3</v>
      </c>
      <c r="L50" s="155">
        <f t="shared" si="81"/>
        <v>4.6280000000000002E-3</v>
      </c>
      <c r="M50" s="156">
        <f t="shared" si="82"/>
        <v>22.760266802356735</v>
      </c>
      <c r="N50" s="157">
        <f t="shared" si="83"/>
        <v>1.0533451476130698E-3</v>
      </c>
      <c r="O50" s="155">
        <f t="shared" si="84"/>
        <v>100</v>
      </c>
      <c r="P50" s="250">
        <v>1</v>
      </c>
      <c r="Q50" s="250">
        <v>1000</v>
      </c>
      <c r="R50" s="148">
        <f t="shared" si="74"/>
        <v>22.760266802356735</v>
      </c>
      <c r="S50" s="148">
        <f t="shared" si="75"/>
        <v>22.760266802356735</v>
      </c>
      <c r="T50" s="148">
        <f t="shared" si="85"/>
        <v>0.22760266802356735</v>
      </c>
      <c r="U50" s="148">
        <f t="shared" si="86"/>
        <v>227.60266802356736</v>
      </c>
      <c r="V50" s="7">
        <f t="shared" si="87"/>
        <v>1000</v>
      </c>
      <c r="W50" s="7">
        <f t="shared" si="88"/>
        <v>1000000</v>
      </c>
      <c r="X50" s="1345">
        <f t="shared" si="89"/>
        <v>227.60266802356736</v>
      </c>
      <c r="Y50" s="1345">
        <f t="shared" si="90"/>
        <v>227602.66802356736</v>
      </c>
    </row>
    <row r="51" spans="1:25" x14ac:dyDescent="0.2">
      <c r="A51" s="213" t="str">
        <f t="shared" si="76"/>
        <v>UBA</v>
      </c>
      <c r="B51" s="213"/>
      <c r="C51" s="214">
        <f t="shared" ref="C51:H51" si="97">B138*0.001</f>
        <v>4.6280000000000002E-3</v>
      </c>
      <c r="D51" s="214">
        <f t="shared" si="97"/>
        <v>1.15E-4</v>
      </c>
      <c r="E51" s="214">
        <f t="shared" si="97"/>
        <v>4.4800000000000005E-3</v>
      </c>
      <c r="F51" s="214">
        <f t="shared" si="97"/>
        <v>2.0000000000000002E-5</v>
      </c>
      <c r="G51" s="214">
        <f t="shared" si="97"/>
        <v>-1.4799999999999999E-4</v>
      </c>
      <c r="H51" s="214">
        <f t="shared" si="97"/>
        <v>2.8800000000000001E-4</v>
      </c>
      <c r="I51" s="155">
        <f t="shared" si="78"/>
        <v>0</v>
      </c>
      <c r="J51" s="155">
        <f t="shared" si="79"/>
        <v>0</v>
      </c>
      <c r="K51" s="155">
        <f t="shared" si="80"/>
        <v>4.0000000000000003E-5</v>
      </c>
      <c r="L51" s="155">
        <f t="shared" si="81"/>
        <v>4.6280000000000002E-3</v>
      </c>
      <c r="M51" s="156">
        <f t="shared" si="82"/>
        <v>0.86430423509075205</v>
      </c>
      <c r="N51" s="157">
        <f t="shared" si="83"/>
        <v>4.000000000000001E-5</v>
      </c>
      <c r="O51" s="155">
        <f t="shared" si="84"/>
        <v>100</v>
      </c>
      <c r="P51" s="250">
        <v>1</v>
      </c>
      <c r="Q51" s="250">
        <v>1000</v>
      </c>
      <c r="R51" s="148">
        <f t="shared" si="74"/>
        <v>0.86430423509075205</v>
      </c>
      <c r="S51" s="148">
        <f t="shared" si="75"/>
        <v>0.86430423509075205</v>
      </c>
      <c r="T51" s="148">
        <f t="shared" si="85"/>
        <v>8.6430423509075201E-3</v>
      </c>
      <c r="U51" s="148">
        <f t="shared" si="86"/>
        <v>8.6430423509075212</v>
      </c>
      <c r="V51" s="7">
        <f t="shared" si="87"/>
        <v>1000</v>
      </c>
      <c r="W51" s="7">
        <f t="shared" si="88"/>
        <v>1000000</v>
      </c>
      <c r="X51" s="1345">
        <f t="shared" si="89"/>
        <v>8.6430423509075194</v>
      </c>
      <c r="Y51" s="1345">
        <f t="shared" si="90"/>
        <v>8643.0423509075208</v>
      </c>
    </row>
    <row r="52" spans="1:25" x14ac:dyDescent="0.2">
      <c r="A52" s="213" t="str">
        <f t="shared" si="76"/>
        <v>CHMI</v>
      </c>
      <c r="B52" s="213"/>
      <c r="C52" s="214">
        <f t="shared" ref="C52:H52" si="98">B139*0.001</f>
        <v>4.6280000000000002E-3</v>
      </c>
      <c r="D52" s="214">
        <f t="shared" si="98"/>
        <v>1.15E-4</v>
      </c>
      <c r="E52" s="214">
        <f t="shared" si="98"/>
        <v>4.8500000000000001E-3</v>
      </c>
      <c r="F52" s="214">
        <f t="shared" si="98"/>
        <v>1.25E-4</v>
      </c>
      <c r="G52" s="214">
        <f t="shared" si="98"/>
        <v>2.22E-4</v>
      </c>
      <c r="H52" s="214">
        <f t="shared" si="98"/>
        <v>3.8000000000000002E-4</v>
      </c>
      <c r="I52" s="155">
        <f t="shared" si="78"/>
        <v>0</v>
      </c>
      <c r="J52" s="155">
        <f t="shared" si="79"/>
        <v>0</v>
      </c>
      <c r="K52" s="155">
        <f t="shared" si="80"/>
        <v>2.5000000000000001E-4</v>
      </c>
      <c r="L52" s="155">
        <f t="shared" si="81"/>
        <v>4.6280000000000002E-3</v>
      </c>
      <c r="M52" s="156">
        <f t="shared" si="82"/>
        <v>5.4019014693171998</v>
      </c>
      <c r="N52" s="157">
        <f t="shared" si="83"/>
        <v>2.5000000000000001E-4</v>
      </c>
      <c r="O52" s="155">
        <f t="shared" si="84"/>
        <v>100</v>
      </c>
      <c r="P52" s="250">
        <v>1</v>
      </c>
      <c r="Q52" s="250">
        <v>1000</v>
      </c>
      <c r="R52" s="148">
        <f t="shared" si="74"/>
        <v>5.4019014693171998</v>
      </c>
      <c r="S52" s="148">
        <f t="shared" si="75"/>
        <v>5.4019014693171998</v>
      </c>
      <c r="T52" s="148">
        <f t="shared" si="85"/>
        <v>5.4019014693171996E-2</v>
      </c>
      <c r="U52" s="148">
        <f t="shared" si="86"/>
        <v>54.019014693172004</v>
      </c>
      <c r="V52" s="7">
        <f t="shared" si="87"/>
        <v>1000</v>
      </c>
      <c r="W52" s="7">
        <f t="shared" si="88"/>
        <v>1000000</v>
      </c>
      <c r="X52" s="1345">
        <f t="shared" si="89"/>
        <v>54.019014693171997</v>
      </c>
      <c r="Y52" s="1345">
        <f t="shared" si="90"/>
        <v>54019.014693172001</v>
      </c>
    </row>
    <row r="53" spans="1:25" x14ac:dyDescent="0.2">
      <c r="A53" s="97"/>
      <c r="B53" s="97"/>
      <c r="C53" s="97"/>
      <c r="D53" s="97"/>
      <c r="E53" s="97"/>
      <c r="F53" s="97"/>
      <c r="G53" s="97"/>
      <c r="H53" s="97"/>
      <c r="I53" s="113"/>
      <c r="J53" s="113"/>
      <c r="K53" s="113"/>
      <c r="L53" s="113"/>
      <c r="M53" s="113"/>
      <c r="N53" s="113"/>
      <c r="O53" s="113"/>
      <c r="R53" s="113"/>
      <c r="S53" s="113"/>
      <c r="T53" s="146"/>
      <c r="U53" s="146"/>
    </row>
    <row r="54" spans="1:25" ht="15.75" x14ac:dyDescent="0.2">
      <c r="A54" s="103" t="s">
        <v>87</v>
      </c>
      <c r="B54" s="97"/>
      <c r="C54" s="97"/>
      <c r="D54" s="106"/>
      <c r="E54" s="107"/>
      <c r="F54" s="107"/>
      <c r="G54" s="108"/>
      <c r="H54" s="109"/>
      <c r="I54" s="158"/>
      <c r="J54" s="158"/>
      <c r="K54" s="158"/>
      <c r="L54" s="158"/>
      <c r="M54" s="159"/>
      <c r="N54" s="160"/>
      <c r="O54" s="158"/>
      <c r="R54" s="113"/>
      <c r="S54" s="113"/>
      <c r="T54" s="146"/>
      <c r="U54" s="146"/>
    </row>
    <row r="55" spans="1:25" ht="76.5" x14ac:dyDescent="0.2">
      <c r="A55" s="211" t="s">
        <v>0</v>
      </c>
      <c r="B55" s="212" t="s">
        <v>1</v>
      </c>
      <c r="C55" s="212" t="s">
        <v>133</v>
      </c>
      <c r="D55" s="212" t="s">
        <v>134</v>
      </c>
      <c r="E55" s="212" t="s">
        <v>135</v>
      </c>
      <c r="F55" s="212" t="s">
        <v>136</v>
      </c>
      <c r="G55" s="212" t="s">
        <v>137</v>
      </c>
      <c r="H55" s="212" t="s">
        <v>138</v>
      </c>
      <c r="I55" s="104" t="s">
        <v>8</v>
      </c>
      <c r="J55" s="104" t="s">
        <v>9</v>
      </c>
      <c r="K55" s="104" t="s">
        <v>107</v>
      </c>
      <c r="L55" s="104" t="s">
        <v>14</v>
      </c>
      <c r="M55" s="104" t="s">
        <v>12</v>
      </c>
      <c r="N55" s="104" t="s">
        <v>10</v>
      </c>
      <c r="O55" s="104" t="s">
        <v>100</v>
      </c>
      <c r="P55" s="1222" t="s">
        <v>105</v>
      </c>
      <c r="Q55" s="1222" t="s">
        <v>106</v>
      </c>
      <c r="R55" s="104" t="s">
        <v>70</v>
      </c>
      <c r="S55" s="104" t="s">
        <v>71</v>
      </c>
      <c r="T55" s="147" t="s">
        <v>80</v>
      </c>
      <c r="U55" s="147" t="s">
        <v>81</v>
      </c>
      <c r="V55" s="5" t="s">
        <v>101</v>
      </c>
      <c r="W55" s="5" t="s">
        <v>102</v>
      </c>
      <c r="X55" s="112" t="s">
        <v>103</v>
      </c>
      <c r="Y55" s="112" t="s">
        <v>104</v>
      </c>
    </row>
    <row r="56" spans="1:25" x14ac:dyDescent="0.2">
      <c r="A56" s="213" t="str">
        <f t="shared" ref="A56:A65" si="99">A144</f>
        <v>KRISS</v>
      </c>
      <c r="B56" s="213"/>
      <c r="C56" s="214">
        <f t="shared" ref="C56:F56" si="100">B144*0.001</f>
        <v>4.8899999999999994E-3</v>
      </c>
      <c r="D56" s="214">
        <f t="shared" si="100"/>
        <v>1E-4</v>
      </c>
      <c r="E56" s="214">
        <f t="shared" si="100"/>
        <v>4.79E-3</v>
      </c>
      <c r="F56" s="214">
        <f t="shared" si="100"/>
        <v>1.1E-4</v>
      </c>
      <c r="G56" s="214">
        <f>F144*0.001</f>
        <v>-1.05E-4</v>
      </c>
      <c r="H56" s="214">
        <f>G144*0.001</f>
        <v>2.9299999999999997E-4</v>
      </c>
      <c r="I56" s="155">
        <f t="shared" ref="I56" si="101">IF(ABS(G56)&gt;ABS(H56), 1, 0)</f>
        <v>0</v>
      </c>
      <c r="J56" s="155">
        <f t="shared" ref="J56" si="102">I56*ABS(C56-E56)</f>
        <v>0</v>
      </c>
      <c r="K56" s="155">
        <f t="shared" ref="K56" si="103">SQRT(SUMSQ(F56,J56))*2</f>
        <v>2.2000000000000001E-4</v>
      </c>
      <c r="L56" s="155">
        <f>IF(C56&lt;$K$2, C56, $K$1)</f>
        <v>4.8899999999999994E-3</v>
      </c>
      <c r="M56" s="156">
        <f>IF(AND(C56&lt;$K$1,C56&gt; $K$2), K56/L56*100, K56/C56*100)</f>
        <v>4.4989775051124754</v>
      </c>
      <c r="N56" s="157">
        <f t="shared" ref="N56" si="104">M56*L56/100</f>
        <v>2.2000000000000003E-4</v>
      </c>
      <c r="O56" s="155">
        <f t="shared" ref="O56" si="105">N56/(M56*L56/100)*100</f>
        <v>100</v>
      </c>
      <c r="P56" s="250">
        <v>1</v>
      </c>
      <c r="Q56" s="250">
        <v>1000</v>
      </c>
      <c r="R56" s="148">
        <f t="shared" ref="R56:R65" si="106">IF( IF(P56&lt;L56, M56*L56/P56, M56)&gt;100, "ERROR",  IF(P56&lt;L56, M56*L56/P56, M56))</f>
        <v>4.4989775051124754</v>
      </c>
      <c r="S56" s="148">
        <f t="shared" ref="S56:S65" si="107">IF(IF(Q56&lt;L56, M56*L56/Q56, M56)&gt;100, "ERROR", IF(Q56&lt;L56, M56*L56/Q56, M56))</f>
        <v>4.4989775051124754</v>
      </c>
      <c r="T56" s="148">
        <f>R56*P56*0.01</f>
        <v>4.4989775051124753E-2</v>
      </c>
      <c r="U56" s="148">
        <f>S56*Q56*0.01</f>
        <v>44.989775051124752</v>
      </c>
      <c r="V56" s="7">
        <f>P56*1000</f>
        <v>1000</v>
      </c>
      <c r="W56" s="7">
        <f>Q56*1000</f>
        <v>1000000</v>
      </c>
      <c r="X56" s="1345">
        <f>T56*1000</f>
        <v>44.989775051124752</v>
      </c>
      <c r="Y56" s="1345">
        <f>U56*1000</f>
        <v>44989.77505112475</v>
      </c>
    </row>
    <row r="57" spans="1:25" x14ac:dyDescent="0.2">
      <c r="A57" s="213" t="str">
        <f t="shared" si="99"/>
        <v>LNE</v>
      </c>
      <c r="B57" s="213"/>
      <c r="C57" s="214">
        <f t="shared" ref="C57:H57" si="108">B145*0.001</f>
        <v>4.8899999999999994E-3</v>
      </c>
      <c r="D57" s="214">
        <f t="shared" si="108"/>
        <v>1E-4</v>
      </c>
      <c r="E57" s="214">
        <f t="shared" si="108"/>
        <v>5.45E-3</v>
      </c>
      <c r="F57" s="214">
        <f t="shared" si="108"/>
        <v>1.1E-4</v>
      </c>
      <c r="G57" s="214">
        <f t="shared" si="108"/>
        <v>5.6000000000000006E-4</v>
      </c>
      <c r="H57" s="214">
        <f t="shared" si="108"/>
        <v>2.92E-4</v>
      </c>
      <c r="I57" s="155">
        <f t="shared" ref="I57:I65" si="109">IF(ABS(G57)&gt;ABS(H57), 1, 0)</f>
        <v>1</v>
      </c>
      <c r="J57" s="155">
        <f t="shared" ref="J57:J65" si="110">I57*ABS(C57-E57)</f>
        <v>5.600000000000006E-4</v>
      </c>
      <c r="K57" s="155">
        <f t="shared" ref="K57:K65" si="111">SQRT(SUMSQ(F57,J57))*2</f>
        <v>1.1414026458704232E-3</v>
      </c>
      <c r="L57" s="155">
        <f t="shared" ref="L57:L65" si="112">IF(C57&lt;$K$2, C57, $K$1)</f>
        <v>4.8899999999999994E-3</v>
      </c>
      <c r="M57" s="156">
        <f t="shared" ref="M57:M65" si="113">IF(AND(C57&lt;$K$1,C57&gt; $K$2), K57/L57*100, K57/C57*100)</f>
        <v>23.341567400213155</v>
      </c>
      <c r="N57" s="157">
        <f t="shared" ref="N57:N65" si="114">M57*L57/100</f>
        <v>1.141402645870423E-3</v>
      </c>
      <c r="O57" s="155">
        <f t="shared" ref="O57:O65" si="115">N57/(M57*L57/100)*100</f>
        <v>100</v>
      </c>
      <c r="P57" s="250">
        <v>1</v>
      </c>
      <c r="Q57" s="250">
        <v>1000</v>
      </c>
      <c r="R57" s="148">
        <f t="shared" si="106"/>
        <v>23.341567400213155</v>
      </c>
      <c r="S57" s="148">
        <f t="shared" si="107"/>
        <v>23.341567400213155</v>
      </c>
      <c r="T57" s="148">
        <f t="shared" ref="T57:T65" si="116">R57*P57*0.01</f>
        <v>0.23341567400213156</v>
      </c>
      <c r="U57" s="148">
        <f t="shared" ref="U57:U65" si="117">S57*Q57*0.01</f>
        <v>233.41567400213157</v>
      </c>
      <c r="V57" s="7">
        <f t="shared" ref="V57:V65" si="118">P57*1000</f>
        <v>1000</v>
      </c>
      <c r="W57" s="7">
        <f t="shared" ref="W57:W65" si="119">Q57*1000</f>
        <v>1000000</v>
      </c>
      <c r="X57" s="1345">
        <f t="shared" ref="X57:X65" si="120">T57*1000</f>
        <v>233.41567400213157</v>
      </c>
      <c r="Y57" s="1345">
        <f t="shared" ref="Y57:Y65" si="121">U57*1000</f>
        <v>233415.67400213156</v>
      </c>
    </row>
    <row r="58" spans="1:25" x14ac:dyDescent="0.2">
      <c r="A58" s="213" t="str">
        <f t="shared" si="99"/>
        <v>NIST</v>
      </c>
      <c r="B58" s="213"/>
      <c r="C58" s="214">
        <f t="shared" ref="C58:H58" si="122">B146*0.001</f>
        <v>4.8899999999999994E-3</v>
      </c>
      <c r="D58" s="214">
        <f t="shared" si="122"/>
        <v>1E-4</v>
      </c>
      <c r="E58" s="214">
        <f t="shared" si="122"/>
        <v>5.0000000000000001E-3</v>
      </c>
      <c r="F58" s="214">
        <f t="shared" si="122"/>
        <v>6.0000000000000002E-5</v>
      </c>
      <c r="G58" s="214">
        <f t="shared" si="122"/>
        <v>1.06E-4</v>
      </c>
      <c r="H58" s="214">
        <f t="shared" si="122"/>
        <v>2.2900000000000001E-4</v>
      </c>
      <c r="I58" s="155">
        <f t="shared" si="109"/>
        <v>0</v>
      </c>
      <c r="J58" s="155">
        <f t="shared" si="110"/>
        <v>0</v>
      </c>
      <c r="K58" s="155">
        <f t="shared" si="111"/>
        <v>1.2E-4</v>
      </c>
      <c r="L58" s="155">
        <f t="shared" si="112"/>
        <v>4.8899999999999994E-3</v>
      </c>
      <c r="M58" s="156">
        <f t="shared" si="113"/>
        <v>2.4539877300613502</v>
      </c>
      <c r="N58" s="157">
        <f t="shared" si="114"/>
        <v>1.2E-4</v>
      </c>
      <c r="O58" s="155">
        <f t="shared" si="115"/>
        <v>100</v>
      </c>
      <c r="P58" s="250">
        <v>1</v>
      </c>
      <c r="Q58" s="250">
        <v>1000</v>
      </c>
      <c r="R58" s="148">
        <f t="shared" si="106"/>
        <v>2.4539877300613502</v>
      </c>
      <c r="S58" s="148">
        <f t="shared" si="107"/>
        <v>2.4539877300613502</v>
      </c>
      <c r="T58" s="148">
        <f t="shared" si="116"/>
        <v>2.4539877300613501E-2</v>
      </c>
      <c r="U58" s="148">
        <f t="shared" si="117"/>
        <v>24.539877300613504</v>
      </c>
      <c r="V58" s="7">
        <f t="shared" si="118"/>
        <v>1000</v>
      </c>
      <c r="W58" s="7">
        <f t="shared" si="119"/>
        <v>1000000</v>
      </c>
      <c r="X58" s="1345">
        <f t="shared" si="120"/>
        <v>24.539877300613501</v>
      </c>
      <c r="Y58" s="1345">
        <f t="shared" si="121"/>
        <v>24539.877300613505</v>
      </c>
    </row>
    <row r="59" spans="1:25" x14ac:dyDescent="0.2">
      <c r="A59" s="213" t="str">
        <f t="shared" si="99"/>
        <v>NMISA</v>
      </c>
      <c r="B59" s="213"/>
      <c r="C59" s="214">
        <f t="shared" ref="C59:H59" si="123">B147*0.001</f>
        <v>4.8899999999999994E-3</v>
      </c>
      <c r="D59" s="214">
        <f t="shared" si="123"/>
        <v>1E-4</v>
      </c>
      <c r="E59" s="214">
        <f t="shared" si="123"/>
        <v>5.4800000000000005E-3</v>
      </c>
      <c r="F59" s="214">
        <f t="shared" si="123"/>
        <v>5.0000000000000002E-5</v>
      </c>
      <c r="G59" s="214">
        <f t="shared" si="123"/>
        <v>5.8399999999999999E-4</v>
      </c>
      <c r="H59" s="214">
        <f t="shared" si="123"/>
        <v>2.1900000000000001E-4</v>
      </c>
      <c r="I59" s="155">
        <f t="shared" si="109"/>
        <v>1</v>
      </c>
      <c r="J59" s="155">
        <f t="shared" si="110"/>
        <v>5.9000000000000111E-4</v>
      </c>
      <c r="K59" s="155">
        <f t="shared" si="111"/>
        <v>1.1842297074469992E-3</v>
      </c>
      <c r="L59" s="155">
        <f t="shared" si="112"/>
        <v>4.8899999999999994E-3</v>
      </c>
      <c r="M59" s="156">
        <f t="shared" si="113"/>
        <v>24.217376430408986</v>
      </c>
      <c r="N59" s="157">
        <f t="shared" si="114"/>
        <v>1.1842297074469994E-3</v>
      </c>
      <c r="O59" s="155">
        <f t="shared" si="115"/>
        <v>100</v>
      </c>
      <c r="P59" s="250">
        <v>1</v>
      </c>
      <c r="Q59" s="250">
        <v>1000</v>
      </c>
      <c r="R59" s="148">
        <f t="shared" si="106"/>
        <v>24.217376430408986</v>
      </c>
      <c r="S59" s="148">
        <f t="shared" si="107"/>
        <v>24.217376430408986</v>
      </c>
      <c r="T59" s="148">
        <f t="shared" si="116"/>
        <v>0.24217376430408988</v>
      </c>
      <c r="U59" s="148">
        <f t="shared" si="117"/>
        <v>242.17376430408987</v>
      </c>
      <c r="V59" s="7">
        <f t="shared" si="118"/>
        <v>1000</v>
      </c>
      <c r="W59" s="7">
        <f t="shared" si="119"/>
        <v>1000000</v>
      </c>
      <c r="X59" s="1345">
        <f t="shared" si="120"/>
        <v>242.17376430408987</v>
      </c>
      <c r="Y59" s="1345">
        <f t="shared" si="121"/>
        <v>242173.76430408988</v>
      </c>
    </row>
    <row r="60" spans="1:25" x14ac:dyDescent="0.2">
      <c r="A60" s="213" t="str">
        <f t="shared" si="99"/>
        <v>NPL</v>
      </c>
      <c r="B60" s="213"/>
      <c r="C60" s="214">
        <f t="shared" ref="C60:H60" si="124">B148*0.001</f>
        <v>4.8899999999999994E-3</v>
      </c>
      <c r="D60" s="214">
        <f t="shared" si="124"/>
        <v>1E-4</v>
      </c>
      <c r="E60" s="214">
        <f t="shared" si="124"/>
        <v>4.9400000000000008E-3</v>
      </c>
      <c r="F60" s="214">
        <f t="shared" si="124"/>
        <v>5.0000000000000002E-5</v>
      </c>
      <c r="G60" s="214">
        <f t="shared" si="124"/>
        <v>4.8000000000000001E-5</v>
      </c>
      <c r="H60" s="214">
        <f t="shared" si="124"/>
        <v>2.1599999999999999E-4</v>
      </c>
      <c r="I60" s="155">
        <f t="shared" si="109"/>
        <v>0</v>
      </c>
      <c r="J60" s="155">
        <f t="shared" si="110"/>
        <v>0</v>
      </c>
      <c r="K60" s="155">
        <f t="shared" si="111"/>
        <v>1E-4</v>
      </c>
      <c r="L60" s="155">
        <f t="shared" si="112"/>
        <v>4.8899999999999994E-3</v>
      </c>
      <c r="M60" s="156">
        <f t="shared" si="113"/>
        <v>2.0449897750511252</v>
      </c>
      <c r="N60" s="157">
        <f t="shared" si="114"/>
        <v>1.0000000000000002E-4</v>
      </c>
      <c r="O60" s="155">
        <f t="shared" si="115"/>
        <v>100</v>
      </c>
      <c r="P60" s="250">
        <v>1</v>
      </c>
      <c r="Q60" s="250">
        <v>1000</v>
      </c>
      <c r="R60" s="148">
        <f t="shared" si="106"/>
        <v>2.0449897750511252</v>
      </c>
      <c r="S60" s="148">
        <f t="shared" si="107"/>
        <v>2.0449897750511252</v>
      </c>
      <c r="T60" s="148">
        <f t="shared" si="116"/>
        <v>2.0449897750511252E-2</v>
      </c>
      <c r="U60" s="148">
        <f t="shared" si="117"/>
        <v>20.449897750511251</v>
      </c>
      <c r="V60" s="7">
        <f t="shared" si="118"/>
        <v>1000</v>
      </c>
      <c r="W60" s="7">
        <f t="shared" si="119"/>
        <v>1000000</v>
      </c>
      <c r="X60" s="1345">
        <f t="shared" si="120"/>
        <v>20.449897750511251</v>
      </c>
      <c r="Y60" s="1345">
        <f t="shared" si="121"/>
        <v>20449.897750511253</v>
      </c>
    </row>
    <row r="61" spans="1:25" x14ac:dyDescent="0.2">
      <c r="A61" s="213" t="str">
        <f t="shared" si="99"/>
        <v>VNIIM</v>
      </c>
      <c r="B61" s="213"/>
      <c r="C61" s="214">
        <f t="shared" ref="C61:H61" si="125">B149*0.001</f>
        <v>4.8899999999999994E-3</v>
      </c>
      <c r="D61" s="214">
        <f t="shared" si="125"/>
        <v>1E-4</v>
      </c>
      <c r="E61" s="214">
        <f t="shared" si="125"/>
        <v>5.5300000000000002E-3</v>
      </c>
      <c r="F61" s="214">
        <f t="shared" si="125"/>
        <v>1.2E-4</v>
      </c>
      <c r="G61" s="214">
        <f t="shared" si="125"/>
        <v>6.4100000000000008E-4</v>
      </c>
      <c r="H61" s="214">
        <f t="shared" si="125"/>
        <v>2.9999999999999997E-4</v>
      </c>
      <c r="I61" s="155">
        <f t="shared" si="109"/>
        <v>1</v>
      </c>
      <c r="J61" s="155">
        <f t="shared" si="110"/>
        <v>6.4000000000000081E-4</v>
      </c>
      <c r="K61" s="155">
        <f t="shared" si="111"/>
        <v>1.302305647687978E-3</v>
      </c>
      <c r="L61" s="155">
        <f t="shared" si="112"/>
        <v>4.8899999999999994E-3</v>
      </c>
      <c r="M61" s="156">
        <f t="shared" si="113"/>
        <v>26.632017335132481</v>
      </c>
      <c r="N61" s="157">
        <f t="shared" si="114"/>
        <v>1.3023056476879782E-3</v>
      </c>
      <c r="O61" s="155">
        <f t="shared" si="115"/>
        <v>100</v>
      </c>
      <c r="P61" s="250">
        <v>1</v>
      </c>
      <c r="Q61" s="250">
        <v>1000</v>
      </c>
      <c r="R61" s="148">
        <f t="shared" si="106"/>
        <v>26.632017335132481</v>
      </c>
      <c r="S61" s="148">
        <f t="shared" si="107"/>
        <v>26.632017335132481</v>
      </c>
      <c r="T61" s="148">
        <f t="shared" si="116"/>
        <v>0.2663201733513248</v>
      </c>
      <c r="U61" s="148">
        <f t="shared" si="117"/>
        <v>266.3201733513248</v>
      </c>
      <c r="V61" s="7">
        <f t="shared" si="118"/>
        <v>1000</v>
      </c>
      <c r="W61" s="7">
        <f t="shared" si="119"/>
        <v>1000000</v>
      </c>
      <c r="X61" s="1345">
        <f t="shared" si="120"/>
        <v>266.3201733513248</v>
      </c>
      <c r="Y61" s="1345">
        <f t="shared" si="121"/>
        <v>266320.1733513248</v>
      </c>
    </row>
    <row r="62" spans="1:25" x14ac:dyDescent="0.2">
      <c r="A62" s="213" t="str">
        <f t="shared" si="99"/>
        <v>VSL</v>
      </c>
      <c r="B62" s="213"/>
      <c r="C62" s="214">
        <f t="shared" ref="C62:H62" si="126">B150*0.001</f>
        <v>4.8899999999999994E-3</v>
      </c>
      <c r="D62" s="214">
        <f t="shared" si="126"/>
        <v>1E-4</v>
      </c>
      <c r="E62" s="214">
        <f t="shared" si="126"/>
        <v>5.0599999999999994E-3</v>
      </c>
      <c r="F62" s="214">
        <f t="shared" si="126"/>
        <v>1E-4</v>
      </c>
      <c r="G62" s="214">
        <f t="shared" si="126"/>
        <v>1.6700000000000002E-4</v>
      </c>
      <c r="H62" s="214">
        <f t="shared" si="126"/>
        <v>2.7800000000000004E-4</v>
      </c>
      <c r="I62" s="155">
        <f t="shared" si="109"/>
        <v>0</v>
      </c>
      <c r="J62" s="155">
        <f t="shared" si="110"/>
        <v>0</v>
      </c>
      <c r="K62" s="155">
        <f t="shared" si="111"/>
        <v>2.0000000000000001E-4</v>
      </c>
      <c r="L62" s="155">
        <f t="shared" si="112"/>
        <v>4.8899999999999994E-3</v>
      </c>
      <c r="M62" s="156">
        <f t="shared" si="113"/>
        <v>4.0899795501022504</v>
      </c>
      <c r="N62" s="157">
        <f t="shared" si="114"/>
        <v>2.0000000000000004E-4</v>
      </c>
      <c r="O62" s="155">
        <f t="shared" si="115"/>
        <v>100</v>
      </c>
      <c r="P62" s="250">
        <v>1</v>
      </c>
      <c r="Q62" s="250">
        <v>1000</v>
      </c>
      <c r="R62" s="148">
        <f t="shared" si="106"/>
        <v>4.0899795501022504</v>
      </c>
      <c r="S62" s="148">
        <f t="shared" si="107"/>
        <v>4.0899795501022504</v>
      </c>
      <c r="T62" s="148">
        <f t="shared" si="116"/>
        <v>4.0899795501022504E-2</v>
      </c>
      <c r="U62" s="148">
        <f t="shared" si="117"/>
        <v>40.899795501022503</v>
      </c>
      <c r="V62" s="7">
        <f t="shared" si="118"/>
        <v>1000</v>
      </c>
      <c r="W62" s="7">
        <f t="shared" si="119"/>
        <v>1000000</v>
      </c>
      <c r="X62" s="1345">
        <f t="shared" si="120"/>
        <v>40.899795501022503</v>
      </c>
      <c r="Y62" s="1345">
        <f t="shared" si="121"/>
        <v>40899.795501022505</v>
      </c>
    </row>
    <row r="63" spans="1:25" x14ac:dyDescent="0.2">
      <c r="A63" s="213" t="str">
        <f t="shared" si="99"/>
        <v>METAS</v>
      </c>
      <c r="B63" s="213"/>
      <c r="C63" s="214">
        <f t="shared" ref="C63:H63" si="127">B151*0.001</f>
        <v>9.8080000000000007E-3</v>
      </c>
      <c r="D63" s="214">
        <f t="shared" si="127"/>
        <v>1.0349999999999999E-4</v>
      </c>
      <c r="E63" s="214">
        <f t="shared" si="127"/>
        <v>1.0999999999999999E-2</v>
      </c>
      <c r="F63" s="214">
        <v>4.0000000000000003E-5</v>
      </c>
      <c r="G63" s="214">
        <f t="shared" si="127"/>
        <v>1.1919999999999999E-3</v>
      </c>
      <c r="H63" s="214">
        <f t="shared" si="127"/>
        <v>2.9599999999999998E-4</v>
      </c>
      <c r="I63" s="155">
        <f t="shared" si="109"/>
        <v>1</v>
      </c>
      <c r="J63" s="155">
        <f t="shared" si="110"/>
        <v>1.1919999999999986E-3</v>
      </c>
      <c r="K63" s="155">
        <f t="shared" si="111"/>
        <v>2.3853419042141498E-3</v>
      </c>
      <c r="L63" s="155">
        <f t="shared" si="112"/>
        <v>9.8080000000000007E-3</v>
      </c>
      <c r="M63" s="156">
        <f t="shared" si="113"/>
        <v>24.32037014900234</v>
      </c>
      <c r="N63" s="157">
        <f t="shared" si="114"/>
        <v>2.3853419042141498E-3</v>
      </c>
      <c r="O63" s="155">
        <f t="shared" si="115"/>
        <v>100</v>
      </c>
      <c r="P63" s="250">
        <v>1</v>
      </c>
      <c r="Q63" s="250">
        <v>1000</v>
      </c>
      <c r="R63" s="148">
        <f t="shared" si="106"/>
        <v>24.32037014900234</v>
      </c>
      <c r="S63" s="148">
        <f t="shared" si="107"/>
        <v>24.32037014900234</v>
      </c>
      <c r="T63" s="148">
        <f t="shared" si="116"/>
        <v>0.24320370149002341</v>
      </c>
      <c r="U63" s="148">
        <f t="shared" si="117"/>
        <v>243.20370149002341</v>
      </c>
      <c r="V63" s="7">
        <f t="shared" si="118"/>
        <v>1000</v>
      </c>
      <c r="W63" s="7">
        <f t="shared" si="119"/>
        <v>1000000</v>
      </c>
      <c r="X63" s="1345">
        <f t="shared" si="120"/>
        <v>243.20370149002341</v>
      </c>
      <c r="Y63" s="1345">
        <f t="shared" si="121"/>
        <v>243203.70149002341</v>
      </c>
    </row>
    <row r="64" spans="1:25" x14ac:dyDescent="0.2">
      <c r="A64" s="213" t="str">
        <f t="shared" si="99"/>
        <v>UBA</v>
      </c>
      <c r="B64" s="213"/>
      <c r="C64" s="214">
        <f t="shared" ref="C64:H64" si="128">B152*0.001</f>
        <v>9.8080000000000007E-3</v>
      </c>
      <c r="D64" s="214">
        <f t="shared" si="128"/>
        <v>1.0349999999999999E-4</v>
      </c>
      <c r="E64" s="214">
        <f t="shared" si="128"/>
        <v>9.8000000000000014E-3</v>
      </c>
      <c r="F64" s="214">
        <f t="shared" si="128"/>
        <v>7.0000000000000007E-5</v>
      </c>
      <c r="G64" s="214">
        <f t="shared" si="128"/>
        <v>-7.9999999999999996E-6</v>
      </c>
      <c r="H64" s="214">
        <f t="shared" si="128"/>
        <v>2.1800000000000001E-4</v>
      </c>
      <c r="I64" s="155">
        <f t="shared" si="109"/>
        <v>0</v>
      </c>
      <c r="J64" s="155">
        <f t="shared" si="110"/>
        <v>0</v>
      </c>
      <c r="K64" s="155">
        <f t="shared" si="111"/>
        <v>1.4000000000000001E-4</v>
      </c>
      <c r="L64" s="155">
        <f t="shared" si="112"/>
        <v>9.8080000000000007E-3</v>
      </c>
      <c r="M64" s="156">
        <f t="shared" si="113"/>
        <v>1.4274061990212072</v>
      </c>
      <c r="N64" s="157">
        <f t="shared" si="114"/>
        <v>1.4000000000000001E-4</v>
      </c>
      <c r="O64" s="155">
        <f t="shared" si="115"/>
        <v>100</v>
      </c>
      <c r="P64" s="250">
        <v>1</v>
      </c>
      <c r="Q64" s="250">
        <v>1000</v>
      </c>
      <c r="R64" s="148">
        <f t="shared" si="106"/>
        <v>1.4274061990212072</v>
      </c>
      <c r="S64" s="148">
        <f t="shared" si="107"/>
        <v>1.4274061990212072</v>
      </c>
      <c r="T64" s="148">
        <f t="shared" si="116"/>
        <v>1.4274061990212073E-2</v>
      </c>
      <c r="U64" s="148">
        <f t="shared" si="117"/>
        <v>14.274061990212072</v>
      </c>
      <c r="V64" s="7">
        <f t="shared" si="118"/>
        <v>1000</v>
      </c>
      <c r="W64" s="7">
        <f t="shared" si="119"/>
        <v>1000000</v>
      </c>
      <c r="X64" s="1345">
        <f t="shared" si="120"/>
        <v>14.274061990212074</v>
      </c>
      <c r="Y64" s="1345">
        <f t="shared" si="121"/>
        <v>14274.061990212072</v>
      </c>
    </row>
    <row r="65" spans="1:25" x14ac:dyDescent="0.2">
      <c r="A65" s="213" t="str">
        <f t="shared" si="99"/>
        <v>CHMI</v>
      </c>
      <c r="B65" s="213"/>
      <c r="C65" s="214">
        <f t="shared" ref="C65:H65" si="129">B153*0.001</f>
        <v>9.8080000000000007E-3</v>
      </c>
      <c r="D65" s="214">
        <f t="shared" si="129"/>
        <v>1.0349999999999999E-4</v>
      </c>
      <c r="E65" s="214">
        <f t="shared" si="129"/>
        <v>1.0050000000000002E-2</v>
      </c>
      <c r="F65" s="214">
        <f t="shared" si="129"/>
        <v>2.6500000000000004E-4</v>
      </c>
      <c r="G65" s="214">
        <f t="shared" si="129"/>
        <v>2.42E-4</v>
      </c>
      <c r="H65" s="214">
        <f t="shared" si="129"/>
        <v>4.7399999999999997E-4</v>
      </c>
      <c r="I65" s="155">
        <f t="shared" si="109"/>
        <v>0</v>
      </c>
      <c r="J65" s="155">
        <f t="shared" si="110"/>
        <v>0</v>
      </c>
      <c r="K65" s="155">
        <f t="shared" si="111"/>
        <v>5.3000000000000009E-4</v>
      </c>
      <c r="L65" s="155">
        <f t="shared" si="112"/>
        <v>9.8080000000000007E-3</v>
      </c>
      <c r="M65" s="156">
        <f t="shared" si="113"/>
        <v>5.4037520391517138</v>
      </c>
      <c r="N65" s="157">
        <f t="shared" si="114"/>
        <v>5.3000000000000009E-4</v>
      </c>
      <c r="O65" s="155">
        <f t="shared" si="115"/>
        <v>100</v>
      </c>
      <c r="P65" s="250">
        <v>1</v>
      </c>
      <c r="Q65" s="250">
        <v>1000</v>
      </c>
      <c r="R65" s="148">
        <f t="shared" si="106"/>
        <v>5.4037520391517138</v>
      </c>
      <c r="S65" s="148">
        <f t="shared" si="107"/>
        <v>5.4037520391517138</v>
      </c>
      <c r="T65" s="148">
        <f t="shared" si="116"/>
        <v>5.4037520391517137E-2</v>
      </c>
      <c r="U65" s="148">
        <f t="shared" si="117"/>
        <v>54.037520391517141</v>
      </c>
      <c r="V65" s="7">
        <f t="shared" si="118"/>
        <v>1000</v>
      </c>
      <c r="W65" s="7">
        <f t="shared" si="119"/>
        <v>1000000</v>
      </c>
      <c r="X65" s="1345">
        <f t="shared" si="120"/>
        <v>54.037520391517134</v>
      </c>
      <c r="Y65" s="1345">
        <f t="shared" si="121"/>
        <v>54037.520391517144</v>
      </c>
    </row>
    <row r="66" spans="1:25" x14ac:dyDescent="0.2">
      <c r="A66" s="97"/>
      <c r="B66" s="97"/>
      <c r="C66" s="97"/>
      <c r="D66" s="106"/>
      <c r="E66" s="107"/>
      <c r="F66" s="107"/>
      <c r="G66" s="108"/>
      <c r="H66" s="109"/>
      <c r="I66" s="158"/>
      <c r="J66" s="158"/>
      <c r="K66" s="158"/>
      <c r="L66" s="158"/>
      <c r="M66" s="159"/>
      <c r="N66" s="160"/>
      <c r="O66" s="158"/>
      <c r="R66" s="113"/>
      <c r="S66" s="113"/>
      <c r="T66" s="146"/>
      <c r="U66" s="146"/>
    </row>
    <row r="67" spans="1:25" ht="15.75" x14ac:dyDescent="0.2">
      <c r="A67" s="103" t="s">
        <v>88</v>
      </c>
      <c r="B67" s="97"/>
      <c r="C67" s="97"/>
      <c r="D67" s="106"/>
      <c r="E67" s="107"/>
      <c r="F67" s="107"/>
      <c r="G67" s="108"/>
      <c r="H67" s="109"/>
      <c r="I67" s="158"/>
      <c r="J67" s="158"/>
      <c r="K67" s="158"/>
      <c r="L67" s="158"/>
      <c r="M67" s="159"/>
      <c r="N67" s="160"/>
      <c r="O67" s="158"/>
      <c r="R67" s="113"/>
      <c r="S67" s="113"/>
      <c r="T67" s="146"/>
      <c r="U67" s="146"/>
    </row>
    <row r="68" spans="1:25" ht="76.5" x14ac:dyDescent="0.2">
      <c r="A68" s="211" t="s">
        <v>0</v>
      </c>
      <c r="B68" s="212" t="s">
        <v>1</v>
      </c>
      <c r="C68" s="212" t="s">
        <v>133</v>
      </c>
      <c r="D68" s="212" t="s">
        <v>134</v>
      </c>
      <c r="E68" s="212" t="s">
        <v>135</v>
      </c>
      <c r="F68" s="212" t="s">
        <v>136</v>
      </c>
      <c r="G68" s="212" t="s">
        <v>137</v>
      </c>
      <c r="H68" s="212" t="s">
        <v>138</v>
      </c>
      <c r="I68" s="104" t="s">
        <v>8</v>
      </c>
      <c r="J68" s="104" t="s">
        <v>9</v>
      </c>
      <c r="K68" s="104" t="s">
        <v>107</v>
      </c>
      <c r="L68" s="104" t="s">
        <v>14</v>
      </c>
      <c r="M68" s="104" t="s">
        <v>12</v>
      </c>
      <c r="N68" s="104" t="s">
        <v>10</v>
      </c>
      <c r="O68" s="104" t="s">
        <v>100</v>
      </c>
      <c r="P68" s="1222" t="s">
        <v>105</v>
      </c>
      <c r="Q68" s="1222" t="s">
        <v>106</v>
      </c>
      <c r="R68" s="104" t="s">
        <v>70</v>
      </c>
      <c r="S68" s="104" t="s">
        <v>71</v>
      </c>
      <c r="T68" s="147" t="s">
        <v>80</v>
      </c>
      <c r="U68" s="147" t="s">
        <v>81</v>
      </c>
      <c r="V68" s="5" t="s">
        <v>101</v>
      </c>
      <c r="W68" s="5" t="s">
        <v>102</v>
      </c>
      <c r="X68" s="112" t="s">
        <v>103</v>
      </c>
      <c r="Y68" s="112" t="s">
        <v>104</v>
      </c>
    </row>
    <row r="69" spans="1:25" x14ac:dyDescent="0.2">
      <c r="A69" s="213" t="str">
        <f>A158</f>
        <v>KRISS</v>
      </c>
      <c r="B69" s="213"/>
      <c r="C69" s="214">
        <f t="shared" ref="C69:F69" si="130">B158*0.001</f>
        <v>4.8399999999999997E-3</v>
      </c>
      <c r="D69" s="214">
        <f t="shared" si="130"/>
        <v>1E-4</v>
      </c>
      <c r="E69" s="214">
        <f t="shared" si="130"/>
        <v>4.7200000000000002E-3</v>
      </c>
      <c r="F69" s="214">
        <f t="shared" si="130"/>
        <v>1.1E-4</v>
      </c>
      <c r="G69" s="214">
        <f>F158*0.001</f>
        <v>-1.1899999999999999E-4</v>
      </c>
      <c r="H69" s="214">
        <f>G158*0.001</f>
        <v>2.9E-4</v>
      </c>
      <c r="I69" s="155">
        <f t="shared" ref="I69" si="131">IF(ABS(G69)&gt;ABS(H69), 1, 0)</f>
        <v>0</v>
      </c>
      <c r="J69" s="155">
        <f t="shared" ref="J69" si="132">I69*ABS(C69-E69)</f>
        <v>0</v>
      </c>
      <c r="K69" s="155">
        <f t="shared" ref="K69" si="133">SQRT(SUMSQ(F69,J69))*2</f>
        <v>2.2000000000000001E-4</v>
      </c>
      <c r="L69" s="155">
        <f>IF(C69&lt;$K$2, C69, $K$1)</f>
        <v>4.8399999999999997E-3</v>
      </c>
      <c r="M69" s="156">
        <f>IF(AND(C69&lt;$K$1,C69&gt; $K$2), K69/L69*100, K69/C69*100)</f>
        <v>4.5454545454545459</v>
      </c>
      <c r="N69" s="157">
        <f t="shared" ref="N69" si="134">M69*L69/100</f>
        <v>2.2000000000000003E-4</v>
      </c>
      <c r="O69" s="155">
        <f t="shared" ref="O69" si="135">N69/(M69*L69/100)*100</f>
        <v>100</v>
      </c>
      <c r="P69" s="250">
        <v>1</v>
      </c>
      <c r="Q69" s="250">
        <v>1000</v>
      </c>
      <c r="R69" s="148">
        <f t="shared" ref="R69:R78" si="136">IF( IF(P69&lt;L69, M69*L69/P69, M69)&gt;100, "ERROR",  IF(P69&lt;L69, M69*L69/P69, M69))</f>
        <v>4.5454545454545459</v>
      </c>
      <c r="S69" s="148">
        <f t="shared" ref="S69:S78" si="137">IF(IF(Q69&lt;L69, M69*L69/Q69, M69)&gt;100, "ERROR", IF(Q69&lt;L69, M69*L69/Q69, M69))</f>
        <v>4.5454545454545459</v>
      </c>
      <c r="T69" s="148">
        <f>R69*P69*0.01</f>
        <v>4.5454545454545463E-2</v>
      </c>
      <c r="U69" s="148">
        <f>S69*Q69*0.01</f>
        <v>45.45454545454546</v>
      </c>
      <c r="V69" s="7">
        <f>P69*1000</f>
        <v>1000</v>
      </c>
      <c r="W69" s="7">
        <f>Q69*1000</f>
        <v>1000000</v>
      </c>
      <c r="X69" s="1345">
        <f>T69*1000</f>
        <v>45.45454545454546</v>
      </c>
      <c r="Y69" s="1345">
        <f>U69*1000</f>
        <v>45454.545454545463</v>
      </c>
    </row>
    <row r="70" spans="1:25" x14ac:dyDescent="0.2">
      <c r="A70" s="213" t="str">
        <f t="shared" ref="A70:A78" si="138">A159</f>
        <v>LNE</v>
      </c>
      <c r="B70" s="213"/>
      <c r="C70" s="214">
        <f t="shared" ref="C70:H70" si="139">B159*0.001</f>
        <v>4.8399999999999997E-3</v>
      </c>
      <c r="D70" s="214">
        <f t="shared" si="139"/>
        <v>1E-4</v>
      </c>
      <c r="E70" s="214">
        <f t="shared" si="139"/>
        <v>5.4299999999999999E-3</v>
      </c>
      <c r="F70" s="214">
        <f t="shared" si="139"/>
        <v>1.2E-4</v>
      </c>
      <c r="G70" s="214">
        <f t="shared" si="139"/>
        <v>5.9499999999999993E-4</v>
      </c>
      <c r="H70" s="214">
        <f t="shared" si="139"/>
        <v>3.0200000000000002E-4</v>
      </c>
      <c r="I70" s="155">
        <f t="shared" ref="I70:I78" si="140">IF(ABS(G70)&gt;ABS(H70), 1, 0)</f>
        <v>1</v>
      </c>
      <c r="J70" s="155">
        <f t="shared" ref="J70:J78" si="141">I70*ABS(C70-E70)</f>
        <v>5.9000000000000025E-4</v>
      </c>
      <c r="K70" s="155">
        <f t="shared" ref="K70:K78" si="142">SQRT(SUMSQ(F70,J70))*2</f>
        <v>1.20415945787923E-3</v>
      </c>
      <c r="L70" s="155">
        <f t="shared" ref="L70:L78" si="143">IF(C70&lt;$K$2, C70, $K$1)</f>
        <v>4.8399999999999997E-3</v>
      </c>
      <c r="M70" s="156">
        <f t="shared" ref="M70:M78" si="144">IF(AND(C70&lt;$K$1,C70&gt; $K$2), K70/L70*100, K70/C70*100)</f>
        <v>24.879327642132854</v>
      </c>
      <c r="N70" s="157">
        <f t="shared" ref="N70:N78" si="145">M70*L70/100</f>
        <v>1.20415945787923E-3</v>
      </c>
      <c r="O70" s="155">
        <f t="shared" ref="O70:O78" si="146">N70/(M70*L70/100)*100</f>
        <v>100</v>
      </c>
      <c r="P70" s="250">
        <v>1</v>
      </c>
      <c r="Q70" s="250">
        <v>1000</v>
      </c>
      <c r="R70" s="148">
        <f t="shared" si="136"/>
        <v>24.879327642132854</v>
      </c>
      <c r="S70" s="148">
        <f t="shared" si="137"/>
        <v>24.879327642132854</v>
      </c>
      <c r="T70" s="148">
        <f t="shared" ref="T70:T78" si="147">R70*P70*0.01</f>
        <v>0.24879327642132854</v>
      </c>
      <c r="U70" s="148">
        <f t="shared" ref="U70:U78" si="148">S70*Q70*0.01</f>
        <v>248.79327642132853</v>
      </c>
      <c r="V70" s="7">
        <f t="shared" ref="V70:V78" si="149">P70*1000</f>
        <v>1000</v>
      </c>
      <c r="W70" s="7">
        <f t="shared" ref="W70:W78" si="150">Q70*1000</f>
        <v>1000000</v>
      </c>
      <c r="X70" s="1345">
        <f t="shared" ref="X70:X78" si="151">T70*1000</f>
        <v>248.79327642132853</v>
      </c>
      <c r="Y70" s="1345">
        <f t="shared" ref="Y70:Y78" si="152">U70*1000</f>
        <v>248793.27642132854</v>
      </c>
    </row>
    <row r="71" spans="1:25" x14ac:dyDescent="0.2">
      <c r="A71" s="213" t="str">
        <f t="shared" si="138"/>
        <v>NIST</v>
      </c>
      <c r="B71" s="213"/>
      <c r="C71" s="214">
        <f t="shared" ref="C71:H71" si="153">B160*0.001</f>
        <v>4.8399999999999997E-3</v>
      </c>
      <c r="D71" s="214">
        <f t="shared" si="153"/>
        <v>1E-4</v>
      </c>
      <c r="E71" s="214">
        <f t="shared" si="153"/>
        <v>4.9500000000000004E-3</v>
      </c>
      <c r="F71" s="214">
        <f t="shared" si="153"/>
        <v>8.0000000000000007E-5</v>
      </c>
      <c r="G71" s="214">
        <f t="shared" si="153"/>
        <v>1.11E-4</v>
      </c>
      <c r="H71" s="214">
        <f t="shared" si="153"/>
        <v>2.4800000000000001E-4</v>
      </c>
      <c r="I71" s="155">
        <f t="shared" si="140"/>
        <v>0</v>
      </c>
      <c r="J71" s="155">
        <f t="shared" si="141"/>
        <v>0</v>
      </c>
      <c r="K71" s="155">
        <f t="shared" si="142"/>
        <v>1.6000000000000001E-4</v>
      </c>
      <c r="L71" s="155">
        <f t="shared" si="143"/>
        <v>4.8399999999999997E-3</v>
      </c>
      <c r="M71" s="156">
        <f t="shared" si="144"/>
        <v>3.3057851239669431</v>
      </c>
      <c r="N71" s="157">
        <f t="shared" si="145"/>
        <v>1.6000000000000004E-4</v>
      </c>
      <c r="O71" s="155">
        <f t="shared" si="146"/>
        <v>100</v>
      </c>
      <c r="P71" s="250">
        <v>1</v>
      </c>
      <c r="Q71" s="250">
        <v>1000</v>
      </c>
      <c r="R71" s="148">
        <f t="shared" si="136"/>
        <v>3.3057851239669431</v>
      </c>
      <c r="S71" s="148">
        <f t="shared" si="137"/>
        <v>3.3057851239669431</v>
      </c>
      <c r="T71" s="148">
        <f t="shared" si="147"/>
        <v>3.3057851239669429E-2</v>
      </c>
      <c r="U71" s="148">
        <f t="shared" si="148"/>
        <v>33.057851239669432</v>
      </c>
      <c r="V71" s="7">
        <f t="shared" si="149"/>
        <v>1000</v>
      </c>
      <c r="W71" s="7">
        <f t="shared" si="150"/>
        <v>1000000</v>
      </c>
      <c r="X71" s="1345">
        <f t="shared" si="151"/>
        <v>33.057851239669432</v>
      </c>
      <c r="Y71" s="1345">
        <f t="shared" si="152"/>
        <v>33057.851239669435</v>
      </c>
    </row>
    <row r="72" spans="1:25" x14ac:dyDescent="0.2">
      <c r="A72" s="213" t="str">
        <f t="shared" si="138"/>
        <v>NMISA</v>
      </c>
      <c r="B72" s="213"/>
      <c r="C72" s="214">
        <f t="shared" ref="C72:H72" si="154">B161*0.001</f>
        <v>4.8399999999999997E-3</v>
      </c>
      <c r="D72" s="214">
        <f t="shared" si="154"/>
        <v>1E-4</v>
      </c>
      <c r="E72" s="214">
        <f t="shared" si="154"/>
        <v>5.79E-3</v>
      </c>
      <c r="F72" s="214">
        <f t="shared" si="154"/>
        <v>6.0000000000000002E-5</v>
      </c>
      <c r="G72" s="214">
        <f t="shared" si="154"/>
        <v>9.5199999999999994E-4</v>
      </c>
      <c r="H72" s="214">
        <f t="shared" si="154"/>
        <v>2.22E-4</v>
      </c>
      <c r="I72" s="155">
        <f t="shared" si="140"/>
        <v>1</v>
      </c>
      <c r="J72" s="155">
        <f t="shared" si="141"/>
        <v>9.5000000000000032E-4</v>
      </c>
      <c r="K72" s="155">
        <f t="shared" si="142"/>
        <v>1.9037857022259628E-3</v>
      </c>
      <c r="L72" s="155">
        <f t="shared" si="143"/>
        <v>4.8399999999999997E-3</v>
      </c>
      <c r="M72" s="156">
        <f t="shared" si="144"/>
        <v>39.334415335247172</v>
      </c>
      <c r="N72" s="157">
        <f t="shared" si="145"/>
        <v>1.903785702225963E-3</v>
      </c>
      <c r="O72" s="155">
        <f t="shared" si="146"/>
        <v>100</v>
      </c>
      <c r="P72" s="250">
        <v>1</v>
      </c>
      <c r="Q72" s="250">
        <v>1000</v>
      </c>
      <c r="R72" s="148">
        <f t="shared" si="136"/>
        <v>39.334415335247172</v>
      </c>
      <c r="S72" s="148">
        <f t="shared" si="137"/>
        <v>39.334415335247172</v>
      </c>
      <c r="T72" s="148">
        <f t="shared" si="147"/>
        <v>0.39334415335247175</v>
      </c>
      <c r="U72" s="148">
        <f t="shared" si="148"/>
        <v>393.34415335247172</v>
      </c>
      <c r="V72" s="7">
        <f t="shared" si="149"/>
        <v>1000</v>
      </c>
      <c r="W72" s="7">
        <f t="shared" si="150"/>
        <v>1000000</v>
      </c>
      <c r="X72" s="1345">
        <f t="shared" si="151"/>
        <v>393.34415335247172</v>
      </c>
      <c r="Y72" s="1345">
        <f t="shared" si="152"/>
        <v>393344.15335247171</v>
      </c>
    </row>
    <row r="73" spans="1:25" x14ac:dyDescent="0.2">
      <c r="A73" s="213" t="str">
        <f t="shared" si="138"/>
        <v>NPL</v>
      </c>
      <c r="B73" s="213"/>
      <c r="C73" s="214">
        <f t="shared" ref="C73:H73" si="155">B162*0.001</f>
        <v>4.8399999999999997E-3</v>
      </c>
      <c r="D73" s="214">
        <f t="shared" si="155"/>
        <v>1E-4</v>
      </c>
      <c r="E73" s="214">
        <f t="shared" si="155"/>
        <v>4.9000000000000007E-3</v>
      </c>
      <c r="F73" s="214">
        <f t="shared" si="155"/>
        <v>5.0000000000000002E-5</v>
      </c>
      <c r="G73" s="214">
        <f t="shared" si="155"/>
        <v>5.5999999999999999E-5</v>
      </c>
      <c r="H73" s="214">
        <f t="shared" si="155"/>
        <v>2.14E-4</v>
      </c>
      <c r="I73" s="155">
        <f t="shared" si="140"/>
        <v>0</v>
      </c>
      <c r="J73" s="155">
        <f t="shared" si="141"/>
        <v>0</v>
      </c>
      <c r="K73" s="155">
        <f t="shared" si="142"/>
        <v>1E-4</v>
      </c>
      <c r="L73" s="155">
        <f t="shared" si="143"/>
        <v>4.8399999999999997E-3</v>
      </c>
      <c r="M73" s="156">
        <f t="shared" si="144"/>
        <v>2.0661157024793391</v>
      </c>
      <c r="N73" s="157">
        <f t="shared" si="145"/>
        <v>1E-4</v>
      </c>
      <c r="O73" s="155">
        <f t="shared" si="146"/>
        <v>100</v>
      </c>
      <c r="P73" s="250">
        <v>1</v>
      </c>
      <c r="Q73" s="250">
        <v>1000</v>
      </c>
      <c r="R73" s="148">
        <f t="shared" si="136"/>
        <v>2.0661157024793391</v>
      </c>
      <c r="S73" s="148">
        <f t="shared" si="137"/>
        <v>2.0661157024793391</v>
      </c>
      <c r="T73" s="148">
        <f t="shared" si="147"/>
        <v>2.0661157024793392E-2</v>
      </c>
      <c r="U73" s="148">
        <f t="shared" si="148"/>
        <v>20.661157024793393</v>
      </c>
      <c r="V73" s="7">
        <f t="shared" si="149"/>
        <v>1000</v>
      </c>
      <c r="W73" s="7">
        <f t="shared" si="150"/>
        <v>1000000</v>
      </c>
      <c r="X73" s="1345">
        <f t="shared" si="151"/>
        <v>20.661157024793393</v>
      </c>
      <c r="Y73" s="1345">
        <f t="shared" si="152"/>
        <v>20661.157024793392</v>
      </c>
    </row>
    <row r="74" spans="1:25" x14ac:dyDescent="0.2">
      <c r="A74" s="213" t="str">
        <f t="shared" si="138"/>
        <v>VNIIM</v>
      </c>
      <c r="B74" s="213"/>
      <c r="C74" s="214">
        <f t="shared" ref="C74:H74" si="156">B163*0.001</f>
        <v>4.8399999999999997E-3</v>
      </c>
      <c r="D74" s="214">
        <f t="shared" si="156"/>
        <v>1E-4</v>
      </c>
      <c r="E74" s="214">
        <f t="shared" si="156"/>
        <v>5.5399999999999998E-3</v>
      </c>
      <c r="F74" s="214">
        <f t="shared" si="156"/>
        <v>1.2E-4</v>
      </c>
      <c r="G74" s="214">
        <f t="shared" si="156"/>
        <v>6.9999999999999999E-4</v>
      </c>
      <c r="H74" s="214">
        <f t="shared" si="156"/>
        <v>2.99E-4</v>
      </c>
      <c r="I74" s="155">
        <f t="shared" si="140"/>
        <v>1</v>
      </c>
      <c r="J74" s="155">
        <f t="shared" si="141"/>
        <v>7.000000000000001E-4</v>
      </c>
      <c r="K74" s="155">
        <f t="shared" si="142"/>
        <v>1.4204224723651767E-3</v>
      </c>
      <c r="L74" s="155">
        <f t="shared" si="143"/>
        <v>4.8399999999999997E-3</v>
      </c>
      <c r="M74" s="156">
        <f t="shared" si="144"/>
        <v>29.347571743082163</v>
      </c>
      <c r="N74" s="157">
        <f t="shared" si="145"/>
        <v>1.4204224723651764E-3</v>
      </c>
      <c r="O74" s="155">
        <f t="shared" si="146"/>
        <v>100</v>
      </c>
      <c r="P74" s="250">
        <v>1</v>
      </c>
      <c r="Q74" s="250">
        <v>1000</v>
      </c>
      <c r="R74" s="148">
        <f t="shared" si="136"/>
        <v>29.347571743082163</v>
      </c>
      <c r="S74" s="148">
        <f t="shared" si="137"/>
        <v>29.347571743082163</v>
      </c>
      <c r="T74" s="148">
        <f t="shared" si="147"/>
        <v>0.29347571743082163</v>
      </c>
      <c r="U74" s="148">
        <f t="shared" si="148"/>
        <v>293.47571743082165</v>
      </c>
      <c r="V74" s="7">
        <f t="shared" si="149"/>
        <v>1000</v>
      </c>
      <c r="W74" s="7">
        <f t="shared" si="150"/>
        <v>1000000</v>
      </c>
      <c r="X74" s="1345">
        <f t="shared" si="151"/>
        <v>293.47571743082165</v>
      </c>
      <c r="Y74" s="1345">
        <f t="shared" si="152"/>
        <v>293475.71743082162</v>
      </c>
    </row>
    <row r="75" spans="1:25" x14ac:dyDescent="0.2">
      <c r="A75" s="213" t="str">
        <f t="shared" si="138"/>
        <v>VSL</v>
      </c>
      <c r="B75" s="213"/>
      <c r="C75" s="214">
        <f t="shared" ref="C75:H75" si="157">B164*0.001</f>
        <v>4.8399999999999997E-3</v>
      </c>
      <c r="D75" s="214">
        <f t="shared" si="157"/>
        <v>1E-4</v>
      </c>
      <c r="E75" s="214">
        <f t="shared" si="157"/>
        <v>5.0199999999999993E-3</v>
      </c>
      <c r="F75" s="214">
        <f t="shared" si="157"/>
        <v>1E-4</v>
      </c>
      <c r="G75" s="214">
        <f t="shared" si="157"/>
        <v>1.7699999999999999E-4</v>
      </c>
      <c r="H75" s="214">
        <f t="shared" si="157"/>
        <v>2.7600000000000004E-4</v>
      </c>
      <c r="I75" s="155">
        <f t="shared" si="140"/>
        <v>0</v>
      </c>
      <c r="J75" s="155">
        <f t="shared" si="141"/>
        <v>0</v>
      </c>
      <c r="K75" s="155">
        <f t="shared" si="142"/>
        <v>2.0000000000000001E-4</v>
      </c>
      <c r="L75" s="155">
        <f t="shared" si="143"/>
        <v>4.8399999999999997E-3</v>
      </c>
      <c r="M75" s="156">
        <f t="shared" si="144"/>
        <v>4.1322314049586781</v>
      </c>
      <c r="N75" s="157">
        <f t="shared" si="145"/>
        <v>2.0000000000000001E-4</v>
      </c>
      <c r="O75" s="155">
        <f t="shared" si="146"/>
        <v>100</v>
      </c>
      <c r="P75" s="250">
        <v>1</v>
      </c>
      <c r="Q75" s="250">
        <v>1000</v>
      </c>
      <c r="R75" s="148">
        <f t="shared" si="136"/>
        <v>4.1322314049586781</v>
      </c>
      <c r="S75" s="148">
        <f t="shared" si="137"/>
        <v>4.1322314049586781</v>
      </c>
      <c r="T75" s="148">
        <f t="shared" si="147"/>
        <v>4.1322314049586785E-2</v>
      </c>
      <c r="U75" s="148">
        <f t="shared" si="148"/>
        <v>41.322314049586787</v>
      </c>
      <c r="V75" s="7">
        <f t="shared" si="149"/>
        <v>1000</v>
      </c>
      <c r="W75" s="7">
        <f t="shared" si="150"/>
        <v>1000000</v>
      </c>
      <c r="X75" s="1345">
        <f t="shared" si="151"/>
        <v>41.322314049586787</v>
      </c>
      <c r="Y75" s="1345">
        <f t="shared" si="152"/>
        <v>41322.314049586785</v>
      </c>
    </row>
    <row r="76" spans="1:25" x14ac:dyDescent="0.2">
      <c r="A76" s="213" t="str">
        <f t="shared" si="138"/>
        <v>METAS</v>
      </c>
      <c r="B76" s="213"/>
      <c r="C76" s="214">
        <f t="shared" ref="C76:H76" si="158">B165*0.001</f>
        <v>9.8080000000000007E-3</v>
      </c>
      <c r="D76" s="214">
        <f t="shared" si="158"/>
        <v>1.0349999999999999E-4</v>
      </c>
      <c r="E76" s="214">
        <f t="shared" si="158"/>
        <v>1.0999999999999999E-2</v>
      </c>
      <c r="F76" s="214">
        <v>6.9999999999999994E-5</v>
      </c>
      <c r="G76" s="214">
        <f t="shared" si="158"/>
        <v>1.1919999999999999E-3</v>
      </c>
      <c r="H76" s="214">
        <f t="shared" si="158"/>
        <v>2.9599999999999998E-4</v>
      </c>
      <c r="I76" s="155">
        <f t="shared" si="140"/>
        <v>1</v>
      </c>
      <c r="J76" s="155">
        <f t="shared" si="141"/>
        <v>1.1919999999999986E-3</v>
      </c>
      <c r="K76" s="155">
        <f t="shared" si="142"/>
        <v>2.3881072002738877E-3</v>
      </c>
      <c r="L76" s="155">
        <f t="shared" si="143"/>
        <v>9.8080000000000007E-3</v>
      </c>
      <c r="M76" s="156">
        <f t="shared" si="144"/>
        <v>24.348564439986621</v>
      </c>
      <c r="N76" s="157">
        <f t="shared" si="145"/>
        <v>2.3881072002738877E-3</v>
      </c>
      <c r="O76" s="155">
        <f t="shared" si="146"/>
        <v>100</v>
      </c>
      <c r="P76" s="250">
        <v>1</v>
      </c>
      <c r="Q76" s="250">
        <v>1000</v>
      </c>
      <c r="R76" s="148">
        <f t="shared" si="136"/>
        <v>24.348564439986621</v>
      </c>
      <c r="S76" s="148">
        <f t="shared" si="137"/>
        <v>24.348564439986621</v>
      </c>
      <c r="T76" s="148">
        <f t="shared" si="147"/>
        <v>0.24348564439986622</v>
      </c>
      <c r="U76" s="148">
        <f t="shared" si="148"/>
        <v>243.48564439986623</v>
      </c>
      <c r="V76" s="7">
        <f t="shared" si="149"/>
        <v>1000</v>
      </c>
      <c r="W76" s="7">
        <f t="shared" si="150"/>
        <v>1000000</v>
      </c>
      <c r="X76" s="1345">
        <f t="shared" si="151"/>
        <v>243.48564439986623</v>
      </c>
      <c r="Y76" s="1345">
        <f t="shared" si="152"/>
        <v>243485.64439986623</v>
      </c>
    </row>
    <row r="77" spans="1:25" x14ac:dyDescent="0.2">
      <c r="A77" s="213" t="str">
        <f t="shared" si="138"/>
        <v>UBA</v>
      </c>
      <c r="B77" s="213"/>
      <c r="C77" s="214">
        <f t="shared" ref="C77:H77" si="159">B166*0.001</f>
        <v>9.8080000000000007E-3</v>
      </c>
      <c r="D77" s="214">
        <f t="shared" si="159"/>
        <v>1.0349999999999999E-4</v>
      </c>
      <c r="E77" s="214">
        <f t="shared" si="159"/>
        <v>9.8000000000000014E-3</v>
      </c>
      <c r="F77" s="214">
        <f t="shared" si="159"/>
        <v>7.0000000000000007E-5</v>
      </c>
      <c r="G77" s="214">
        <f t="shared" si="159"/>
        <v>-7.9999999999999996E-6</v>
      </c>
      <c r="H77" s="214">
        <f t="shared" si="159"/>
        <v>2.1800000000000001E-4</v>
      </c>
      <c r="I77" s="155">
        <f t="shared" si="140"/>
        <v>0</v>
      </c>
      <c r="J77" s="155">
        <f t="shared" si="141"/>
        <v>0</v>
      </c>
      <c r="K77" s="155">
        <f t="shared" si="142"/>
        <v>1.4000000000000001E-4</v>
      </c>
      <c r="L77" s="155">
        <f t="shared" si="143"/>
        <v>9.8080000000000007E-3</v>
      </c>
      <c r="M77" s="156">
        <f t="shared" si="144"/>
        <v>1.4274061990212072</v>
      </c>
      <c r="N77" s="157">
        <f t="shared" si="145"/>
        <v>1.4000000000000001E-4</v>
      </c>
      <c r="O77" s="155">
        <f t="shared" si="146"/>
        <v>100</v>
      </c>
      <c r="P77" s="250">
        <v>1</v>
      </c>
      <c r="Q77" s="250">
        <v>1000</v>
      </c>
      <c r="R77" s="148">
        <f t="shared" si="136"/>
        <v>1.4274061990212072</v>
      </c>
      <c r="S77" s="148">
        <f t="shared" si="137"/>
        <v>1.4274061990212072</v>
      </c>
      <c r="T77" s="148">
        <f t="shared" si="147"/>
        <v>1.4274061990212073E-2</v>
      </c>
      <c r="U77" s="148">
        <f t="shared" si="148"/>
        <v>14.274061990212072</v>
      </c>
      <c r="V77" s="7">
        <f t="shared" si="149"/>
        <v>1000</v>
      </c>
      <c r="W77" s="7">
        <f t="shared" si="150"/>
        <v>1000000</v>
      </c>
      <c r="X77" s="1345">
        <f t="shared" si="151"/>
        <v>14.274061990212074</v>
      </c>
      <c r="Y77" s="1345">
        <f t="shared" si="152"/>
        <v>14274.061990212072</v>
      </c>
    </row>
    <row r="78" spans="1:25" x14ac:dyDescent="0.2">
      <c r="A78" s="213" t="str">
        <f t="shared" si="138"/>
        <v>CHMI</v>
      </c>
      <c r="B78" s="213"/>
      <c r="C78" s="214">
        <f t="shared" ref="C78:H78" si="160">B167*0.001</f>
        <v>9.8080000000000007E-3</v>
      </c>
      <c r="D78" s="214">
        <f t="shared" si="160"/>
        <v>1.0349999999999999E-4</v>
      </c>
      <c r="E78" s="214">
        <f t="shared" si="160"/>
        <v>1.0050000000000002E-2</v>
      </c>
      <c r="F78" s="214">
        <f t="shared" si="160"/>
        <v>2.6500000000000004E-4</v>
      </c>
      <c r="G78" s="214">
        <f t="shared" si="160"/>
        <v>2.42E-4</v>
      </c>
      <c r="H78" s="214">
        <f t="shared" si="160"/>
        <v>4.7399999999999997E-4</v>
      </c>
      <c r="I78" s="155">
        <f t="shared" si="140"/>
        <v>0</v>
      </c>
      <c r="J78" s="155">
        <f t="shared" si="141"/>
        <v>0</v>
      </c>
      <c r="K78" s="155">
        <f t="shared" si="142"/>
        <v>5.3000000000000009E-4</v>
      </c>
      <c r="L78" s="155">
        <f t="shared" si="143"/>
        <v>9.8080000000000007E-3</v>
      </c>
      <c r="M78" s="156">
        <f t="shared" si="144"/>
        <v>5.4037520391517138</v>
      </c>
      <c r="N78" s="157">
        <f t="shared" si="145"/>
        <v>5.3000000000000009E-4</v>
      </c>
      <c r="O78" s="155">
        <f t="shared" si="146"/>
        <v>100</v>
      </c>
      <c r="P78" s="250">
        <v>1</v>
      </c>
      <c r="Q78" s="250">
        <v>1000</v>
      </c>
      <c r="R78" s="148">
        <f t="shared" si="136"/>
        <v>5.4037520391517138</v>
      </c>
      <c r="S78" s="148">
        <f t="shared" si="137"/>
        <v>5.4037520391517138</v>
      </c>
      <c r="T78" s="148">
        <f t="shared" si="147"/>
        <v>5.4037520391517137E-2</v>
      </c>
      <c r="U78" s="148">
        <f t="shared" si="148"/>
        <v>54.037520391517141</v>
      </c>
      <c r="V78" s="7">
        <f t="shared" si="149"/>
        <v>1000</v>
      </c>
      <c r="W78" s="7">
        <f t="shared" si="150"/>
        <v>1000000</v>
      </c>
      <c r="X78" s="1345">
        <f t="shared" si="151"/>
        <v>54.037520391517134</v>
      </c>
      <c r="Y78" s="1345">
        <f t="shared" si="152"/>
        <v>54037.520391517144</v>
      </c>
    </row>
    <row r="79" spans="1:25" x14ac:dyDescent="0.2">
      <c r="A79" s="97"/>
      <c r="B79" s="97"/>
      <c r="C79" s="97"/>
      <c r="D79" s="106"/>
      <c r="E79" s="107"/>
      <c r="F79" s="107"/>
      <c r="G79" s="108"/>
      <c r="H79" s="109"/>
      <c r="I79" s="158"/>
      <c r="J79" s="158"/>
      <c r="K79" s="158"/>
      <c r="L79" s="158"/>
      <c r="M79" s="159"/>
      <c r="N79" s="160"/>
      <c r="O79" s="158"/>
      <c r="R79" s="113"/>
      <c r="S79" s="113"/>
      <c r="T79" s="146"/>
      <c r="U79" s="146"/>
    </row>
    <row r="80" spans="1:25" ht="15.75" x14ac:dyDescent="0.2">
      <c r="A80" s="103" t="s">
        <v>89</v>
      </c>
      <c r="B80" s="97"/>
      <c r="C80" s="97"/>
      <c r="D80" s="106"/>
      <c r="E80" s="107"/>
      <c r="F80" s="107"/>
      <c r="G80" s="108"/>
      <c r="H80" s="109"/>
      <c r="I80" s="158"/>
      <c r="J80" s="158"/>
      <c r="K80" s="158"/>
      <c r="L80" s="158"/>
      <c r="M80" s="159"/>
      <c r="N80" s="160"/>
      <c r="O80" s="158"/>
      <c r="R80" s="113"/>
      <c r="S80" s="113"/>
      <c r="T80" s="146"/>
      <c r="U80" s="146"/>
    </row>
    <row r="81" spans="1:25" ht="76.5" x14ac:dyDescent="0.2">
      <c r="A81" s="211" t="s">
        <v>0</v>
      </c>
      <c r="B81" s="212" t="s">
        <v>1</v>
      </c>
      <c r="C81" s="212" t="s">
        <v>133</v>
      </c>
      <c r="D81" s="212" t="s">
        <v>134</v>
      </c>
      <c r="E81" s="212" t="s">
        <v>135</v>
      </c>
      <c r="F81" s="212" t="s">
        <v>136</v>
      </c>
      <c r="G81" s="212" t="s">
        <v>137</v>
      </c>
      <c r="H81" s="212" t="s">
        <v>138</v>
      </c>
      <c r="I81" s="104" t="s">
        <v>8</v>
      </c>
      <c r="J81" s="104" t="s">
        <v>9</v>
      </c>
      <c r="K81" s="104" t="s">
        <v>107</v>
      </c>
      <c r="L81" s="104" t="s">
        <v>14</v>
      </c>
      <c r="M81" s="104" t="s">
        <v>12</v>
      </c>
      <c r="N81" s="104" t="s">
        <v>10</v>
      </c>
      <c r="O81" s="104" t="s">
        <v>100</v>
      </c>
      <c r="P81" s="1222" t="s">
        <v>105</v>
      </c>
      <c r="Q81" s="1222" t="s">
        <v>106</v>
      </c>
      <c r="R81" s="104" t="s">
        <v>70</v>
      </c>
      <c r="S81" s="104" t="s">
        <v>71</v>
      </c>
      <c r="T81" s="147" t="s">
        <v>80</v>
      </c>
      <c r="U81" s="147" t="s">
        <v>81</v>
      </c>
      <c r="V81" s="5" t="s">
        <v>101</v>
      </c>
      <c r="W81" s="5" t="s">
        <v>102</v>
      </c>
      <c r="X81" s="112" t="s">
        <v>103</v>
      </c>
      <c r="Y81" s="112" t="s">
        <v>104</v>
      </c>
    </row>
    <row r="82" spans="1:25" x14ac:dyDescent="0.2">
      <c r="A82" s="213" t="str">
        <f>A172</f>
        <v>KRISS</v>
      </c>
      <c r="B82" s="213"/>
      <c r="C82" s="214">
        <f t="shared" ref="C82:F82" si="161">B172*0.001</f>
        <v>4.8399999999999997E-3</v>
      </c>
      <c r="D82" s="214">
        <f t="shared" si="161"/>
        <v>1E-4</v>
      </c>
      <c r="E82" s="214">
        <f t="shared" si="161"/>
        <v>4.5900000000000003E-3</v>
      </c>
      <c r="F82" s="214">
        <f t="shared" si="161"/>
        <v>1.1E-4</v>
      </c>
      <c r="G82" s="214">
        <f>F172*0.001</f>
        <v>-2.4899999999999998E-4</v>
      </c>
      <c r="H82" s="214">
        <f>G172*0.001</f>
        <v>2.8199999999999997E-4</v>
      </c>
      <c r="I82" s="155">
        <f t="shared" ref="I82:I83" si="162">IF(ABS(G82)&gt;ABS(H82), 1, 0)</f>
        <v>0</v>
      </c>
      <c r="J82" s="155">
        <f t="shared" ref="J82:J83" si="163">I82*ABS(C82-E82)</f>
        <v>0</v>
      </c>
      <c r="K82" s="155">
        <f t="shared" ref="K82:K83" si="164">SQRT(SUMSQ(F82,J82))*2</f>
        <v>2.2000000000000001E-4</v>
      </c>
      <c r="L82" s="155">
        <f>IF(C82&lt;$K$2, C82, $K$1)</f>
        <v>4.8399999999999997E-3</v>
      </c>
      <c r="M82" s="156">
        <f>IF(AND(C82&lt;$K$1,C82&gt; $K$2), K82/L82*100, K82/C82*100)</f>
        <v>4.5454545454545459</v>
      </c>
      <c r="N82" s="157">
        <f t="shared" ref="N82:N83" si="165">M82*L82/100</f>
        <v>2.2000000000000003E-4</v>
      </c>
      <c r="O82" s="155">
        <f t="shared" ref="O82:O83" si="166">N82/(M82*L82/100)*100</f>
        <v>100</v>
      </c>
      <c r="P82" s="250">
        <v>1</v>
      </c>
      <c r="Q82" s="250">
        <v>1000</v>
      </c>
      <c r="R82" s="148">
        <f t="shared" ref="R82:R91" si="167">IF( IF(P82&lt;L82, M82*L82/P82, M82)&gt;100, "ERROR",  IF(P82&lt;L82, M82*L82/P82, M82))</f>
        <v>4.5454545454545459</v>
      </c>
      <c r="S82" s="148">
        <f t="shared" ref="S82:S91" si="168">IF(IF(Q82&lt;L82, M82*L82/Q82, M82)&gt;100, "ERROR", IF(Q82&lt;L82, M82*L82/Q82, M82))</f>
        <v>4.5454545454545459</v>
      </c>
      <c r="T82" s="148">
        <f>R82*P82*0.01</f>
        <v>4.5454545454545463E-2</v>
      </c>
      <c r="U82" s="148">
        <f>S82*Q82*0.01</f>
        <v>45.45454545454546</v>
      </c>
      <c r="V82" s="7">
        <f>P82*1000</f>
        <v>1000</v>
      </c>
      <c r="W82" s="7">
        <f>Q82*1000</f>
        <v>1000000</v>
      </c>
      <c r="X82" s="1345">
        <f>T82*1000</f>
        <v>45.45454545454546</v>
      </c>
      <c r="Y82" s="1345">
        <f>U82*1000</f>
        <v>45454.545454545463</v>
      </c>
    </row>
    <row r="83" spans="1:25" x14ac:dyDescent="0.2">
      <c r="A83" s="213" t="str">
        <f t="shared" ref="A83:A91" si="169">A173</f>
        <v>LNE</v>
      </c>
      <c r="B83" s="213"/>
      <c r="C83" s="214">
        <f t="shared" ref="C83:H83" si="170">B173*0.001</f>
        <v>4.8399999999999997E-3</v>
      </c>
      <c r="D83" s="214">
        <f t="shared" si="170"/>
        <v>1E-4</v>
      </c>
      <c r="E83" s="214">
        <f t="shared" si="170"/>
        <v>5.3099999999999996E-3</v>
      </c>
      <c r="F83" s="214">
        <f t="shared" si="170"/>
        <v>8.0000000000000007E-5</v>
      </c>
      <c r="G83" s="214">
        <f t="shared" si="170"/>
        <v>4.7199999999999998E-4</v>
      </c>
      <c r="H83" s="214">
        <f t="shared" si="170"/>
        <v>2.5100000000000003E-4</v>
      </c>
      <c r="I83" s="155">
        <f t="shared" si="162"/>
        <v>1</v>
      </c>
      <c r="J83" s="155">
        <f t="shared" si="163"/>
        <v>4.6999999999999993E-4</v>
      </c>
      <c r="K83" s="155">
        <f t="shared" si="164"/>
        <v>9.5351979528481728E-4</v>
      </c>
      <c r="L83" s="155">
        <f t="shared" ref="L83:L84" si="171">IF(C83&lt;$K$2, C83, $K$1)</f>
        <v>4.8399999999999997E-3</v>
      </c>
      <c r="M83" s="156">
        <f t="shared" ref="M83:M84" si="172">IF(AND(C83&lt;$K$1,C83&gt; $K$2), K83/L83*100, K83/C83*100)</f>
        <v>19.70082221662846</v>
      </c>
      <c r="N83" s="157">
        <f t="shared" si="165"/>
        <v>9.5351979528481739E-4</v>
      </c>
      <c r="O83" s="155">
        <f t="shared" si="166"/>
        <v>100</v>
      </c>
      <c r="P83" s="250">
        <v>1</v>
      </c>
      <c r="Q83" s="250">
        <v>1000</v>
      </c>
      <c r="R83" s="148">
        <f t="shared" si="167"/>
        <v>19.70082221662846</v>
      </c>
      <c r="S83" s="148">
        <f t="shared" si="168"/>
        <v>19.70082221662846</v>
      </c>
      <c r="T83" s="148">
        <f t="shared" ref="T83:T84" si="173">R83*P83*0.01</f>
        <v>0.19700822216628461</v>
      </c>
      <c r="U83" s="148">
        <f t="shared" ref="U83:U84" si="174">S83*Q83*0.01</f>
        <v>197.00822216628461</v>
      </c>
      <c r="V83" s="7">
        <f t="shared" ref="V83:V91" si="175">P83*1000</f>
        <v>1000</v>
      </c>
      <c r="W83" s="7">
        <f t="shared" ref="W83:W91" si="176">Q83*1000</f>
        <v>1000000</v>
      </c>
      <c r="X83" s="1345">
        <f t="shared" ref="X83:X91" si="177">T83*1000</f>
        <v>197.00822216628461</v>
      </c>
      <c r="Y83" s="1345">
        <f t="shared" ref="Y83:Y91" si="178">U83*1000</f>
        <v>197008.2221662846</v>
      </c>
    </row>
    <row r="84" spans="1:25" x14ac:dyDescent="0.2">
      <c r="A84" s="213" t="str">
        <f t="shared" si="169"/>
        <v>NIST</v>
      </c>
      <c r="B84" s="213"/>
      <c r="C84" s="214">
        <f t="shared" ref="C84:H84" si="179">B174*0.001</f>
        <v>4.8399999999999997E-3</v>
      </c>
      <c r="D84" s="214">
        <f t="shared" si="179"/>
        <v>1E-4</v>
      </c>
      <c r="E84" s="214">
        <f t="shared" si="179"/>
        <v>4.9500000000000004E-3</v>
      </c>
      <c r="F84" s="214">
        <f t="shared" si="179"/>
        <v>8.0000000000000007E-5</v>
      </c>
      <c r="G84" s="214">
        <f t="shared" si="179"/>
        <v>1.1400000000000001E-4</v>
      </c>
      <c r="H84" s="214">
        <f t="shared" si="179"/>
        <v>2.4499999999999999E-4</v>
      </c>
      <c r="I84" s="155">
        <f t="shared" ref="I84:I91" si="180">IF(ABS(G84)&gt;ABS(H84), 1, 0)</f>
        <v>0</v>
      </c>
      <c r="J84" s="155">
        <f t="shared" ref="J84:J91" si="181">I84*ABS(C84-E84)</f>
        <v>0</v>
      </c>
      <c r="K84" s="155">
        <f t="shared" ref="K84:K91" si="182">SQRT(SUMSQ(F84,J84))*2</f>
        <v>1.6000000000000001E-4</v>
      </c>
      <c r="L84" s="155">
        <f t="shared" si="171"/>
        <v>4.8399999999999997E-3</v>
      </c>
      <c r="M84" s="156">
        <f t="shared" si="172"/>
        <v>3.3057851239669431</v>
      </c>
      <c r="N84" s="157">
        <f t="shared" ref="N84:N91" si="183">M84*L84/100</f>
        <v>1.6000000000000004E-4</v>
      </c>
      <c r="O84" s="155">
        <f t="shared" ref="O84:O91" si="184">N84/(M84*L84/100)*100</f>
        <v>100</v>
      </c>
      <c r="P84" s="250">
        <v>1</v>
      </c>
      <c r="Q84" s="250">
        <v>1000</v>
      </c>
      <c r="R84" s="148">
        <f t="shared" si="167"/>
        <v>3.3057851239669431</v>
      </c>
      <c r="S84" s="148">
        <f t="shared" si="168"/>
        <v>3.3057851239669431</v>
      </c>
      <c r="T84" s="148">
        <f t="shared" si="173"/>
        <v>3.3057851239669429E-2</v>
      </c>
      <c r="U84" s="148">
        <f t="shared" si="174"/>
        <v>33.057851239669432</v>
      </c>
      <c r="V84" s="7">
        <f t="shared" si="175"/>
        <v>1000</v>
      </c>
      <c r="W84" s="7">
        <f t="shared" si="176"/>
        <v>1000000</v>
      </c>
      <c r="X84" s="1345">
        <f t="shared" si="177"/>
        <v>33.057851239669432</v>
      </c>
      <c r="Y84" s="1345">
        <f t="shared" si="178"/>
        <v>33057.851239669435</v>
      </c>
    </row>
    <row r="85" spans="1:25" x14ac:dyDescent="0.2">
      <c r="A85" s="213" t="str">
        <f t="shared" si="169"/>
        <v>NMISA</v>
      </c>
      <c r="B85" s="213"/>
      <c r="C85" s="214">
        <f t="shared" ref="C85:H85" si="185">B175*0.001</f>
        <v>4.8399999999999997E-3</v>
      </c>
      <c r="D85" s="214">
        <f t="shared" si="185"/>
        <v>1E-4</v>
      </c>
      <c r="E85" s="214">
        <f t="shared" si="185"/>
        <v>5.5300000000000002E-3</v>
      </c>
      <c r="F85" s="214">
        <f t="shared" si="185"/>
        <v>5.0000000000000002E-5</v>
      </c>
      <c r="G85" s="214">
        <f t="shared" si="185"/>
        <v>6.8999999999999997E-4</v>
      </c>
      <c r="H85" s="214">
        <f t="shared" si="185"/>
        <v>2.1700000000000002E-4</v>
      </c>
      <c r="I85" s="155">
        <f t="shared" si="180"/>
        <v>1</v>
      </c>
      <c r="J85" s="155">
        <f t="shared" si="181"/>
        <v>6.9000000000000051E-4</v>
      </c>
      <c r="K85" s="155">
        <f t="shared" si="182"/>
        <v>1.3836184445142391E-3</v>
      </c>
      <c r="L85" s="155">
        <f t="shared" ref="L85:L91" si="186">IF(C85&lt;$K$2, C85, $K$1)</f>
        <v>4.8399999999999997E-3</v>
      </c>
      <c r="M85" s="156">
        <f t="shared" ref="M85:M91" si="187">IF(AND(C85&lt;$K$1,C85&gt; $K$2), K85/L85*100, K85/C85*100)</f>
        <v>28.587157944509073</v>
      </c>
      <c r="N85" s="157">
        <f t="shared" si="183"/>
        <v>1.3836184445142391E-3</v>
      </c>
      <c r="O85" s="155">
        <f t="shared" si="184"/>
        <v>100</v>
      </c>
      <c r="P85" s="250">
        <v>1</v>
      </c>
      <c r="Q85" s="250">
        <v>1000</v>
      </c>
      <c r="R85" s="148">
        <f t="shared" si="167"/>
        <v>28.587157944509073</v>
      </c>
      <c r="S85" s="148">
        <f t="shared" si="168"/>
        <v>28.587157944509073</v>
      </c>
      <c r="T85" s="148">
        <f t="shared" ref="T85:T91" si="188">R85*P85*0.01</f>
        <v>0.28587157944509073</v>
      </c>
      <c r="U85" s="148">
        <f t="shared" ref="U85:U91" si="189">S85*Q85*0.01</f>
        <v>285.87157944509073</v>
      </c>
      <c r="V85" s="7">
        <f t="shared" si="175"/>
        <v>1000</v>
      </c>
      <c r="W85" s="7">
        <f t="shared" si="176"/>
        <v>1000000</v>
      </c>
      <c r="X85" s="1345">
        <f t="shared" si="177"/>
        <v>285.87157944509073</v>
      </c>
      <c r="Y85" s="1345">
        <f t="shared" si="178"/>
        <v>285871.57944509073</v>
      </c>
    </row>
    <row r="86" spans="1:25" x14ac:dyDescent="0.2">
      <c r="A86" s="213" t="str">
        <f t="shared" si="169"/>
        <v>NPL</v>
      </c>
      <c r="B86" s="213"/>
      <c r="C86" s="214">
        <f t="shared" ref="C86:H86" si="190">B176*0.001</f>
        <v>4.8399999999999997E-3</v>
      </c>
      <c r="D86" s="214">
        <f t="shared" si="190"/>
        <v>1E-4</v>
      </c>
      <c r="E86" s="214">
        <f t="shared" si="190"/>
        <v>4.7800000000000004E-3</v>
      </c>
      <c r="F86" s="214">
        <f t="shared" si="190"/>
        <v>5.0000000000000002E-5</v>
      </c>
      <c r="G86" s="214">
        <f t="shared" si="190"/>
        <v>-5.5999999999999999E-5</v>
      </c>
      <c r="H86" s="214">
        <f t="shared" si="190"/>
        <v>2.1100000000000001E-4</v>
      </c>
      <c r="I86" s="155">
        <f t="shared" si="180"/>
        <v>0</v>
      </c>
      <c r="J86" s="155">
        <f t="shared" si="181"/>
        <v>0</v>
      </c>
      <c r="K86" s="155">
        <f t="shared" si="182"/>
        <v>1E-4</v>
      </c>
      <c r="L86" s="155">
        <f t="shared" si="186"/>
        <v>4.8399999999999997E-3</v>
      </c>
      <c r="M86" s="156">
        <f t="shared" si="187"/>
        <v>2.0661157024793391</v>
      </c>
      <c r="N86" s="157">
        <f t="shared" si="183"/>
        <v>1E-4</v>
      </c>
      <c r="O86" s="155">
        <f t="shared" si="184"/>
        <v>100</v>
      </c>
      <c r="P86" s="250">
        <v>1</v>
      </c>
      <c r="Q86" s="250">
        <v>1000</v>
      </c>
      <c r="R86" s="148">
        <f t="shared" si="167"/>
        <v>2.0661157024793391</v>
      </c>
      <c r="S86" s="148">
        <f t="shared" si="168"/>
        <v>2.0661157024793391</v>
      </c>
      <c r="T86" s="148">
        <f t="shared" si="188"/>
        <v>2.0661157024793392E-2</v>
      </c>
      <c r="U86" s="148">
        <f t="shared" si="189"/>
        <v>20.661157024793393</v>
      </c>
      <c r="V86" s="7">
        <f t="shared" si="175"/>
        <v>1000</v>
      </c>
      <c r="W86" s="7">
        <f t="shared" si="176"/>
        <v>1000000</v>
      </c>
      <c r="X86" s="1345">
        <f t="shared" si="177"/>
        <v>20.661157024793393</v>
      </c>
      <c r="Y86" s="1345">
        <f t="shared" si="178"/>
        <v>20661.157024793392</v>
      </c>
    </row>
    <row r="87" spans="1:25" x14ac:dyDescent="0.2">
      <c r="A87" s="213" t="str">
        <f t="shared" si="169"/>
        <v>VNIIM</v>
      </c>
      <c r="B87" s="213"/>
      <c r="C87" s="214">
        <f t="shared" ref="C87:H87" si="191">B177*0.001</f>
        <v>4.8399999999999997E-3</v>
      </c>
      <c r="D87" s="214">
        <f t="shared" si="191"/>
        <v>1E-4</v>
      </c>
      <c r="E87" s="214">
        <f t="shared" si="191"/>
        <v>5.4000000000000003E-3</v>
      </c>
      <c r="F87" s="214">
        <f t="shared" si="191"/>
        <v>1.1E-4</v>
      </c>
      <c r="G87" s="214">
        <f t="shared" si="191"/>
        <v>5.6499999999999996E-4</v>
      </c>
      <c r="H87" s="214">
        <f t="shared" si="191"/>
        <v>2.9399999999999999E-4</v>
      </c>
      <c r="I87" s="155">
        <f t="shared" si="180"/>
        <v>1</v>
      </c>
      <c r="J87" s="155">
        <f t="shared" si="181"/>
        <v>5.600000000000006E-4</v>
      </c>
      <c r="K87" s="155">
        <f t="shared" si="182"/>
        <v>1.1414026458704232E-3</v>
      </c>
      <c r="L87" s="155">
        <f t="shared" si="186"/>
        <v>4.8399999999999997E-3</v>
      </c>
      <c r="M87" s="156">
        <f t="shared" si="187"/>
        <v>23.582699294843458</v>
      </c>
      <c r="N87" s="157">
        <f t="shared" si="183"/>
        <v>1.1414026458704232E-3</v>
      </c>
      <c r="O87" s="155">
        <f t="shared" si="184"/>
        <v>100</v>
      </c>
      <c r="P87" s="250">
        <v>1</v>
      </c>
      <c r="Q87" s="250">
        <v>1000</v>
      </c>
      <c r="R87" s="148">
        <f t="shared" si="167"/>
        <v>23.582699294843458</v>
      </c>
      <c r="S87" s="148">
        <f t="shared" si="168"/>
        <v>23.582699294843458</v>
      </c>
      <c r="T87" s="148">
        <f t="shared" si="188"/>
        <v>0.23582699294843459</v>
      </c>
      <c r="U87" s="148">
        <f t="shared" si="189"/>
        <v>235.82699294843457</v>
      </c>
      <c r="V87" s="7">
        <f t="shared" si="175"/>
        <v>1000</v>
      </c>
      <c r="W87" s="7">
        <f t="shared" si="176"/>
        <v>1000000</v>
      </c>
      <c r="X87" s="1345">
        <f t="shared" si="177"/>
        <v>235.82699294843459</v>
      </c>
      <c r="Y87" s="1345">
        <f t="shared" si="178"/>
        <v>235826.99294843458</v>
      </c>
    </row>
    <row r="88" spans="1:25" x14ac:dyDescent="0.2">
      <c r="A88" s="213" t="str">
        <f t="shared" si="169"/>
        <v>VSL</v>
      </c>
      <c r="B88" s="213"/>
      <c r="C88" s="214">
        <f t="shared" ref="C88:H88" si="192">B178*0.001</f>
        <v>4.8399999999999997E-3</v>
      </c>
      <c r="D88" s="214">
        <f t="shared" si="192"/>
        <v>1E-4</v>
      </c>
      <c r="E88" s="214">
        <f t="shared" si="192"/>
        <v>4.8799999999999998E-3</v>
      </c>
      <c r="F88" s="214">
        <f t="shared" si="192"/>
        <v>1E-4</v>
      </c>
      <c r="G88" s="214">
        <f t="shared" si="192"/>
        <v>4.2999999999999995E-5</v>
      </c>
      <c r="H88" s="214">
        <f t="shared" si="192"/>
        <v>2.7200000000000005E-4</v>
      </c>
      <c r="I88" s="155">
        <f t="shared" si="180"/>
        <v>0</v>
      </c>
      <c r="J88" s="155">
        <f t="shared" si="181"/>
        <v>0</v>
      </c>
      <c r="K88" s="155">
        <f t="shared" si="182"/>
        <v>2.0000000000000001E-4</v>
      </c>
      <c r="L88" s="155">
        <f t="shared" si="186"/>
        <v>4.8399999999999997E-3</v>
      </c>
      <c r="M88" s="156">
        <f t="shared" si="187"/>
        <v>4.1322314049586781</v>
      </c>
      <c r="N88" s="157">
        <f t="shared" si="183"/>
        <v>2.0000000000000001E-4</v>
      </c>
      <c r="O88" s="155">
        <f t="shared" si="184"/>
        <v>100</v>
      </c>
      <c r="P88" s="250">
        <v>1</v>
      </c>
      <c r="Q88" s="250">
        <v>1000</v>
      </c>
      <c r="R88" s="148">
        <f t="shared" si="167"/>
        <v>4.1322314049586781</v>
      </c>
      <c r="S88" s="148">
        <f t="shared" si="168"/>
        <v>4.1322314049586781</v>
      </c>
      <c r="T88" s="148">
        <f t="shared" si="188"/>
        <v>4.1322314049586785E-2</v>
      </c>
      <c r="U88" s="148">
        <f t="shared" si="189"/>
        <v>41.322314049586787</v>
      </c>
      <c r="V88" s="7">
        <f t="shared" si="175"/>
        <v>1000</v>
      </c>
      <c r="W88" s="7">
        <f t="shared" si="176"/>
        <v>1000000</v>
      </c>
      <c r="X88" s="1345">
        <f t="shared" si="177"/>
        <v>41.322314049586787</v>
      </c>
      <c r="Y88" s="1345">
        <f t="shared" si="178"/>
        <v>41322.314049586785</v>
      </c>
    </row>
    <row r="89" spans="1:25" x14ac:dyDescent="0.2">
      <c r="A89" s="213" t="str">
        <f t="shared" si="169"/>
        <v>METAS</v>
      </c>
      <c r="B89" s="213"/>
      <c r="C89" s="214">
        <f t="shared" ref="C89:H89" si="193">B179*0.001</f>
        <v>4.7629999999999999E-3</v>
      </c>
      <c r="D89" s="214">
        <f t="shared" si="193"/>
        <v>1.21E-4</v>
      </c>
      <c r="E89" s="214">
        <f t="shared" si="193"/>
        <v>5.3800000000000002E-3</v>
      </c>
      <c r="F89" s="214">
        <f t="shared" si="193"/>
        <v>9.5000000000000005E-5</v>
      </c>
      <c r="G89" s="214">
        <f t="shared" si="193"/>
        <v>6.1700000000000004E-4</v>
      </c>
      <c r="H89" s="214">
        <f t="shared" si="193"/>
        <v>4.5700000000000005E-4</v>
      </c>
      <c r="I89" s="155">
        <f t="shared" si="180"/>
        <v>1</v>
      </c>
      <c r="J89" s="155">
        <f t="shared" si="181"/>
        <v>6.1700000000000036E-4</v>
      </c>
      <c r="K89" s="155">
        <f t="shared" si="182"/>
        <v>1.2485415491684695E-3</v>
      </c>
      <c r="L89" s="155">
        <f t="shared" si="186"/>
        <v>4.7629999999999999E-3</v>
      </c>
      <c r="M89" s="156">
        <f t="shared" si="187"/>
        <v>26.213343463541243</v>
      </c>
      <c r="N89" s="157">
        <f t="shared" si="183"/>
        <v>1.2485415491684693E-3</v>
      </c>
      <c r="O89" s="155">
        <f t="shared" si="184"/>
        <v>100</v>
      </c>
      <c r="P89" s="250">
        <v>1</v>
      </c>
      <c r="Q89" s="250">
        <v>1000</v>
      </c>
      <c r="R89" s="148">
        <f t="shared" si="167"/>
        <v>26.213343463541243</v>
      </c>
      <c r="S89" s="148">
        <f t="shared" si="168"/>
        <v>26.213343463541243</v>
      </c>
      <c r="T89" s="148">
        <f t="shared" si="188"/>
        <v>0.26213343463541244</v>
      </c>
      <c r="U89" s="148">
        <f t="shared" si="189"/>
        <v>262.13343463541241</v>
      </c>
      <c r="V89" s="7">
        <f t="shared" si="175"/>
        <v>1000</v>
      </c>
      <c r="W89" s="7">
        <f t="shared" si="176"/>
        <v>1000000</v>
      </c>
      <c r="X89" s="1345">
        <f t="shared" si="177"/>
        <v>262.13343463541247</v>
      </c>
      <c r="Y89" s="1345">
        <f t="shared" si="178"/>
        <v>262133.43463541241</v>
      </c>
    </row>
    <row r="90" spans="1:25" x14ac:dyDescent="0.2">
      <c r="A90" s="213" t="str">
        <f t="shared" si="169"/>
        <v>UBA</v>
      </c>
      <c r="B90" s="213"/>
      <c r="C90" s="214">
        <f t="shared" ref="C90:H90" si="194">B180*0.001</f>
        <v>4.7629999999999999E-3</v>
      </c>
      <c r="D90" s="214">
        <f t="shared" si="194"/>
        <v>1.21E-4</v>
      </c>
      <c r="E90" s="214">
        <f t="shared" si="194"/>
        <v>4.5999999999999999E-3</v>
      </c>
      <c r="F90" s="214">
        <f t="shared" si="194"/>
        <v>3.0000000000000001E-5</v>
      </c>
      <c r="G90" s="214">
        <f t="shared" si="194"/>
        <v>-1.63E-4</v>
      </c>
      <c r="H90" s="214">
        <f t="shared" si="194"/>
        <v>3.0600000000000001E-4</v>
      </c>
      <c r="I90" s="155">
        <f t="shared" si="180"/>
        <v>0</v>
      </c>
      <c r="J90" s="155">
        <f t="shared" si="181"/>
        <v>0</v>
      </c>
      <c r="K90" s="155">
        <f t="shared" si="182"/>
        <v>6.0000000000000002E-5</v>
      </c>
      <c r="L90" s="155">
        <f t="shared" si="186"/>
        <v>4.7629999999999999E-3</v>
      </c>
      <c r="M90" s="156">
        <f t="shared" si="187"/>
        <v>1.259710266638673</v>
      </c>
      <c r="N90" s="157">
        <f t="shared" si="183"/>
        <v>5.9999999999999995E-5</v>
      </c>
      <c r="O90" s="155">
        <f t="shared" si="184"/>
        <v>100</v>
      </c>
      <c r="P90" s="250">
        <v>1</v>
      </c>
      <c r="Q90" s="250">
        <v>1000</v>
      </c>
      <c r="R90" s="148">
        <f t="shared" si="167"/>
        <v>1.259710266638673</v>
      </c>
      <c r="S90" s="148">
        <f t="shared" si="168"/>
        <v>1.259710266638673</v>
      </c>
      <c r="T90" s="148">
        <f t="shared" si="188"/>
        <v>1.2597102666386731E-2</v>
      </c>
      <c r="U90" s="148">
        <f t="shared" si="189"/>
        <v>12.59710266638673</v>
      </c>
      <c r="V90" s="7">
        <f t="shared" si="175"/>
        <v>1000</v>
      </c>
      <c r="W90" s="7">
        <f t="shared" si="176"/>
        <v>1000000</v>
      </c>
      <c r="X90" s="1345">
        <f t="shared" si="177"/>
        <v>12.597102666386732</v>
      </c>
      <c r="Y90" s="1345">
        <f t="shared" si="178"/>
        <v>12597.102666386731</v>
      </c>
    </row>
    <row r="91" spans="1:25" x14ac:dyDescent="0.2">
      <c r="A91" s="213" t="str">
        <f t="shared" si="169"/>
        <v>CHMI</v>
      </c>
      <c r="B91" s="213"/>
      <c r="C91" s="214">
        <f t="shared" ref="C91:H91" si="195">B181*0.001</f>
        <v>4.7629999999999999E-3</v>
      </c>
      <c r="D91" s="214">
        <f t="shared" si="195"/>
        <v>1.21E-4</v>
      </c>
      <c r="E91" s="214">
        <f t="shared" si="195"/>
        <v>4.9500000000000004E-3</v>
      </c>
      <c r="F91" s="214">
        <f t="shared" si="195"/>
        <v>1.45E-4</v>
      </c>
      <c r="G91" s="214">
        <f t="shared" si="195"/>
        <v>1.8699999999999999E-4</v>
      </c>
      <c r="H91" s="214">
        <f t="shared" si="195"/>
        <v>4.1099999999999996E-4</v>
      </c>
      <c r="I91" s="155">
        <f t="shared" si="180"/>
        <v>0</v>
      </c>
      <c r="J91" s="155">
        <f t="shared" si="181"/>
        <v>0</v>
      </c>
      <c r="K91" s="155">
        <f t="shared" si="182"/>
        <v>2.9E-4</v>
      </c>
      <c r="L91" s="155">
        <f t="shared" si="186"/>
        <v>4.7629999999999999E-3</v>
      </c>
      <c r="M91" s="156">
        <f t="shared" si="187"/>
        <v>6.0885996220869201</v>
      </c>
      <c r="N91" s="157">
        <f t="shared" si="183"/>
        <v>2.9E-4</v>
      </c>
      <c r="O91" s="155">
        <f t="shared" si="184"/>
        <v>100</v>
      </c>
      <c r="P91" s="250">
        <v>1</v>
      </c>
      <c r="Q91" s="250">
        <v>1000</v>
      </c>
      <c r="R91" s="148">
        <f t="shared" si="167"/>
        <v>6.0885996220869201</v>
      </c>
      <c r="S91" s="148">
        <f t="shared" si="168"/>
        <v>6.0885996220869201</v>
      </c>
      <c r="T91" s="148">
        <f t="shared" si="188"/>
        <v>6.0885996220869203E-2</v>
      </c>
      <c r="U91" s="148">
        <f t="shared" si="189"/>
        <v>60.885996220869202</v>
      </c>
      <c r="V91" s="7">
        <f t="shared" si="175"/>
        <v>1000</v>
      </c>
      <c r="W91" s="7">
        <f t="shared" si="176"/>
        <v>1000000</v>
      </c>
      <c r="X91" s="1345">
        <f t="shared" si="177"/>
        <v>60.885996220869202</v>
      </c>
      <c r="Y91" s="1345">
        <f t="shared" si="178"/>
        <v>60885.996220869201</v>
      </c>
    </row>
    <row r="92" spans="1:25" x14ac:dyDescent="0.2">
      <c r="A92" s="97"/>
      <c r="B92" s="97"/>
      <c r="C92" s="97"/>
      <c r="D92" s="97"/>
      <c r="E92" s="97"/>
      <c r="F92" s="97"/>
      <c r="G92" s="97"/>
      <c r="H92" s="97"/>
      <c r="I92" s="113"/>
      <c r="J92" s="113"/>
      <c r="K92" s="113"/>
      <c r="L92" s="113"/>
      <c r="M92" s="113"/>
      <c r="N92" s="113"/>
      <c r="O92" s="113"/>
      <c r="R92" s="113"/>
      <c r="S92" s="113"/>
      <c r="T92" s="146"/>
      <c r="U92" s="146"/>
    </row>
    <row r="93" spans="1:25" ht="14.25" x14ac:dyDescent="0.2">
      <c r="A93" s="8"/>
      <c r="B93" s="8"/>
    </row>
    <row r="94" spans="1:25" ht="14.25" x14ac:dyDescent="0.2">
      <c r="A94" s="1" t="s">
        <v>90</v>
      </c>
      <c r="B94" s="8"/>
    </row>
    <row r="95" spans="1:25" ht="14.25" x14ac:dyDescent="0.2">
      <c r="A95" s="1" t="s">
        <v>85</v>
      </c>
      <c r="H95" s="9"/>
    </row>
    <row r="96" spans="1:25" ht="14.25" x14ac:dyDescent="0.2">
      <c r="A96" s="1" t="s">
        <v>98</v>
      </c>
      <c r="B96" s="8"/>
    </row>
    <row r="98" spans="1:21" ht="14.25" x14ac:dyDescent="0.2">
      <c r="A98" s="8"/>
      <c r="B98" s="8"/>
      <c r="N98" s="149" t="s">
        <v>91</v>
      </c>
    </row>
    <row r="99" spans="1:21" x14ac:dyDescent="0.2">
      <c r="A99" s="10" t="s">
        <v>82</v>
      </c>
      <c r="D99" s="10" t="s">
        <v>97</v>
      </c>
      <c r="G99" s="10" t="s">
        <v>97</v>
      </c>
      <c r="S99" s="150"/>
      <c r="U99" s="149"/>
    </row>
    <row r="100" spans="1:21" x14ac:dyDescent="0.2">
      <c r="A100" s="11"/>
      <c r="B100" s="11" t="s">
        <v>96</v>
      </c>
      <c r="C100" s="11"/>
      <c r="D100" s="11" t="s">
        <v>95</v>
      </c>
      <c r="E100" s="11"/>
      <c r="F100" s="11"/>
      <c r="G100" s="11"/>
      <c r="S100" s="150"/>
      <c r="U100" s="149"/>
    </row>
    <row r="101" spans="1:21" x14ac:dyDescent="0.2">
      <c r="A101" s="12"/>
      <c r="B101" s="12" t="s">
        <v>92</v>
      </c>
      <c r="C101" s="12" t="s">
        <v>93</v>
      </c>
      <c r="D101" s="13" t="s">
        <v>94</v>
      </c>
      <c r="E101" s="12" t="s">
        <v>93</v>
      </c>
      <c r="F101" s="12" t="s">
        <v>69</v>
      </c>
      <c r="G101" s="12" t="s">
        <v>84</v>
      </c>
      <c r="S101" s="150"/>
      <c r="U101" s="149"/>
    </row>
    <row r="102" spans="1:21" x14ac:dyDescent="0.2">
      <c r="A102" s="11" t="s">
        <v>17</v>
      </c>
      <c r="B102" s="14">
        <v>5.0999999999999996</v>
      </c>
      <c r="C102" s="14">
        <v>0.1</v>
      </c>
      <c r="D102" s="14">
        <v>5.1100000000000003</v>
      </c>
      <c r="E102" s="14">
        <v>0.1</v>
      </c>
      <c r="F102" s="11">
        <v>5.0000000000000001E-3</v>
      </c>
      <c r="G102" s="11">
        <v>0.28000000000000003</v>
      </c>
      <c r="S102" s="150"/>
      <c r="U102" s="149"/>
    </row>
    <row r="103" spans="1:21" x14ac:dyDescent="0.2">
      <c r="A103" s="1" t="s">
        <v>18</v>
      </c>
      <c r="B103" s="15">
        <v>5.0999999999999996</v>
      </c>
      <c r="C103" s="15">
        <v>0.1</v>
      </c>
      <c r="D103" s="15">
        <v>5.6</v>
      </c>
      <c r="E103" s="15">
        <v>0.11</v>
      </c>
      <c r="F103" s="1">
        <v>0.5</v>
      </c>
      <c r="G103" s="1">
        <v>0.29499999999999998</v>
      </c>
      <c r="S103" s="150"/>
      <c r="U103" s="149"/>
    </row>
    <row r="104" spans="1:21" x14ac:dyDescent="0.2">
      <c r="A104" s="1" t="s">
        <v>20</v>
      </c>
      <c r="B104" s="15">
        <v>5.0999999999999996</v>
      </c>
      <c r="C104" s="15">
        <v>0.1</v>
      </c>
      <c r="D104" s="15">
        <v>5.24</v>
      </c>
      <c r="E104" s="15">
        <v>0.04</v>
      </c>
      <c r="F104" s="1">
        <v>0.13500000000000001</v>
      </c>
      <c r="G104" s="1">
        <v>0.217</v>
      </c>
      <c r="S104" s="150"/>
      <c r="U104" s="149"/>
    </row>
    <row r="105" spans="1:21" x14ac:dyDescent="0.2">
      <c r="A105" s="1" t="s">
        <v>15</v>
      </c>
      <c r="B105" s="15">
        <v>5.0999999999999996</v>
      </c>
      <c r="C105" s="15">
        <v>0.1</v>
      </c>
      <c r="D105" s="15">
        <v>4.8</v>
      </c>
      <c r="E105" s="15">
        <v>0.06</v>
      </c>
      <c r="F105" s="1">
        <v>-0.29699999999999999</v>
      </c>
      <c r="G105" s="1">
        <v>0.23300000000000001</v>
      </c>
      <c r="S105" s="150"/>
      <c r="U105" s="149"/>
    </row>
    <row r="106" spans="1:21" x14ac:dyDescent="0.2">
      <c r="A106" s="1" t="s">
        <v>16</v>
      </c>
      <c r="B106" s="15">
        <v>5.0999999999999996</v>
      </c>
      <c r="C106" s="15">
        <v>0.1</v>
      </c>
      <c r="D106" s="15">
        <v>5.12</v>
      </c>
      <c r="E106" s="15">
        <v>0.05</v>
      </c>
      <c r="F106" s="1">
        <v>0.02</v>
      </c>
      <c r="G106" s="1">
        <v>0.22600000000000001</v>
      </c>
      <c r="S106" s="150"/>
      <c r="U106" s="149"/>
    </row>
    <row r="107" spans="1:21" x14ac:dyDescent="0.2">
      <c r="A107" s="1" t="s">
        <v>2</v>
      </c>
      <c r="B107" s="15">
        <v>5.0999999999999996</v>
      </c>
      <c r="C107" s="15">
        <v>0.1</v>
      </c>
      <c r="D107" s="15">
        <v>5.63</v>
      </c>
      <c r="E107" s="15">
        <v>0.08</v>
      </c>
      <c r="F107" s="1">
        <v>0.53</v>
      </c>
      <c r="G107" s="1">
        <v>0.25800000000000001</v>
      </c>
      <c r="S107" s="150"/>
      <c r="U107" s="149"/>
    </row>
    <row r="108" spans="1:21" x14ac:dyDescent="0.2">
      <c r="A108" s="12" t="s">
        <v>21</v>
      </c>
      <c r="B108" s="16">
        <v>5.0999999999999996</v>
      </c>
      <c r="C108" s="16">
        <v>0.1</v>
      </c>
      <c r="D108" s="16">
        <v>5.14</v>
      </c>
      <c r="E108" s="16">
        <v>0.05</v>
      </c>
      <c r="F108" s="12">
        <v>4.1000000000000002E-2</v>
      </c>
      <c r="G108" s="12">
        <v>0.22500000000000001</v>
      </c>
      <c r="S108" s="150"/>
      <c r="U108" s="149"/>
    </row>
    <row r="109" spans="1:21" x14ac:dyDescent="0.2">
      <c r="A109" s="11" t="s">
        <v>19</v>
      </c>
      <c r="B109" s="11">
        <v>5.0910000000000002</v>
      </c>
      <c r="C109" s="11">
        <f>0.084/2</f>
        <v>4.2000000000000003E-2</v>
      </c>
      <c r="D109" s="11">
        <v>6.21</v>
      </c>
      <c r="E109" s="11">
        <f>0.72/2</f>
        <v>0.36</v>
      </c>
      <c r="F109" s="11">
        <v>1.119</v>
      </c>
      <c r="G109" s="11">
        <v>0.71</v>
      </c>
      <c r="S109" s="150"/>
      <c r="U109" s="149"/>
    </row>
    <row r="110" spans="1:21" x14ac:dyDescent="0.2">
      <c r="A110" s="1" t="s">
        <v>99</v>
      </c>
      <c r="B110" s="1">
        <v>5.0910000000000002</v>
      </c>
      <c r="C110" s="1">
        <f>0.084/2</f>
        <v>4.2000000000000003E-2</v>
      </c>
      <c r="D110" s="1">
        <v>5.09</v>
      </c>
      <c r="E110" s="1">
        <f>0.04/2</f>
        <v>0.02</v>
      </c>
      <c r="F110" s="1">
        <v>-1E-3</v>
      </c>
      <c r="G110" s="1">
        <v>9.5000000000000001E-2</v>
      </c>
      <c r="S110" s="150"/>
      <c r="U110" s="149"/>
    </row>
    <row r="111" spans="1:21" x14ac:dyDescent="0.2">
      <c r="A111" s="12" t="s">
        <v>68</v>
      </c>
      <c r="B111" s="12">
        <v>5.0910000000000002</v>
      </c>
      <c r="C111" s="12">
        <f>0.084/2</f>
        <v>4.2000000000000003E-2</v>
      </c>
      <c r="D111" s="12">
        <v>5.15</v>
      </c>
      <c r="E111" s="12">
        <f>0.31/2</f>
        <v>0.155</v>
      </c>
      <c r="F111" s="12">
        <v>5.8999999999999997E-2</v>
      </c>
      <c r="G111" s="12">
        <v>0.27600000000000002</v>
      </c>
      <c r="S111" s="150"/>
      <c r="U111" s="149"/>
    </row>
    <row r="112" spans="1:21" ht="14.25" x14ac:dyDescent="0.2">
      <c r="A112" s="8"/>
      <c r="B112" s="17"/>
      <c r="C112" s="15"/>
      <c r="D112" s="15"/>
      <c r="E112" s="15"/>
      <c r="S112" s="150"/>
      <c r="U112" s="149"/>
    </row>
    <row r="113" spans="1:21" x14ac:dyDescent="0.2">
      <c r="A113" s="10" t="s">
        <v>83</v>
      </c>
      <c r="B113" s="15"/>
      <c r="D113" s="10" t="s">
        <v>97</v>
      </c>
      <c r="E113" s="15"/>
      <c r="S113" s="150"/>
      <c r="U113" s="149"/>
    </row>
    <row r="114" spans="1:21" x14ac:dyDescent="0.2">
      <c r="A114" s="11"/>
      <c r="B114" s="11" t="s">
        <v>96</v>
      </c>
      <c r="C114" s="11"/>
      <c r="D114" s="11" t="s">
        <v>95</v>
      </c>
      <c r="E114" s="11"/>
      <c r="F114" s="11"/>
      <c r="G114" s="18"/>
      <c r="S114" s="150"/>
      <c r="U114" s="149"/>
    </row>
    <row r="115" spans="1:21" x14ac:dyDescent="0.2">
      <c r="A115" s="12"/>
      <c r="B115" s="16" t="s">
        <v>92</v>
      </c>
      <c r="C115" s="16" t="s">
        <v>93</v>
      </c>
      <c r="D115" s="19" t="s">
        <v>94</v>
      </c>
      <c r="E115" s="16" t="s">
        <v>93</v>
      </c>
      <c r="F115" s="12" t="s">
        <v>69</v>
      </c>
      <c r="G115" s="12" t="s">
        <v>84</v>
      </c>
      <c r="S115" s="150"/>
      <c r="U115" s="149"/>
    </row>
    <row r="116" spans="1:21" x14ac:dyDescent="0.2">
      <c r="A116" s="11" t="s">
        <v>17</v>
      </c>
      <c r="B116" s="14">
        <v>4.91</v>
      </c>
      <c r="C116" s="14">
        <v>0.1</v>
      </c>
      <c r="D116" s="14">
        <v>4.8600000000000003</v>
      </c>
      <c r="E116" s="14">
        <v>0.1</v>
      </c>
      <c r="F116" s="11">
        <v>-4.2999999999999997E-2</v>
      </c>
      <c r="G116" s="11">
        <v>0.26800000000000002</v>
      </c>
      <c r="S116" s="150"/>
      <c r="U116" s="149"/>
    </row>
    <row r="117" spans="1:21" x14ac:dyDescent="0.2">
      <c r="A117" s="1" t="s">
        <v>18</v>
      </c>
      <c r="B117" s="15">
        <v>4.91</v>
      </c>
      <c r="C117" s="15">
        <v>0.1</v>
      </c>
      <c r="D117" s="15">
        <v>5.41</v>
      </c>
      <c r="E117" s="15">
        <v>0.1</v>
      </c>
      <c r="F117" s="1">
        <v>0.50800000000000001</v>
      </c>
      <c r="G117" s="1">
        <v>0.28100000000000003</v>
      </c>
      <c r="S117" s="150"/>
      <c r="U117" s="149"/>
    </row>
    <row r="118" spans="1:21" x14ac:dyDescent="0.2">
      <c r="A118" s="1" t="s">
        <v>20</v>
      </c>
      <c r="B118" s="15">
        <v>4.91</v>
      </c>
      <c r="C118" s="15">
        <v>0.1</v>
      </c>
      <c r="D118" s="15">
        <v>5.03</v>
      </c>
      <c r="E118" s="15">
        <v>0.04</v>
      </c>
      <c r="F118" s="1">
        <v>0.124</v>
      </c>
      <c r="G118" s="1">
        <v>0.20699999999999999</v>
      </c>
      <c r="S118" s="150"/>
      <c r="U118" s="149"/>
    </row>
    <row r="119" spans="1:21" x14ac:dyDescent="0.2">
      <c r="A119" s="1" t="s">
        <v>15</v>
      </c>
      <c r="B119" s="15">
        <v>4.91</v>
      </c>
      <c r="C119" s="15">
        <v>0.1</v>
      </c>
      <c r="D119" s="15">
        <v>5.21</v>
      </c>
      <c r="E119" s="15">
        <v>0.06</v>
      </c>
      <c r="F119" s="1">
        <v>0.30199999999999999</v>
      </c>
      <c r="G119" s="1">
        <v>0.224</v>
      </c>
      <c r="S119" s="150"/>
      <c r="U119" s="149"/>
    </row>
    <row r="120" spans="1:21" x14ac:dyDescent="0.2">
      <c r="A120" s="1" t="s">
        <v>16</v>
      </c>
      <c r="B120" s="15">
        <v>4.91</v>
      </c>
      <c r="C120" s="15">
        <v>0.1</v>
      </c>
      <c r="D120" s="15">
        <v>4.95</v>
      </c>
      <c r="E120" s="15">
        <v>0.05</v>
      </c>
      <c r="F120" s="1">
        <v>4.2000000000000003E-2</v>
      </c>
      <c r="G120" s="1">
        <v>0.218</v>
      </c>
      <c r="S120" s="150"/>
      <c r="U120" s="149"/>
    </row>
    <row r="121" spans="1:21" x14ac:dyDescent="0.2">
      <c r="A121" s="1" t="s">
        <v>2</v>
      </c>
      <c r="B121" s="15">
        <v>4.91</v>
      </c>
      <c r="C121" s="15">
        <v>0.1</v>
      </c>
      <c r="D121" s="15">
        <v>5.41</v>
      </c>
      <c r="E121" s="15">
        <v>0.08</v>
      </c>
      <c r="F121" s="1">
        <v>0.498</v>
      </c>
      <c r="G121" s="1">
        <v>0.247</v>
      </c>
      <c r="S121" s="150"/>
      <c r="U121" s="149"/>
    </row>
    <row r="122" spans="1:21" x14ac:dyDescent="0.2">
      <c r="A122" s="12" t="s">
        <v>21</v>
      </c>
      <c r="B122" s="16">
        <v>4.91</v>
      </c>
      <c r="C122" s="16">
        <v>0.1</v>
      </c>
      <c r="D122" s="16">
        <v>4.96</v>
      </c>
      <c r="E122" s="16">
        <v>0.05</v>
      </c>
      <c r="F122" s="12">
        <v>0.05</v>
      </c>
      <c r="G122" s="12">
        <v>0.217</v>
      </c>
      <c r="S122" s="150"/>
      <c r="U122" s="149"/>
    </row>
    <row r="123" spans="1:21" x14ac:dyDescent="0.2">
      <c r="A123" s="11" t="s">
        <v>19</v>
      </c>
      <c r="B123" s="11">
        <v>4.9509999999999996</v>
      </c>
      <c r="C123" s="11">
        <f>0.131/2</f>
        <v>6.5500000000000003E-2</v>
      </c>
      <c r="D123" s="11">
        <v>5.49</v>
      </c>
      <c r="E123" s="11">
        <f>0.15/2</f>
        <v>7.4999999999999997E-2</v>
      </c>
      <c r="F123" s="20">
        <v>0.53900000000000003</v>
      </c>
      <c r="G123" s="20">
        <v>0.24</v>
      </c>
      <c r="S123" s="150"/>
      <c r="U123" s="149"/>
    </row>
    <row r="124" spans="1:21" x14ac:dyDescent="0.2">
      <c r="A124" s="1" t="s">
        <v>99</v>
      </c>
      <c r="B124" s="1">
        <v>4.9509999999999996</v>
      </c>
      <c r="C124" s="1">
        <f>0.131/2</f>
        <v>6.5500000000000003E-2</v>
      </c>
      <c r="D124" s="1">
        <v>4.92</v>
      </c>
      <c r="E124" s="1">
        <f>0.05/2</f>
        <v>2.5000000000000001E-2</v>
      </c>
      <c r="F124" s="21">
        <v>-3.1E-2</v>
      </c>
      <c r="G124" s="21">
        <v>0.14099999999999999</v>
      </c>
      <c r="S124" s="150"/>
      <c r="U124" s="149"/>
    </row>
    <row r="125" spans="1:21" x14ac:dyDescent="0.2">
      <c r="A125" s="12" t="s">
        <v>68</v>
      </c>
      <c r="B125" s="12">
        <v>4.9509999999999996</v>
      </c>
      <c r="C125" s="12">
        <f>0.131/2</f>
        <v>6.5500000000000003E-2</v>
      </c>
      <c r="D125" s="12">
        <v>5.14</v>
      </c>
      <c r="E125" s="12">
        <f>0.24/2</f>
        <v>0.12</v>
      </c>
      <c r="F125" s="22">
        <v>0.189</v>
      </c>
      <c r="G125" s="22">
        <v>0.254</v>
      </c>
      <c r="S125" s="150"/>
      <c r="U125" s="149"/>
    </row>
    <row r="126" spans="1:21" ht="14.25" x14ac:dyDescent="0.2">
      <c r="A126" s="8"/>
      <c r="B126" s="17"/>
      <c r="C126" s="15"/>
      <c r="D126" s="15"/>
      <c r="E126" s="15"/>
      <c r="S126" s="150"/>
      <c r="U126" s="149"/>
    </row>
    <row r="127" spans="1:21" x14ac:dyDescent="0.2">
      <c r="A127" s="10" t="s">
        <v>86</v>
      </c>
      <c r="B127" s="15"/>
      <c r="D127" s="10" t="s">
        <v>97</v>
      </c>
      <c r="E127" s="15"/>
      <c r="S127" s="150"/>
      <c r="U127" s="149"/>
    </row>
    <row r="128" spans="1:21" x14ac:dyDescent="0.2">
      <c r="A128" s="11"/>
      <c r="B128" s="11" t="s">
        <v>96</v>
      </c>
      <c r="C128" s="11"/>
      <c r="D128" s="11" t="s">
        <v>95</v>
      </c>
      <c r="E128" s="11"/>
      <c r="F128" s="11"/>
      <c r="G128" s="18"/>
      <c r="S128" s="150"/>
      <c r="U128" s="149"/>
    </row>
    <row r="129" spans="1:21" x14ac:dyDescent="0.2">
      <c r="A129" s="12"/>
      <c r="B129" s="16" t="s">
        <v>92</v>
      </c>
      <c r="C129" s="16" t="s">
        <v>93</v>
      </c>
      <c r="D129" s="19" t="s">
        <v>94</v>
      </c>
      <c r="E129" s="16" t="s">
        <v>93</v>
      </c>
      <c r="F129" s="12" t="s">
        <v>69</v>
      </c>
      <c r="G129" s="12" t="s">
        <v>84</v>
      </c>
      <c r="S129" s="150"/>
      <c r="U129" s="149"/>
    </row>
    <row r="130" spans="1:21" x14ac:dyDescent="0.2">
      <c r="A130" s="11" t="s">
        <v>17</v>
      </c>
      <c r="B130" s="14">
        <v>4.66</v>
      </c>
      <c r="C130" s="14">
        <v>0.09</v>
      </c>
      <c r="D130" s="14">
        <v>4.5199999999999996</v>
      </c>
      <c r="E130" s="14">
        <v>0.08</v>
      </c>
      <c r="F130" s="11">
        <v>-0.13300000000000001</v>
      </c>
      <c r="G130" s="11">
        <v>0.24299999999999999</v>
      </c>
      <c r="S130" s="150"/>
      <c r="U130" s="149"/>
    </row>
    <row r="131" spans="1:21" x14ac:dyDescent="0.2">
      <c r="A131" s="1" t="s">
        <v>18</v>
      </c>
      <c r="B131" s="15">
        <v>4.66</v>
      </c>
      <c r="C131" s="15">
        <v>0.09</v>
      </c>
      <c r="D131" s="15">
        <v>5.17</v>
      </c>
      <c r="E131" s="15">
        <v>0.11</v>
      </c>
      <c r="F131" s="1">
        <v>0.51500000000000001</v>
      </c>
      <c r="G131" s="1">
        <v>0.27700000000000002</v>
      </c>
      <c r="S131" s="150"/>
      <c r="U131" s="149"/>
    </row>
    <row r="132" spans="1:21" x14ac:dyDescent="0.2">
      <c r="A132" s="1" t="s">
        <v>20</v>
      </c>
      <c r="B132" s="15">
        <v>4.66</v>
      </c>
      <c r="C132" s="15">
        <v>0.09</v>
      </c>
      <c r="D132" s="15">
        <v>4.76</v>
      </c>
      <c r="E132" s="15">
        <v>0.06</v>
      </c>
      <c r="F132" s="1">
        <v>0.108</v>
      </c>
      <c r="G132" s="1">
        <v>0.214</v>
      </c>
      <c r="S132" s="150"/>
      <c r="U132" s="149"/>
    </row>
    <row r="133" spans="1:21" x14ac:dyDescent="0.2">
      <c r="A133" s="1" t="s">
        <v>15</v>
      </c>
      <c r="B133" s="15">
        <v>4.66</v>
      </c>
      <c r="C133" s="15">
        <v>0.09</v>
      </c>
      <c r="D133" s="15">
        <v>5.0199999999999996</v>
      </c>
      <c r="E133" s="15">
        <v>0.05</v>
      </c>
      <c r="F133" s="1">
        <v>0.36199999999999999</v>
      </c>
      <c r="G133" s="1">
        <v>0.20599999999999999</v>
      </c>
      <c r="S133" s="150"/>
      <c r="U133" s="149"/>
    </row>
    <row r="134" spans="1:21" x14ac:dyDescent="0.2">
      <c r="A134" s="1" t="s">
        <v>16</v>
      </c>
      <c r="B134" s="15">
        <v>4.66</v>
      </c>
      <c r="C134" s="15">
        <v>0.09</v>
      </c>
      <c r="D134" s="15">
        <v>4.66</v>
      </c>
      <c r="E134" s="15">
        <v>0.05</v>
      </c>
      <c r="F134" s="1">
        <v>1E-3</v>
      </c>
      <c r="G134" s="1">
        <v>0.20499999999999999</v>
      </c>
      <c r="S134" s="150"/>
      <c r="U134" s="149"/>
    </row>
    <row r="135" spans="1:21" x14ac:dyDescent="0.2">
      <c r="A135" s="1" t="s">
        <v>2</v>
      </c>
      <c r="B135" s="15">
        <v>4.66</v>
      </c>
      <c r="C135" s="15">
        <v>0.09</v>
      </c>
      <c r="D135" s="15">
        <v>5.21</v>
      </c>
      <c r="E135" s="15">
        <v>0.11</v>
      </c>
      <c r="F135" s="1">
        <v>0.55500000000000005</v>
      </c>
      <c r="G135" s="1">
        <v>0.28399999999999997</v>
      </c>
      <c r="S135" s="150"/>
      <c r="U135" s="149"/>
    </row>
    <row r="136" spans="1:21" x14ac:dyDescent="0.2">
      <c r="A136" s="12" t="s">
        <v>21</v>
      </c>
      <c r="B136" s="16">
        <v>4.66</v>
      </c>
      <c r="C136" s="16">
        <v>0.09</v>
      </c>
      <c r="D136" s="16">
        <v>4.75</v>
      </c>
      <c r="E136" s="16">
        <v>7.0000000000000007E-2</v>
      </c>
      <c r="F136" s="12">
        <v>9.6000000000000002E-2</v>
      </c>
      <c r="G136" s="12">
        <v>0.23100000000000001</v>
      </c>
      <c r="S136" s="150"/>
      <c r="U136" s="149"/>
    </row>
    <row r="137" spans="1:21" x14ac:dyDescent="0.2">
      <c r="A137" s="11" t="s">
        <v>19</v>
      </c>
      <c r="B137" s="11">
        <v>4.6280000000000001</v>
      </c>
      <c r="C137" s="11">
        <f>0.23/2</f>
        <v>0.115</v>
      </c>
      <c r="D137" s="11">
        <v>5.15</v>
      </c>
      <c r="E137" s="11">
        <f>0.14/2</f>
        <v>7.0000000000000007E-2</v>
      </c>
      <c r="F137" s="11">
        <v>0.52200000000000002</v>
      </c>
      <c r="G137" s="11">
        <v>0.41799999999999998</v>
      </c>
      <c r="S137" s="150"/>
      <c r="U137" s="149"/>
    </row>
    <row r="138" spans="1:21" x14ac:dyDescent="0.2">
      <c r="A138" s="1" t="s">
        <v>99</v>
      </c>
      <c r="B138" s="1">
        <v>4.6280000000000001</v>
      </c>
      <c r="C138" s="1">
        <f>0.23/2</f>
        <v>0.115</v>
      </c>
      <c r="D138" s="1">
        <v>4.4800000000000004</v>
      </c>
      <c r="E138" s="1">
        <f>0.04/2</f>
        <v>0.02</v>
      </c>
      <c r="F138" s="1">
        <v>-0.14799999999999999</v>
      </c>
      <c r="G138" s="1">
        <v>0.28799999999999998</v>
      </c>
      <c r="S138" s="150"/>
      <c r="U138" s="149"/>
    </row>
    <row r="139" spans="1:21" x14ac:dyDescent="0.2">
      <c r="A139" s="12" t="s">
        <v>68</v>
      </c>
      <c r="B139" s="12">
        <v>4.6280000000000001</v>
      </c>
      <c r="C139" s="12">
        <f>0.23/2</f>
        <v>0.115</v>
      </c>
      <c r="D139" s="12">
        <v>4.8499999999999996</v>
      </c>
      <c r="E139" s="12">
        <f>0.25/2</f>
        <v>0.125</v>
      </c>
      <c r="F139" s="12">
        <v>0.222</v>
      </c>
      <c r="G139" s="12">
        <v>0.38</v>
      </c>
      <c r="S139" s="150"/>
      <c r="U139" s="149"/>
    </row>
    <row r="140" spans="1:21" ht="14.25" x14ac:dyDescent="0.2">
      <c r="A140" s="8"/>
      <c r="B140" s="17"/>
      <c r="C140" s="15"/>
      <c r="D140" s="15"/>
      <c r="E140" s="15"/>
      <c r="S140" s="150"/>
      <c r="U140" s="149"/>
    </row>
    <row r="141" spans="1:21" x14ac:dyDescent="0.2">
      <c r="A141" s="10" t="s">
        <v>87</v>
      </c>
      <c r="B141" s="15"/>
      <c r="D141" s="10" t="s">
        <v>97</v>
      </c>
      <c r="E141" s="15"/>
      <c r="S141" s="150"/>
      <c r="U141" s="149"/>
    </row>
    <row r="142" spans="1:21" x14ac:dyDescent="0.2">
      <c r="A142" s="11"/>
      <c r="B142" s="11" t="s">
        <v>96</v>
      </c>
      <c r="C142" s="11"/>
      <c r="D142" s="11" t="s">
        <v>95</v>
      </c>
      <c r="E142" s="11"/>
      <c r="F142" s="11"/>
      <c r="G142" s="18"/>
      <c r="S142" s="150"/>
      <c r="U142" s="149"/>
    </row>
    <row r="143" spans="1:21" x14ac:dyDescent="0.2">
      <c r="A143" s="12"/>
      <c r="B143" s="16" t="s">
        <v>92</v>
      </c>
      <c r="C143" s="16" t="s">
        <v>93</v>
      </c>
      <c r="D143" s="19" t="s">
        <v>94</v>
      </c>
      <c r="E143" s="16" t="s">
        <v>93</v>
      </c>
      <c r="F143" s="12" t="s">
        <v>69</v>
      </c>
      <c r="G143" s="12" t="s">
        <v>84</v>
      </c>
      <c r="S143" s="150"/>
      <c r="U143" s="149"/>
    </row>
    <row r="144" spans="1:21" x14ac:dyDescent="0.2">
      <c r="A144" s="11" t="s">
        <v>17</v>
      </c>
      <c r="B144" s="14">
        <v>4.8899999999999997</v>
      </c>
      <c r="C144" s="14">
        <v>0.1</v>
      </c>
      <c r="D144" s="14">
        <v>4.79</v>
      </c>
      <c r="E144" s="14">
        <v>0.11</v>
      </c>
      <c r="F144" s="11">
        <v>-0.105</v>
      </c>
      <c r="G144" s="11">
        <v>0.29299999999999998</v>
      </c>
      <c r="S144" s="150"/>
      <c r="U144" s="149"/>
    </row>
    <row r="145" spans="1:21" x14ac:dyDescent="0.2">
      <c r="A145" s="1" t="s">
        <v>18</v>
      </c>
      <c r="B145" s="15">
        <v>4.8899999999999997</v>
      </c>
      <c r="C145" s="15">
        <v>0.1</v>
      </c>
      <c r="D145" s="15">
        <v>5.45</v>
      </c>
      <c r="E145" s="15">
        <v>0.11</v>
      </c>
      <c r="F145" s="1">
        <v>0.56000000000000005</v>
      </c>
      <c r="G145" s="1">
        <v>0.29199999999999998</v>
      </c>
      <c r="S145" s="150"/>
      <c r="U145" s="149"/>
    </row>
    <row r="146" spans="1:21" x14ac:dyDescent="0.2">
      <c r="A146" s="1" t="s">
        <v>20</v>
      </c>
      <c r="B146" s="15">
        <v>4.8899999999999997</v>
      </c>
      <c r="C146" s="15">
        <v>0.1</v>
      </c>
      <c r="D146" s="15">
        <v>5</v>
      </c>
      <c r="E146" s="15">
        <v>0.06</v>
      </c>
      <c r="F146" s="1">
        <v>0.106</v>
      </c>
      <c r="G146" s="1">
        <v>0.22900000000000001</v>
      </c>
      <c r="S146" s="150"/>
      <c r="U146" s="149"/>
    </row>
    <row r="147" spans="1:21" x14ac:dyDescent="0.2">
      <c r="A147" s="1" t="s">
        <v>15</v>
      </c>
      <c r="B147" s="15">
        <v>4.8899999999999997</v>
      </c>
      <c r="C147" s="15">
        <v>0.1</v>
      </c>
      <c r="D147" s="15">
        <v>5.48</v>
      </c>
      <c r="E147" s="15">
        <v>0.05</v>
      </c>
      <c r="F147" s="1">
        <v>0.58399999999999996</v>
      </c>
      <c r="G147" s="1">
        <v>0.219</v>
      </c>
      <c r="S147" s="150"/>
      <c r="U147" s="149"/>
    </row>
    <row r="148" spans="1:21" x14ac:dyDescent="0.2">
      <c r="A148" s="1" t="s">
        <v>16</v>
      </c>
      <c r="B148" s="15">
        <v>4.8899999999999997</v>
      </c>
      <c r="C148" s="15">
        <v>0.1</v>
      </c>
      <c r="D148" s="15">
        <v>4.9400000000000004</v>
      </c>
      <c r="E148" s="15">
        <v>0.05</v>
      </c>
      <c r="F148" s="1">
        <v>4.8000000000000001E-2</v>
      </c>
      <c r="G148" s="1">
        <v>0.216</v>
      </c>
      <c r="S148" s="150"/>
      <c r="U148" s="149"/>
    </row>
    <row r="149" spans="1:21" x14ac:dyDescent="0.2">
      <c r="A149" s="1" t="s">
        <v>2</v>
      </c>
      <c r="B149" s="15">
        <v>4.8899999999999997</v>
      </c>
      <c r="C149" s="15">
        <v>0.1</v>
      </c>
      <c r="D149" s="15">
        <v>5.53</v>
      </c>
      <c r="E149" s="15">
        <v>0.12</v>
      </c>
      <c r="F149" s="1">
        <v>0.64100000000000001</v>
      </c>
      <c r="G149" s="1">
        <v>0.3</v>
      </c>
      <c r="S149" s="150"/>
      <c r="U149" s="149"/>
    </row>
    <row r="150" spans="1:21" x14ac:dyDescent="0.2">
      <c r="A150" s="12" t="s">
        <v>21</v>
      </c>
      <c r="B150" s="16">
        <v>4.8899999999999997</v>
      </c>
      <c r="C150" s="16">
        <v>0.1</v>
      </c>
      <c r="D150" s="16">
        <v>5.0599999999999996</v>
      </c>
      <c r="E150" s="16">
        <v>0.1</v>
      </c>
      <c r="F150" s="12">
        <v>0.16700000000000001</v>
      </c>
      <c r="G150" s="12">
        <v>0.27800000000000002</v>
      </c>
      <c r="S150" s="150"/>
      <c r="U150" s="149"/>
    </row>
    <row r="151" spans="1:21" x14ac:dyDescent="0.2">
      <c r="A151" s="11" t="s">
        <v>19</v>
      </c>
      <c r="B151" s="11">
        <v>9.8079999999999998</v>
      </c>
      <c r="C151" s="11">
        <f>0.207/2</f>
        <v>0.10349999999999999</v>
      </c>
      <c r="D151" s="11">
        <v>11</v>
      </c>
      <c r="E151" s="11">
        <f>0.22/2</f>
        <v>0.11</v>
      </c>
      <c r="F151" s="20">
        <v>1.1919999999999999</v>
      </c>
      <c r="G151" s="20">
        <v>0.29599999999999999</v>
      </c>
      <c r="S151" s="150"/>
      <c r="U151" s="149"/>
    </row>
    <row r="152" spans="1:21" x14ac:dyDescent="0.2">
      <c r="A152" s="1" t="s">
        <v>99</v>
      </c>
      <c r="B152" s="1">
        <v>9.8079999999999998</v>
      </c>
      <c r="C152" s="1">
        <f>0.207/2</f>
        <v>0.10349999999999999</v>
      </c>
      <c r="D152" s="1">
        <v>9.8000000000000007</v>
      </c>
      <c r="E152" s="1">
        <f>0.14/2</f>
        <v>7.0000000000000007E-2</v>
      </c>
      <c r="F152" s="21">
        <v>-8.0000000000000002E-3</v>
      </c>
      <c r="G152" s="21">
        <v>0.218</v>
      </c>
      <c r="S152" s="150"/>
      <c r="U152" s="149"/>
    </row>
    <row r="153" spans="1:21" x14ac:dyDescent="0.2">
      <c r="A153" s="12" t="s">
        <v>68</v>
      </c>
      <c r="B153" s="12">
        <v>9.8079999999999998</v>
      </c>
      <c r="C153" s="12">
        <f>0.207/2</f>
        <v>0.10349999999999999</v>
      </c>
      <c r="D153" s="12">
        <v>10.050000000000001</v>
      </c>
      <c r="E153" s="12">
        <f>0.53/2</f>
        <v>0.26500000000000001</v>
      </c>
      <c r="F153" s="22">
        <v>0.24199999999999999</v>
      </c>
      <c r="G153" s="22">
        <v>0.47399999999999998</v>
      </c>
      <c r="S153" s="150"/>
      <c r="U153" s="149"/>
    </row>
    <row r="154" spans="1:21" ht="14.25" x14ac:dyDescent="0.2">
      <c r="A154" s="8"/>
      <c r="B154" s="17"/>
      <c r="C154" s="15"/>
      <c r="D154" s="15"/>
      <c r="E154" s="15"/>
      <c r="S154" s="150"/>
      <c r="U154" s="149"/>
    </row>
    <row r="155" spans="1:21" x14ac:dyDescent="0.2">
      <c r="A155" s="10" t="s">
        <v>88</v>
      </c>
      <c r="B155" s="15"/>
      <c r="D155" s="10" t="s">
        <v>97</v>
      </c>
      <c r="E155" s="15"/>
      <c r="S155" s="150"/>
      <c r="U155" s="149"/>
    </row>
    <row r="156" spans="1:21" x14ac:dyDescent="0.2">
      <c r="A156" s="11"/>
      <c r="B156" s="11" t="s">
        <v>96</v>
      </c>
      <c r="C156" s="11"/>
      <c r="D156" s="11" t="s">
        <v>95</v>
      </c>
      <c r="E156" s="11"/>
      <c r="F156" s="11"/>
      <c r="G156" s="18"/>
      <c r="S156" s="150"/>
      <c r="U156" s="149"/>
    </row>
    <row r="157" spans="1:21" x14ac:dyDescent="0.2">
      <c r="A157" s="12"/>
      <c r="B157" s="16" t="s">
        <v>92</v>
      </c>
      <c r="C157" s="16" t="s">
        <v>93</v>
      </c>
      <c r="D157" s="19" t="s">
        <v>94</v>
      </c>
      <c r="E157" s="16" t="s">
        <v>93</v>
      </c>
      <c r="F157" s="12" t="s">
        <v>69</v>
      </c>
      <c r="G157" s="12" t="s">
        <v>84</v>
      </c>
      <c r="S157" s="150"/>
      <c r="U157" s="149"/>
    </row>
    <row r="158" spans="1:21" x14ac:dyDescent="0.2">
      <c r="A158" s="11" t="s">
        <v>17</v>
      </c>
      <c r="B158" s="14">
        <v>4.84</v>
      </c>
      <c r="C158" s="14">
        <v>0.1</v>
      </c>
      <c r="D158" s="14">
        <v>4.72</v>
      </c>
      <c r="E158" s="14">
        <v>0.11</v>
      </c>
      <c r="F158" s="11">
        <v>-0.11899999999999999</v>
      </c>
      <c r="G158" s="11">
        <v>0.28999999999999998</v>
      </c>
      <c r="S158" s="150"/>
      <c r="U158" s="149"/>
    </row>
    <row r="159" spans="1:21" x14ac:dyDescent="0.2">
      <c r="A159" s="1" t="s">
        <v>18</v>
      </c>
      <c r="B159" s="15">
        <v>4.84</v>
      </c>
      <c r="C159" s="15">
        <v>0.1</v>
      </c>
      <c r="D159" s="15">
        <v>5.43</v>
      </c>
      <c r="E159" s="15">
        <v>0.12</v>
      </c>
      <c r="F159" s="1">
        <v>0.59499999999999997</v>
      </c>
      <c r="G159" s="1">
        <v>0.30199999999999999</v>
      </c>
      <c r="S159" s="150"/>
      <c r="U159" s="149"/>
    </row>
    <row r="160" spans="1:21" x14ac:dyDescent="0.2">
      <c r="A160" s="1" t="s">
        <v>20</v>
      </c>
      <c r="B160" s="15">
        <v>4.84</v>
      </c>
      <c r="C160" s="15">
        <v>0.1</v>
      </c>
      <c r="D160" s="15">
        <v>4.95</v>
      </c>
      <c r="E160" s="15">
        <v>0.08</v>
      </c>
      <c r="F160" s="1">
        <v>0.111</v>
      </c>
      <c r="G160" s="1">
        <v>0.248</v>
      </c>
      <c r="S160" s="150"/>
      <c r="U160" s="149"/>
    </row>
    <row r="161" spans="1:21" x14ac:dyDescent="0.2">
      <c r="A161" s="1" t="s">
        <v>15</v>
      </c>
      <c r="B161" s="15">
        <v>4.84</v>
      </c>
      <c r="C161" s="15">
        <v>0.1</v>
      </c>
      <c r="D161" s="15">
        <v>5.79</v>
      </c>
      <c r="E161" s="15">
        <v>0.06</v>
      </c>
      <c r="F161" s="1">
        <v>0.95199999999999996</v>
      </c>
      <c r="G161" s="1">
        <v>0.222</v>
      </c>
      <c r="S161" s="150"/>
      <c r="U161" s="149"/>
    </row>
    <row r="162" spans="1:21" ht="13.5" x14ac:dyDescent="0.2">
      <c r="A162" s="1" t="s">
        <v>16</v>
      </c>
      <c r="B162" s="15">
        <v>4.84</v>
      </c>
      <c r="C162" s="15">
        <v>0.1</v>
      </c>
      <c r="D162" s="15">
        <v>4.9000000000000004</v>
      </c>
      <c r="E162" s="15">
        <v>0.05</v>
      </c>
      <c r="F162" s="1">
        <v>5.6000000000000001E-2</v>
      </c>
      <c r="G162" s="1">
        <v>0.214</v>
      </c>
      <c r="H162" s="23"/>
      <c r="S162" s="150"/>
      <c r="U162" s="149"/>
    </row>
    <row r="163" spans="1:21" ht="13.5" x14ac:dyDescent="0.2">
      <c r="A163" s="1" t="s">
        <v>2</v>
      </c>
      <c r="B163" s="15">
        <v>4.84</v>
      </c>
      <c r="C163" s="15">
        <v>0.1</v>
      </c>
      <c r="D163" s="15">
        <v>5.54</v>
      </c>
      <c r="E163" s="15">
        <v>0.12</v>
      </c>
      <c r="F163" s="1">
        <v>0.7</v>
      </c>
      <c r="G163" s="1">
        <v>0.29899999999999999</v>
      </c>
      <c r="H163" s="23"/>
      <c r="S163" s="150"/>
      <c r="U163" s="149"/>
    </row>
    <row r="164" spans="1:21" ht="13.5" x14ac:dyDescent="0.2">
      <c r="A164" s="12" t="s">
        <v>21</v>
      </c>
      <c r="B164" s="16">
        <v>4.84</v>
      </c>
      <c r="C164" s="16">
        <v>0.1</v>
      </c>
      <c r="D164" s="16">
        <v>5.0199999999999996</v>
      </c>
      <c r="E164" s="16">
        <v>0.1</v>
      </c>
      <c r="F164" s="12">
        <v>0.17699999999999999</v>
      </c>
      <c r="G164" s="12">
        <v>0.27600000000000002</v>
      </c>
      <c r="H164" s="23"/>
      <c r="S164" s="150"/>
      <c r="U164" s="149"/>
    </row>
    <row r="165" spans="1:21" ht="13.5" x14ac:dyDescent="0.2">
      <c r="A165" s="11" t="s">
        <v>19</v>
      </c>
      <c r="B165" s="11">
        <v>9.8079999999999998</v>
      </c>
      <c r="C165" s="11">
        <f>0.207/2</f>
        <v>0.10349999999999999</v>
      </c>
      <c r="D165" s="11">
        <v>11</v>
      </c>
      <c r="E165" s="11">
        <f>0.22/2</f>
        <v>0.11</v>
      </c>
      <c r="F165" s="20">
        <v>1.1919999999999999</v>
      </c>
      <c r="G165" s="20">
        <v>0.29599999999999999</v>
      </c>
      <c r="H165" s="23"/>
      <c r="S165" s="150"/>
      <c r="U165" s="149"/>
    </row>
    <row r="166" spans="1:21" ht="13.5" x14ac:dyDescent="0.2">
      <c r="A166" s="1" t="s">
        <v>99</v>
      </c>
      <c r="B166" s="1">
        <v>9.8079999999999998</v>
      </c>
      <c r="C166" s="1">
        <f>0.207/2</f>
        <v>0.10349999999999999</v>
      </c>
      <c r="D166" s="1">
        <v>9.8000000000000007</v>
      </c>
      <c r="E166" s="1">
        <f>0.14/2</f>
        <v>7.0000000000000007E-2</v>
      </c>
      <c r="F166" s="21">
        <v>-8.0000000000000002E-3</v>
      </c>
      <c r="G166" s="21">
        <v>0.218</v>
      </c>
      <c r="H166" s="23"/>
      <c r="S166" s="150"/>
      <c r="U166" s="149"/>
    </row>
    <row r="167" spans="1:21" ht="13.5" x14ac:dyDescent="0.2">
      <c r="A167" s="12" t="s">
        <v>68</v>
      </c>
      <c r="B167" s="12">
        <v>9.8079999999999998</v>
      </c>
      <c r="C167" s="12">
        <f>0.207/2</f>
        <v>0.10349999999999999</v>
      </c>
      <c r="D167" s="12">
        <v>10.050000000000001</v>
      </c>
      <c r="E167" s="12">
        <f>0.53/2</f>
        <v>0.26500000000000001</v>
      </c>
      <c r="F167" s="22">
        <v>0.24199999999999999</v>
      </c>
      <c r="G167" s="22">
        <v>0.47399999999999998</v>
      </c>
      <c r="H167" s="23"/>
      <c r="S167" s="150"/>
      <c r="U167" s="149"/>
    </row>
    <row r="168" spans="1:21" ht="14.25" x14ac:dyDescent="0.2">
      <c r="A168" s="8"/>
      <c r="B168" s="17"/>
      <c r="C168" s="15"/>
      <c r="D168" s="15"/>
      <c r="E168" s="15"/>
      <c r="S168" s="150"/>
      <c r="U168" s="149"/>
    </row>
    <row r="169" spans="1:21" x14ac:dyDescent="0.2">
      <c r="A169" s="10" t="s">
        <v>89</v>
      </c>
      <c r="B169" s="15"/>
      <c r="D169" s="10" t="s">
        <v>97</v>
      </c>
      <c r="E169" s="15"/>
      <c r="S169" s="150"/>
      <c r="U169" s="149"/>
    </row>
    <row r="170" spans="1:21" ht="13.5" x14ac:dyDescent="0.2">
      <c r="A170" s="11"/>
      <c r="B170" s="11" t="s">
        <v>96</v>
      </c>
      <c r="C170" s="11"/>
      <c r="D170" s="11" t="s">
        <v>95</v>
      </c>
      <c r="E170" s="11"/>
      <c r="F170" s="11"/>
      <c r="G170" s="18"/>
      <c r="H170" s="23"/>
      <c r="S170" s="150"/>
      <c r="U170" s="149"/>
    </row>
    <row r="171" spans="1:21" ht="13.5" x14ac:dyDescent="0.2">
      <c r="A171" s="12"/>
      <c r="B171" s="16" t="s">
        <v>92</v>
      </c>
      <c r="C171" s="16" t="s">
        <v>93</v>
      </c>
      <c r="D171" s="19" t="s">
        <v>94</v>
      </c>
      <c r="E171" s="16" t="s">
        <v>93</v>
      </c>
      <c r="F171" s="12" t="s">
        <v>69</v>
      </c>
      <c r="G171" s="12" t="s">
        <v>84</v>
      </c>
      <c r="H171" s="23"/>
      <c r="S171" s="150"/>
      <c r="U171" s="149"/>
    </row>
    <row r="172" spans="1:21" x14ac:dyDescent="0.2">
      <c r="A172" s="11" t="s">
        <v>17</v>
      </c>
      <c r="B172" s="14">
        <v>4.84</v>
      </c>
      <c r="C172" s="14">
        <v>0.1</v>
      </c>
      <c r="D172" s="14">
        <v>4.59</v>
      </c>
      <c r="E172" s="14">
        <v>0.11</v>
      </c>
      <c r="F172" s="11">
        <v>-0.249</v>
      </c>
      <c r="G172" s="11">
        <v>0.28199999999999997</v>
      </c>
      <c r="S172" s="150"/>
      <c r="U172" s="149"/>
    </row>
    <row r="173" spans="1:21" x14ac:dyDescent="0.2">
      <c r="A173" s="1" t="s">
        <v>18</v>
      </c>
      <c r="B173" s="15">
        <v>4.84</v>
      </c>
      <c r="C173" s="15">
        <v>0.1</v>
      </c>
      <c r="D173" s="15">
        <v>5.31</v>
      </c>
      <c r="E173" s="15">
        <v>0.08</v>
      </c>
      <c r="F173" s="1">
        <v>0.47199999999999998</v>
      </c>
      <c r="G173" s="1">
        <v>0.251</v>
      </c>
      <c r="S173" s="150"/>
      <c r="U173" s="149"/>
    </row>
    <row r="174" spans="1:21" x14ac:dyDescent="0.2">
      <c r="A174" s="1" t="s">
        <v>20</v>
      </c>
      <c r="B174" s="15">
        <v>4.84</v>
      </c>
      <c r="C174" s="15">
        <v>0.1</v>
      </c>
      <c r="D174" s="15">
        <v>4.95</v>
      </c>
      <c r="E174" s="15">
        <v>0.08</v>
      </c>
      <c r="F174" s="1">
        <v>0.114</v>
      </c>
      <c r="G174" s="1">
        <v>0.245</v>
      </c>
      <c r="S174" s="150"/>
      <c r="U174" s="149"/>
    </row>
    <row r="175" spans="1:21" x14ac:dyDescent="0.2">
      <c r="A175" s="1" t="s">
        <v>15</v>
      </c>
      <c r="B175" s="15">
        <v>4.84</v>
      </c>
      <c r="C175" s="15">
        <v>0.1</v>
      </c>
      <c r="D175" s="15">
        <v>5.53</v>
      </c>
      <c r="E175" s="15">
        <v>0.05</v>
      </c>
      <c r="F175" s="1">
        <v>0.69</v>
      </c>
      <c r="G175" s="1">
        <v>0.217</v>
      </c>
      <c r="S175" s="150"/>
      <c r="U175" s="149"/>
    </row>
    <row r="176" spans="1:21" x14ac:dyDescent="0.2">
      <c r="A176" s="1" t="s">
        <v>16</v>
      </c>
      <c r="B176" s="15">
        <v>4.84</v>
      </c>
      <c r="C176" s="15">
        <v>0.1</v>
      </c>
      <c r="D176" s="15">
        <v>4.78</v>
      </c>
      <c r="E176" s="15">
        <v>0.05</v>
      </c>
      <c r="F176" s="1">
        <v>-5.6000000000000001E-2</v>
      </c>
      <c r="G176" s="1">
        <v>0.21099999999999999</v>
      </c>
      <c r="S176" s="150"/>
      <c r="U176" s="149"/>
    </row>
    <row r="177" spans="1:26" x14ac:dyDescent="0.2">
      <c r="A177" s="1" t="s">
        <v>2</v>
      </c>
      <c r="B177" s="15">
        <v>4.84</v>
      </c>
      <c r="C177" s="15">
        <v>0.1</v>
      </c>
      <c r="D177" s="15">
        <v>5.4</v>
      </c>
      <c r="E177" s="15">
        <v>0.11</v>
      </c>
      <c r="F177" s="1">
        <v>0.56499999999999995</v>
      </c>
      <c r="G177" s="1">
        <v>0.29399999999999998</v>
      </c>
      <c r="S177" s="150"/>
      <c r="U177" s="149"/>
    </row>
    <row r="178" spans="1:26" x14ac:dyDescent="0.2">
      <c r="A178" s="12" t="s">
        <v>21</v>
      </c>
      <c r="B178" s="16">
        <v>4.84</v>
      </c>
      <c r="C178" s="16">
        <v>0.1</v>
      </c>
      <c r="D178" s="16">
        <v>4.88</v>
      </c>
      <c r="E178" s="16">
        <v>0.1</v>
      </c>
      <c r="F178" s="12">
        <v>4.2999999999999997E-2</v>
      </c>
      <c r="G178" s="12">
        <v>0.27200000000000002</v>
      </c>
      <c r="S178" s="150"/>
      <c r="U178" s="149"/>
    </row>
    <row r="179" spans="1:26" x14ac:dyDescent="0.2">
      <c r="A179" s="11" t="s">
        <v>19</v>
      </c>
      <c r="B179" s="11">
        <v>4.7629999999999999</v>
      </c>
      <c r="C179" s="11">
        <f>0.242/2</f>
        <v>0.121</v>
      </c>
      <c r="D179" s="11">
        <v>5.38</v>
      </c>
      <c r="E179" s="11">
        <f>0.19/2</f>
        <v>9.5000000000000001E-2</v>
      </c>
      <c r="F179" s="11">
        <v>0.61699999999999999</v>
      </c>
      <c r="G179" s="11">
        <v>0.45700000000000002</v>
      </c>
      <c r="S179" s="150"/>
      <c r="U179" s="149"/>
    </row>
    <row r="180" spans="1:26" ht="13.5" x14ac:dyDescent="0.2">
      <c r="A180" s="1" t="s">
        <v>99</v>
      </c>
      <c r="B180" s="1">
        <v>4.7629999999999999</v>
      </c>
      <c r="C180" s="1">
        <f>0.242/2</f>
        <v>0.121</v>
      </c>
      <c r="D180" s="1">
        <v>4.5999999999999996</v>
      </c>
      <c r="E180" s="1">
        <f>0.06/2</f>
        <v>0.03</v>
      </c>
      <c r="F180" s="1">
        <v>-0.16300000000000001</v>
      </c>
      <c r="G180" s="1">
        <v>0.30599999999999999</v>
      </c>
      <c r="H180" s="23"/>
      <c r="S180" s="150"/>
      <c r="U180" s="149"/>
    </row>
    <row r="181" spans="1:26" ht="13.5" x14ac:dyDescent="0.2">
      <c r="A181" s="12" t="s">
        <v>68</v>
      </c>
      <c r="B181" s="12">
        <v>4.7629999999999999</v>
      </c>
      <c r="C181" s="12">
        <f>0.242/2</f>
        <v>0.121</v>
      </c>
      <c r="D181" s="12">
        <v>4.95</v>
      </c>
      <c r="E181" s="12">
        <f>0.29/2</f>
        <v>0.14499999999999999</v>
      </c>
      <c r="F181" s="12">
        <v>0.187</v>
      </c>
      <c r="G181" s="12">
        <v>0.41099999999999998</v>
      </c>
      <c r="H181" s="23"/>
      <c r="S181" s="150"/>
      <c r="U181" s="149"/>
    </row>
    <row r="182" spans="1:26" ht="14.25" x14ac:dyDescent="0.2">
      <c r="A182" s="8"/>
      <c r="B182" s="8"/>
    </row>
    <row r="183" spans="1:26" ht="14.25" x14ac:dyDescent="0.2">
      <c r="A183" s="8"/>
      <c r="B183" s="8"/>
    </row>
    <row r="184" spans="1:26" ht="14.25" x14ac:dyDescent="0.2">
      <c r="A184" s="8"/>
      <c r="B184" s="8"/>
    </row>
    <row r="185" spans="1:26" ht="14.25" x14ac:dyDescent="0.2">
      <c r="A185" s="8"/>
      <c r="B185" s="8"/>
    </row>
    <row r="187" spans="1:26" ht="14.25" x14ac:dyDescent="0.2">
      <c r="H187" s="9"/>
      <c r="T187" s="151"/>
      <c r="U187" s="152"/>
      <c r="V187" s="21"/>
      <c r="W187" s="21"/>
      <c r="X187" s="21"/>
      <c r="Y187" s="21"/>
      <c r="Z187" s="21"/>
    </row>
    <row r="188" spans="1:26" ht="14.25" x14ac:dyDescent="0.2">
      <c r="H188" s="9"/>
      <c r="T188" s="151"/>
      <c r="U188" s="152"/>
      <c r="V188" s="21"/>
      <c r="W188" s="21"/>
      <c r="X188" s="21"/>
      <c r="Y188" s="21"/>
      <c r="Z188" s="21"/>
    </row>
    <row r="189" spans="1:26" ht="14.25" x14ac:dyDescent="0.2">
      <c r="H189" s="9"/>
      <c r="U189" s="152"/>
      <c r="V189" s="21"/>
      <c r="W189" s="21"/>
      <c r="X189" s="21"/>
      <c r="Y189" s="21"/>
      <c r="Z189" s="21"/>
    </row>
    <row r="190" spans="1:26" ht="14.25" x14ac:dyDescent="0.2">
      <c r="H190" s="9"/>
      <c r="U190" s="152"/>
      <c r="V190" s="21"/>
      <c r="W190" s="21"/>
      <c r="X190" s="21"/>
      <c r="Y190" s="21"/>
      <c r="Z190" s="21"/>
    </row>
    <row r="191" spans="1:26" ht="14.25" x14ac:dyDescent="0.2">
      <c r="H191" s="9"/>
      <c r="U191" s="152"/>
      <c r="V191" s="21"/>
      <c r="W191" s="21"/>
      <c r="X191" s="21"/>
      <c r="Y191" s="21"/>
      <c r="Z191" s="21"/>
    </row>
    <row r="192" spans="1:26" ht="14.25" x14ac:dyDescent="0.2">
      <c r="H192" s="9"/>
      <c r="U192" s="152"/>
      <c r="V192" s="21"/>
      <c r="W192" s="21"/>
      <c r="X192" s="21"/>
      <c r="Y192" s="21"/>
      <c r="Z192" s="21"/>
    </row>
    <row r="193" spans="8:26" ht="14.25" x14ac:dyDescent="0.2">
      <c r="H193" s="9"/>
      <c r="U193" s="152"/>
      <c r="V193" s="21"/>
      <c r="W193" s="21"/>
      <c r="X193" s="21"/>
      <c r="Y193" s="21"/>
      <c r="Z193" s="21"/>
    </row>
    <row r="194" spans="8:26" ht="14.25" x14ac:dyDescent="0.2">
      <c r="H194" s="9"/>
      <c r="U194" s="152"/>
      <c r="V194" s="21"/>
      <c r="W194" s="21"/>
      <c r="X194" s="21"/>
      <c r="Y194" s="21"/>
      <c r="Z194" s="21"/>
    </row>
    <row r="195" spans="8:26" ht="14.25" x14ac:dyDescent="0.2">
      <c r="H195" s="9"/>
      <c r="V195" s="21"/>
      <c r="W195" s="21"/>
      <c r="X195" s="21"/>
      <c r="Y195" s="21"/>
      <c r="Z195" s="21"/>
    </row>
    <row r="196" spans="8:26" ht="14.25" x14ac:dyDescent="0.2">
      <c r="H196" s="9"/>
      <c r="X196" s="21"/>
      <c r="Y196" s="21"/>
      <c r="Z196" s="21"/>
    </row>
    <row r="197" spans="8:26" ht="14.25" x14ac:dyDescent="0.2">
      <c r="H197" s="9"/>
      <c r="X197" s="21"/>
      <c r="Y197" s="21"/>
      <c r="Z197" s="21"/>
    </row>
    <row r="198" spans="8:26" ht="14.25" x14ac:dyDescent="0.2">
      <c r="H198" s="9"/>
      <c r="X198" s="21"/>
      <c r="Y198" s="21"/>
      <c r="Z198" s="21"/>
    </row>
    <row r="199" spans="8:26" ht="14.25" x14ac:dyDescent="0.2">
      <c r="H199" s="9"/>
      <c r="V199" s="21"/>
      <c r="W199" s="21"/>
      <c r="X199" s="21"/>
      <c r="Y199" s="21"/>
      <c r="Z199" s="21"/>
    </row>
    <row r="200" spans="8:26" ht="14.25" x14ac:dyDescent="0.2">
      <c r="H200" s="9"/>
      <c r="U200" s="152"/>
      <c r="V200" s="21"/>
      <c r="W200" s="21"/>
      <c r="X200" s="21"/>
      <c r="Y200" s="21"/>
      <c r="Z200" s="21"/>
    </row>
    <row r="201" spans="8:26" ht="14.25" x14ac:dyDescent="0.2">
      <c r="H201" s="9"/>
      <c r="U201" s="152"/>
      <c r="V201" s="21"/>
      <c r="W201" s="21"/>
      <c r="X201" s="21"/>
      <c r="Y201" s="21"/>
      <c r="Z201" s="21"/>
    </row>
    <row r="202" spans="8:26" ht="14.25" x14ac:dyDescent="0.2">
      <c r="H202" s="9"/>
      <c r="U202" s="152"/>
      <c r="V202" s="21"/>
      <c r="W202" s="21"/>
      <c r="X202" s="21"/>
      <c r="Y202" s="21"/>
      <c r="Z202" s="21"/>
    </row>
    <row r="203" spans="8:26" ht="14.25" x14ac:dyDescent="0.2">
      <c r="H203" s="9"/>
      <c r="U203" s="152"/>
      <c r="V203" s="21"/>
      <c r="W203" s="21"/>
      <c r="X203" s="21"/>
      <c r="Y203" s="21"/>
      <c r="Z203" s="21"/>
    </row>
    <row r="204" spans="8:26" ht="14.25" x14ac:dyDescent="0.2">
      <c r="H204" s="9"/>
      <c r="U204" s="152"/>
      <c r="V204" s="21"/>
      <c r="W204" s="21"/>
      <c r="X204" s="21"/>
      <c r="Y204" s="21"/>
      <c r="Z204" s="21"/>
    </row>
    <row r="205" spans="8:26" ht="14.25" x14ac:dyDescent="0.2">
      <c r="H205" s="9"/>
      <c r="U205" s="152"/>
      <c r="V205" s="21"/>
      <c r="W205" s="21"/>
      <c r="X205" s="21"/>
      <c r="Y205" s="21"/>
      <c r="Z205" s="21"/>
    </row>
    <row r="206" spans="8:26" ht="14.25" x14ac:dyDescent="0.2">
      <c r="H206" s="9"/>
      <c r="U206" s="152"/>
      <c r="V206" s="21"/>
      <c r="W206" s="21"/>
      <c r="X206" s="21"/>
      <c r="Y206" s="21"/>
      <c r="Z206" s="21"/>
    </row>
    <row r="207" spans="8:26" ht="14.25" x14ac:dyDescent="0.2">
      <c r="H207" s="9"/>
      <c r="X207" s="21"/>
      <c r="Y207" s="21"/>
      <c r="Z207" s="21"/>
    </row>
    <row r="208" spans="8:26" ht="14.25" x14ac:dyDescent="0.2">
      <c r="H208" s="9"/>
      <c r="X208" s="21"/>
      <c r="Y208" s="21"/>
      <c r="Z208" s="21"/>
    </row>
    <row r="209" spans="8:26" ht="14.25" x14ac:dyDescent="0.2">
      <c r="H209" s="9"/>
      <c r="X209" s="21"/>
      <c r="Y209" s="21"/>
      <c r="Z209" s="21"/>
    </row>
    <row r="210" spans="8:26" ht="14.25" x14ac:dyDescent="0.2">
      <c r="H210" s="9"/>
      <c r="X210" s="21"/>
      <c r="Y210" s="21"/>
      <c r="Z210" s="21"/>
    </row>
    <row r="211" spans="8:26" ht="14.25" x14ac:dyDescent="0.2">
      <c r="H211" s="9"/>
      <c r="X211" s="21"/>
      <c r="Y211" s="21"/>
      <c r="Z211" s="21"/>
    </row>
    <row r="212" spans="8:26" ht="14.25" x14ac:dyDescent="0.2">
      <c r="H212" s="9"/>
      <c r="X212" s="21"/>
      <c r="Y212" s="21"/>
      <c r="Z212" s="21"/>
    </row>
    <row r="213" spans="8:26" ht="14.25" x14ac:dyDescent="0.2">
      <c r="H213" s="9"/>
      <c r="X213" s="21"/>
      <c r="Y213" s="21"/>
      <c r="Z213" s="21"/>
    </row>
    <row r="214" spans="8:26" ht="14.25" x14ac:dyDescent="0.2">
      <c r="H214" s="9"/>
      <c r="X214" s="21"/>
      <c r="Y214" s="21"/>
      <c r="Z214" s="21"/>
    </row>
    <row r="215" spans="8:26" ht="14.25" x14ac:dyDescent="0.2">
      <c r="H215" s="9"/>
      <c r="X215" s="21"/>
      <c r="Y215" s="21"/>
      <c r="Z215" s="21"/>
    </row>
    <row r="216" spans="8:26" ht="14.25" x14ac:dyDescent="0.2">
      <c r="H216" s="9"/>
      <c r="X216" s="21"/>
      <c r="Y216" s="21"/>
      <c r="Z216" s="21"/>
    </row>
    <row r="217" spans="8:26" ht="14.25" x14ac:dyDescent="0.2">
      <c r="H217" s="9"/>
      <c r="X217" s="21"/>
      <c r="Y217" s="21"/>
      <c r="Z217" s="21"/>
    </row>
    <row r="218" spans="8:26" ht="14.25" x14ac:dyDescent="0.2">
      <c r="H218" s="9"/>
      <c r="X218" s="21"/>
      <c r="Y218" s="21"/>
      <c r="Z218" s="21"/>
    </row>
    <row r="219" spans="8:26" ht="14.25" x14ac:dyDescent="0.2">
      <c r="H219" s="9"/>
      <c r="X219" s="21"/>
      <c r="Y219" s="21"/>
      <c r="Z219" s="21"/>
    </row>
    <row r="220" spans="8:26" ht="14.25" x14ac:dyDescent="0.2">
      <c r="H220" s="9"/>
      <c r="X220" s="21"/>
      <c r="Y220" s="21"/>
      <c r="Z220" s="21"/>
    </row>
    <row r="221" spans="8:26" ht="14.25" x14ac:dyDescent="0.2">
      <c r="H221" s="9"/>
      <c r="X221" s="21"/>
      <c r="Y221" s="21"/>
      <c r="Z221" s="21"/>
    </row>
    <row r="222" spans="8:26" ht="14.25" x14ac:dyDescent="0.2">
      <c r="H222" s="9"/>
      <c r="U222" s="152"/>
      <c r="V222" s="21"/>
      <c r="W222" s="21"/>
      <c r="X222" s="21"/>
      <c r="Y222" s="21"/>
      <c r="Z222" s="21"/>
    </row>
    <row r="223" spans="8:26" ht="14.25" x14ac:dyDescent="0.2">
      <c r="H223" s="9"/>
      <c r="U223" s="152"/>
      <c r="V223" s="21"/>
      <c r="W223" s="21"/>
      <c r="X223" s="21"/>
      <c r="Y223" s="21"/>
      <c r="Z223" s="21"/>
    </row>
    <row r="224" spans="8:26" ht="14.25" x14ac:dyDescent="0.2">
      <c r="H224" s="9"/>
      <c r="U224" s="152"/>
      <c r="V224" s="21"/>
      <c r="W224" s="21"/>
      <c r="X224" s="21"/>
      <c r="Y224" s="21"/>
      <c r="Z224" s="21"/>
    </row>
    <row r="225" spans="8:26" ht="14.25" x14ac:dyDescent="0.2">
      <c r="H225" s="9"/>
      <c r="U225" s="152"/>
      <c r="V225" s="21"/>
      <c r="W225" s="21"/>
      <c r="X225" s="21"/>
      <c r="Y225" s="21"/>
      <c r="Z225" s="21"/>
    </row>
    <row r="226" spans="8:26" ht="14.25" x14ac:dyDescent="0.2">
      <c r="H226" s="9"/>
      <c r="U226" s="152"/>
      <c r="V226" s="21"/>
      <c r="W226" s="21"/>
      <c r="X226" s="21"/>
      <c r="Y226" s="21"/>
      <c r="Z226" s="21"/>
    </row>
    <row r="227" spans="8:26" ht="14.25" x14ac:dyDescent="0.2">
      <c r="H227" s="9"/>
      <c r="U227" s="152"/>
      <c r="V227" s="21"/>
      <c r="W227" s="21"/>
      <c r="X227" s="21"/>
      <c r="Y227" s="21"/>
      <c r="Z227" s="21"/>
    </row>
    <row r="228" spans="8:26" ht="14.25" x14ac:dyDescent="0.2">
      <c r="H228" s="9"/>
      <c r="U228" s="152"/>
      <c r="V228" s="21"/>
      <c r="W228" s="21"/>
      <c r="X228" s="21"/>
      <c r="Y228" s="21"/>
      <c r="Z228" s="21"/>
    </row>
    <row r="229" spans="8:26" ht="14.25" x14ac:dyDescent="0.2">
      <c r="H229" s="9"/>
      <c r="U229" s="152"/>
      <c r="V229" s="21"/>
      <c r="W229" s="21"/>
      <c r="X229" s="21"/>
      <c r="Y229" s="21"/>
      <c r="Z229" s="21"/>
    </row>
    <row r="230" spans="8:26" ht="14.25" x14ac:dyDescent="0.2">
      <c r="H230" s="9"/>
      <c r="U230" s="152"/>
      <c r="V230" s="21"/>
      <c r="W230" s="21"/>
      <c r="X230" s="21"/>
      <c r="Y230" s="21"/>
      <c r="Z230" s="21"/>
    </row>
    <row r="231" spans="8:26" ht="14.25" x14ac:dyDescent="0.2">
      <c r="H231" s="9"/>
      <c r="U231" s="152"/>
      <c r="V231" s="21"/>
      <c r="W231" s="21"/>
      <c r="X231" s="21"/>
      <c r="Y231" s="21"/>
      <c r="Z231" s="21"/>
    </row>
    <row r="232" spans="8:26" ht="14.25" x14ac:dyDescent="0.2">
      <c r="H232" s="9"/>
      <c r="U232" s="152"/>
      <c r="V232" s="21"/>
      <c r="W232" s="21"/>
      <c r="X232" s="21"/>
      <c r="Y232" s="21"/>
      <c r="Z232" s="21"/>
    </row>
    <row r="233" spans="8:26" ht="14.25" x14ac:dyDescent="0.2">
      <c r="H233" s="9"/>
      <c r="U233" s="152"/>
      <c r="V233" s="21"/>
      <c r="W233" s="21"/>
      <c r="X233" s="21"/>
      <c r="Y233" s="21"/>
      <c r="Z233" s="21"/>
    </row>
    <row r="234" spans="8:26" ht="14.25" x14ac:dyDescent="0.2">
      <c r="H234" s="9"/>
      <c r="U234" s="152"/>
      <c r="V234" s="21"/>
      <c r="W234" s="21"/>
      <c r="X234" s="21"/>
      <c r="Y234" s="21"/>
      <c r="Z234" s="21"/>
    </row>
    <row r="235" spans="8:26" ht="14.25" x14ac:dyDescent="0.2">
      <c r="H235" s="9"/>
      <c r="U235" s="152"/>
      <c r="V235" s="21"/>
      <c r="W235" s="21"/>
      <c r="X235" s="21"/>
      <c r="Y235" s="21"/>
      <c r="Z235" s="21"/>
    </row>
    <row r="236" spans="8:26" ht="14.25" x14ac:dyDescent="0.2">
      <c r="H236" s="9"/>
      <c r="U236" s="152"/>
      <c r="V236" s="21"/>
      <c r="W236" s="21"/>
      <c r="X236" s="21"/>
      <c r="Y236" s="21"/>
      <c r="Z236" s="21"/>
    </row>
    <row r="237" spans="8:26" ht="14.25" x14ac:dyDescent="0.2">
      <c r="H237" s="9"/>
      <c r="U237" s="152"/>
      <c r="V237" s="21"/>
      <c r="W237" s="21"/>
      <c r="X237" s="21"/>
      <c r="Y237" s="21"/>
      <c r="Z237" s="21"/>
    </row>
    <row r="238" spans="8:26" ht="14.25" x14ac:dyDescent="0.2">
      <c r="H238" s="9"/>
      <c r="U238" s="152"/>
      <c r="V238" s="21"/>
      <c r="W238" s="21"/>
      <c r="X238" s="21"/>
      <c r="Y238" s="21"/>
      <c r="Z238" s="21"/>
    </row>
    <row r="239" spans="8:26" ht="14.25" x14ac:dyDescent="0.2">
      <c r="H239" s="9"/>
      <c r="U239" s="152"/>
      <c r="V239" s="21"/>
      <c r="W239" s="21"/>
      <c r="X239" s="21"/>
      <c r="Y239" s="21"/>
      <c r="Z239" s="21"/>
    </row>
    <row r="240" spans="8:26" ht="14.25" x14ac:dyDescent="0.2">
      <c r="U240" s="152"/>
      <c r="V240" s="21"/>
      <c r="W240" s="21"/>
      <c r="X240" s="21"/>
      <c r="Y240" s="21"/>
      <c r="Z240" s="21"/>
    </row>
    <row r="241" spans="1:26" ht="14.25" x14ac:dyDescent="0.2">
      <c r="H241" s="9"/>
      <c r="U241" s="152"/>
      <c r="V241" s="21"/>
      <c r="W241" s="21"/>
      <c r="X241" s="21"/>
      <c r="Y241" s="21"/>
      <c r="Z241" s="21"/>
    </row>
    <row r="242" spans="1:26" ht="14.25" x14ac:dyDescent="0.2">
      <c r="H242" s="9"/>
      <c r="U242" s="152"/>
      <c r="V242" s="21"/>
      <c r="W242" s="21"/>
      <c r="X242" s="21"/>
      <c r="Y242" s="21"/>
      <c r="Z242" s="21"/>
    </row>
    <row r="243" spans="1:26" ht="14.25" x14ac:dyDescent="0.2">
      <c r="H243" s="9"/>
      <c r="U243" s="152"/>
      <c r="V243" s="21"/>
      <c r="W243" s="21"/>
      <c r="X243" s="21"/>
      <c r="Y243" s="21"/>
      <c r="Z243" s="21"/>
    </row>
    <row r="244" spans="1:26" ht="14.25" x14ac:dyDescent="0.2">
      <c r="H244" s="9"/>
      <c r="U244" s="152"/>
      <c r="V244" s="21"/>
      <c r="W244" s="21"/>
      <c r="X244" s="21"/>
      <c r="Y244" s="21"/>
      <c r="Z244" s="21"/>
    </row>
    <row r="245" spans="1:26" ht="14.25" x14ac:dyDescent="0.2">
      <c r="H245" s="9"/>
      <c r="U245" s="152"/>
      <c r="V245" s="21"/>
      <c r="W245" s="21"/>
      <c r="X245" s="21"/>
      <c r="Y245" s="21"/>
      <c r="Z245" s="21"/>
    </row>
    <row r="246" spans="1:26" ht="14.25" x14ac:dyDescent="0.2">
      <c r="H246" s="9"/>
      <c r="U246" s="152"/>
      <c r="V246" s="21"/>
      <c r="W246" s="21"/>
      <c r="X246" s="21"/>
      <c r="Y246" s="21"/>
      <c r="Z246" s="21"/>
    </row>
    <row r="247" spans="1:26" ht="14.25" x14ac:dyDescent="0.2">
      <c r="U247" s="152"/>
      <c r="V247" s="21"/>
      <c r="W247" s="21"/>
      <c r="X247" s="21"/>
      <c r="Y247" s="21"/>
      <c r="Z247" s="21"/>
    </row>
    <row r="248" spans="1:26" ht="14.25" x14ac:dyDescent="0.2">
      <c r="U248" s="152"/>
      <c r="V248" s="21"/>
      <c r="W248" s="21"/>
      <c r="X248" s="21"/>
      <c r="Y248" s="21"/>
      <c r="Z248" s="21"/>
    </row>
    <row r="249" spans="1:26" ht="14.25" x14ac:dyDescent="0.2">
      <c r="U249" s="152"/>
      <c r="V249" s="21"/>
      <c r="W249" s="21"/>
      <c r="X249" s="21"/>
      <c r="Y249" s="21"/>
      <c r="Z249" s="21"/>
    </row>
    <row r="250" spans="1:26" ht="14.25" x14ac:dyDescent="0.2">
      <c r="U250" s="152"/>
      <c r="V250" s="21"/>
      <c r="W250" s="21"/>
      <c r="X250" s="21"/>
      <c r="Y250" s="21"/>
      <c r="Z250" s="21"/>
    </row>
    <row r="251" spans="1:26" ht="14.25" x14ac:dyDescent="0.2">
      <c r="U251" s="152"/>
      <c r="V251" s="21"/>
      <c r="W251" s="21"/>
      <c r="X251" s="21"/>
      <c r="Y251" s="21"/>
      <c r="Z251" s="21"/>
    </row>
    <row r="252" spans="1:26" ht="14.25" x14ac:dyDescent="0.2">
      <c r="U252" s="152"/>
      <c r="V252" s="21"/>
      <c r="W252" s="21"/>
      <c r="X252" s="21"/>
      <c r="Y252" s="21"/>
      <c r="Z252" s="21"/>
    </row>
    <row r="253" spans="1:26" ht="14.25" x14ac:dyDescent="0.2">
      <c r="A253" s="23"/>
      <c r="B253" s="23"/>
      <c r="C253" s="23"/>
      <c r="D253" s="23"/>
      <c r="T253" s="151"/>
      <c r="U253" s="152"/>
      <c r="V253" s="21"/>
      <c r="W253" s="21"/>
      <c r="X253" s="21"/>
      <c r="Y253" s="21"/>
      <c r="Z253" s="21"/>
    </row>
    <row r="254" spans="1:26" ht="14.25" x14ac:dyDescent="0.2">
      <c r="T254" s="151"/>
      <c r="U254" s="152"/>
      <c r="V254" s="21"/>
      <c r="W254" s="21"/>
      <c r="X254" s="21"/>
      <c r="Y254" s="21"/>
      <c r="Z254" s="21"/>
    </row>
    <row r="255" spans="1:26" ht="14.25" x14ac:dyDescent="0.2">
      <c r="T255" s="151"/>
      <c r="U255" s="152"/>
      <c r="V255" s="21"/>
      <c r="W255" s="21"/>
      <c r="X255" s="21"/>
      <c r="Y255" s="21"/>
      <c r="Z255" s="21"/>
    </row>
    <row r="256" spans="1:26" ht="14.25" x14ac:dyDescent="0.2">
      <c r="T256" s="151"/>
      <c r="U256" s="152"/>
      <c r="V256" s="21"/>
      <c r="W256" s="21"/>
      <c r="X256" s="21"/>
      <c r="Y256" s="21"/>
      <c r="Z256" s="21"/>
    </row>
    <row r="257" spans="1:26" ht="14.25" x14ac:dyDescent="0.2">
      <c r="T257" s="151"/>
      <c r="U257" s="152"/>
      <c r="V257" s="21"/>
      <c r="W257" s="21"/>
      <c r="X257" s="21"/>
      <c r="Y257" s="21"/>
      <c r="Z257" s="21"/>
    </row>
    <row r="258" spans="1:26" ht="14.25" x14ac:dyDescent="0.2">
      <c r="T258" s="151"/>
      <c r="U258" s="152"/>
      <c r="V258" s="21"/>
      <c r="W258" s="21"/>
      <c r="X258" s="21"/>
      <c r="Y258" s="21"/>
      <c r="Z258" s="21"/>
    </row>
    <row r="259" spans="1:26" ht="14.25" x14ac:dyDescent="0.2">
      <c r="T259" s="151"/>
      <c r="U259" s="152"/>
      <c r="V259" s="21"/>
      <c r="W259" s="21"/>
      <c r="X259" s="21"/>
      <c r="Y259" s="21"/>
      <c r="Z259" s="21"/>
    </row>
    <row r="260" spans="1:26" ht="14.25" x14ac:dyDescent="0.2">
      <c r="T260" s="151"/>
      <c r="U260" s="152"/>
      <c r="V260" s="21"/>
      <c r="W260" s="21"/>
      <c r="X260" s="21"/>
      <c r="Y260" s="21"/>
      <c r="Z260" s="21"/>
    </row>
    <row r="261" spans="1:26" ht="14.25" x14ac:dyDescent="0.2">
      <c r="T261" s="151"/>
      <c r="U261" s="152"/>
      <c r="V261" s="21"/>
      <c r="W261" s="21"/>
      <c r="X261" s="21"/>
      <c r="Y261" s="21"/>
      <c r="Z261" s="21"/>
    </row>
    <row r="262" spans="1:26" ht="14.25" x14ac:dyDescent="0.2">
      <c r="T262" s="151"/>
      <c r="U262" s="152"/>
      <c r="V262" s="21"/>
      <c r="W262" s="21"/>
      <c r="X262" s="21"/>
      <c r="Y262" s="21"/>
      <c r="Z262" s="21"/>
    </row>
    <row r="263" spans="1:26" ht="14.25" x14ac:dyDescent="0.2">
      <c r="T263" s="151"/>
      <c r="U263" s="152"/>
      <c r="V263" s="21"/>
      <c r="W263" s="21"/>
      <c r="X263" s="21"/>
      <c r="Y263" s="21"/>
      <c r="Z263" s="21"/>
    </row>
    <row r="264" spans="1:26" ht="14.25" x14ac:dyDescent="0.2">
      <c r="T264" s="151"/>
      <c r="U264" s="152"/>
      <c r="V264" s="21"/>
      <c r="W264" s="21"/>
      <c r="X264" s="21"/>
      <c r="Y264" s="21"/>
      <c r="Z264" s="21"/>
    </row>
    <row r="265" spans="1:26" ht="14.25" x14ac:dyDescent="0.2">
      <c r="T265" s="151"/>
      <c r="U265" s="152"/>
      <c r="V265" s="21"/>
      <c r="W265" s="21"/>
      <c r="X265" s="21"/>
      <c r="Y265" s="21"/>
      <c r="Z265" s="21"/>
    </row>
    <row r="266" spans="1:26" ht="14.25" x14ac:dyDescent="0.2">
      <c r="A266" s="23"/>
      <c r="B266" s="23"/>
      <c r="C266" s="23"/>
      <c r="D266" s="23"/>
      <c r="T266" s="151"/>
      <c r="U266" s="152"/>
      <c r="V266" s="21"/>
      <c r="W266" s="21"/>
      <c r="X266" s="21"/>
      <c r="Y266" s="21"/>
      <c r="Z266" s="21"/>
    </row>
    <row r="267" spans="1:26" ht="14.25" x14ac:dyDescent="0.2">
      <c r="A267" s="23"/>
      <c r="B267" s="23"/>
      <c r="C267" s="23"/>
      <c r="D267" s="23"/>
      <c r="T267" s="151"/>
      <c r="U267" s="152"/>
      <c r="V267" s="21"/>
      <c r="W267" s="21"/>
      <c r="X267" s="21"/>
      <c r="Y267" s="21"/>
      <c r="Z267" s="21"/>
    </row>
    <row r="268" spans="1:26" ht="14.25" x14ac:dyDescent="0.2">
      <c r="A268" s="23"/>
      <c r="B268" s="23"/>
      <c r="C268" s="23"/>
      <c r="D268" s="23"/>
      <c r="T268" s="151"/>
      <c r="U268" s="152"/>
      <c r="V268" s="21"/>
      <c r="W268" s="21"/>
      <c r="X268" s="21"/>
      <c r="Y268" s="21"/>
      <c r="Z268" s="21"/>
    </row>
    <row r="269" spans="1:26" ht="14.25" x14ac:dyDescent="0.2">
      <c r="A269" s="23"/>
      <c r="B269" s="23"/>
      <c r="C269" s="23"/>
      <c r="D269" s="23"/>
      <c r="T269" s="151"/>
      <c r="U269" s="152"/>
      <c r="V269" s="21"/>
      <c r="W269" s="21"/>
      <c r="X269" s="21"/>
      <c r="Y269" s="21"/>
      <c r="Z269" s="21"/>
    </row>
    <row r="270" spans="1:26" ht="14.25" x14ac:dyDescent="0.2">
      <c r="A270" s="23"/>
      <c r="B270" s="23"/>
      <c r="C270" s="23"/>
      <c r="D270" s="23"/>
      <c r="T270" s="151"/>
      <c r="U270" s="152"/>
      <c r="V270" s="21"/>
      <c r="W270" s="21"/>
      <c r="X270" s="21"/>
      <c r="Y270" s="21"/>
      <c r="Z270" s="21"/>
    </row>
    <row r="271" spans="1:26" ht="14.25" x14ac:dyDescent="0.2">
      <c r="A271" s="23"/>
      <c r="B271" s="23"/>
      <c r="C271" s="23"/>
      <c r="D271" s="23"/>
      <c r="T271" s="151"/>
      <c r="U271" s="152"/>
      <c r="V271" s="21"/>
      <c r="W271" s="21"/>
      <c r="X271" s="21"/>
      <c r="Y271" s="21"/>
      <c r="Z271" s="21"/>
    </row>
    <row r="272" spans="1:26" ht="14.25" x14ac:dyDescent="0.2">
      <c r="A272" s="23"/>
      <c r="B272" s="23"/>
      <c r="C272" s="23"/>
      <c r="D272" s="23"/>
      <c r="T272" s="151"/>
      <c r="U272" s="152"/>
      <c r="V272" s="21"/>
      <c r="W272" s="21"/>
      <c r="X272" s="21"/>
      <c r="Y272" s="21"/>
      <c r="Z272" s="21"/>
    </row>
    <row r="273" spans="1:26" ht="14.25" x14ac:dyDescent="0.2">
      <c r="A273" s="23"/>
      <c r="B273" s="23"/>
      <c r="C273" s="23"/>
      <c r="D273" s="23"/>
      <c r="T273" s="151"/>
      <c r="U273" s="152"/>
      <c r="V273" s="21"/>
      <c r="W273" s="21"/>
      <c r="X273" s="21"/>
      <c r="Y273" s="21"/>
      <c r="Z273" s="21"/>
    </row>
    <row r="274" spans="1:26" ht="14.25" x14ac:dyDescent="0.2">
      <c r="A274" s="23"/>
      <c r="B274" s="23"/>
      <c r="C274" s="23"/>
      <c r="D274" s="23"/>
      <c r="T274" s="151"/>
      <c r="U274" s="152"/>
      <c r="V274" s="21"/>
      <c r="W274" s="21"/>
      <c r="X274" s="21"/>
      <c r="Y274" s="21"/>
      <c r="Z274" s="21"/>
    </row>
    <row r="275" spans="1:26" ht="14.25" x14ac:dyDescent="0.2">
      <c r="A275" s="23"/>
      <c r="B275" s="23"/>
      <c r="C275" s="23"/>
      <c r="D275" s="23"/>
      <c r="T275" s="151"/>
      <c r="U275" s="152"/>
      <c r="V275" s="21"/>
      <c r="W275" s="21"/>
      <c r="X275" s="21"/>
      <c r="Y275" s="21"/>
      <c r="Z275" s="21"/>
    </row>
    <row r="276" spans="1:26" ht="14.25" x14ac:dyDescent="0.2">
      <c r="A276" s="23"/>
      <c r="B276" s="23"/>
      <c r="C276" s="23"/>
      <c r="D276" s="23"/>
      <c r="T276" s="151"/>
      <c r="U276" s="152"/>
      <c r="V276" s="21"/>
      <c r="W276" s="21"/>
      <c r="X276" s="21"/>
      <c r="Y276" s="21"/>
      <c r="Z276" s="21"/>
    </row>
    <row r="277" spans="1:26" ht="14.25" x14ac:dyDescent="0.2">
      <c r="A277" s="23"/>
      <c r="B277" s="23"/>
      <c r="C277" s="23"/>
      <c r="D277" s="23"/>
      <c r="T277" s="151"/>
      <c r="U277" s="152"/>
      <c r="V277" s="21"/>
      <c r="W277" s="21"/>
      <c r="X277" s="21"/>
      <c r="Y277" s="21"/>
      <c r="Z277" s="21"/>
    </row>
    <row r="278" spans="1:26" ht="14.25" x14ac:dyDescent="0.2">
      <c r="A278" s="23"/>
      <c r="B278" s="23"/>
      <c r="C278" s="23"/>
      <c r="D278" s="23"/>
      <c r="T278" s="151"/>
      <c r="U278" s="152"/>
      <c r="V278" s="21"/>
      <c r="W278" s="21"/>
      <c r="X278" s="21"/>
      <c r="Y278" s="21"/>
      <c r="Z278" s="21"/>
    </row>
    <row r="279" spans="1:26" ht="14.25" x14ac:dyDescent="0.2">
      <c r="A279" s="23"/>
      <c r="B279" s="23"/>
      <c r="C279" s="23"/>
      <c r="D279" s="23"/>
      <c r="T279" s="151"/>
      <c r="U279" s="152"/>
      <c r="V279" s="21"/>
      <c r="W279" s="21"/>
      <c r="X279" s="21"/>
      <c r="Y279" s="21"/>
      <c r="Z279" s="21"/>
    </row>
    <row r="280" spans="1:26" ht="13.5" x14ac:dyDescent="0.2">
      <c r="A280" s="24"/>
      <c r="B280" s="24"/>
      <c r="T280" s="153"/>
      <c r="V280" s="21"/>
      <c r="W280" s="21"/>
      <c r="X280" s="21"/>
      <c r="Y280" s="21"/>
      <c r="Z280" s="21"/>
    </row>
    <row r="294" spans="1:1" ht="16.899999999999999" customHeight="1" x14ac:dyDescent="0.2">
      <c r="A294" s="25"/>
    </row>
    <row r="295" spans="1:1" ht="12" customHeight="1" x14ac:dyDescent="0.2">
      <c r="A295" s="4"/>
    </row>
    <row r="296" spans="1:1" ht="13.15" customHeight="1" x14ac:dyDescent="0.2"/>
    <row r="297" spans="1:1" ht="13.15" customHeight="1" x14ac:dyDescent="0.2"/>
    <row r="298" spans="1:1" ht="13.15" customHeight="1" x14ac:dyDescent="0.2"/>
    <row r="299" spans="1:1" ht="13.15" customHeight="1" x14ac:dyDescent="0.2"/>
    <row r="300" spans="1:1" ht="13.15" customHeight="1" x14ac:dyDescent="0.2"/>
    <row r="301" spans="1:1" ht="13.15" customHeight="1" x14ac:dyDescent="0.2"/>
    <row r="302" spans="1:1" ht="12" customHeight="1" x14ac:dyDescent="0.2"/>
    <row r="303" spans="1:1" ht="12" customHeight="1" x14ac:dyDescent="0.2"/>
    <row r="304" spans="1:1" ht="15" customHeight="1" x14ac:dyDescent="0.2"/>
    <row r="305" spans="1:14" ht="15" customHeight="1" x14ac:dyDescent="0.2"/>
    <row r="306" spans="1:14" ht="12" customHeight="1" x14ac:dyDescent="0.2">
      <c r="A306" s="3" t="s">
        <v>22</v>
      </c>
    </row>
    <row r="307" spans="1:14" ht="60" x14ac:dyDescent="0.2">
      <c r="A307" s="26" t="s">
        <v>23</v>
      </c>
      <c r="B307" s="26" t="s">
        <v>24</v>
      </c>
      <c r="C307" s="27" t="s">
        <v>25</v>
      </c>
      <c r="D307" s="28" t="s">
        <v>26</v>
      </c>
      <c r="E307" s="28" t="s">
        <v>27</v>
      </c>
      <c r="F307" s="29" t="s">
        <v>28</v>
      </c>
      <c r="G307" s="27" t="s">
        <v>29</v>
      </c>
      <c r="H307" s="28" t="s">
        <v>61</v>
      </c>
      <c r="I307" s="161" t="s">
        <v>62</v>
      </c>
      <c r="J307" s="162" t="s">
        <v>30</v>
      </c>
      <c r="K307" s="163" t="s">
        <v>31</v>
      </c>
      <c r="L307" s="30" t="s">
        <v>131</v>
      </c>
      <c r="M307" s="164" t="s">
        <v>132</v>
      </c>
      <c r="N307" s="161" t="s">
        <v>32</v>
      </c>
    </row>
    <row r="308" spans="1:14" x14ac:dyDescent="0.2">
      <c r="A308" s="31" t="s">
        <v>63</v>
      </c>
      <c r="B308" s="31" t="s">
        <v>64</v>
      </c>
      <c r="C308" s="32">
        <v>40.082999999999998</v>
      </c>
      <c r="D308" s="32">
        <v>3.4000000000000002E-2</v>
      </c>
      <c r="E308" s="33">
        <v>6.012E-2</v>
      </c>
      <c r="F308" s="33">
        <v>6.9070000000000006E-2</v>
      </c>
      <c r="G308" s="34">
        <v>40.112000000000002</v>
      </c>
      <c r="H308" s="34">
        <v>6.3E-2</v>
      </c>
      <c r="I308" s="165">
        <v>2</v>
      </c>
      <c r="J308" s="166">
        <v>0.03</v>
      </c>
      <c r="K308" s="167">
        <v>6.9999999999999999E-4</v>
      </c>
      <c r="L308" s="168">
        <v>2</v>
      </c>
      <c r="M308" s="169">
        <v>0.15179999999999999</v>
      </c>
      <c r="N308" s="167">
        <v>3.8E-3</v>
      </c>
    </row>
    <row r="309" spans="1:14" x14ac:dyDescent="0.2">
      <c r="A309" s="31" t="s">
        <v>65</v>
      </c>
      <c r="B309" s="31" t="s">
        <v>66</v>
      </c>
      <c r="C309" s="32">
        <v>40.091999999999999</v>
      </c>
      <c r="D309" s="32">
        <v>3.4000000000000002E-2</v>
      </c>
      <c r="E309" s="33">
        <v>6.0139999999999999E-2</v>
      </c>
      <c r="F309" s="33">
        <v>6.9080000000000003E-2</v>
      </c>
      <c r="G309" s="34">
        <v>40.049999999999997</v>
      </c>
      <c r="H309" s="34">
        <v>0.24</v>
      </c>
      <c r="I309" s="165">
        <v>2</v>
      </c>
      <c r="J309" s="166">
        <v>-0.04</v>
      </c>
      <c r="K309" s="167">
        <v>-1E-3</v>
      </c>
      <c r="L309" s="168">
        <v>2</v>
      </c>
      <c r="M309" s="169">
        <v>0.27689999999999998</v>
      </c>
      <c r="N309" s="167">
        <v>6.8999999999999999E-3</v>
      </c>
    </row>
    <row r="310" spans="1:14" x14ac:dyDescent="0.2">
      <c r="A310" s="31" t="s">
        <v>56</v>
      </c>
      <c r="B310" s="31" t="s">
        <v>57</v>
      </c>
      <c r="C310" s="32">
        <v>40.046999999999997</v>
      </c>
      <c r="D310" s="32">
        <v>3.4000000000000002E-2</v>
      </c>
      <c r="E310" s="33">
        <v>6.0069999999999998E-2</v>
      </c>
      <c r="F310" s="33">
        <v>6.9029999999999994E-2</v>
      </c>
      <c r="G310" s="34">
        <v>40</v>
      </c>
      <c r="H310" s="34">
        <v>0.2</v>
      </c>
      <c r="I310" s="165">
        <v>2</v>
      </c>
      <c r="J310" s="166">
        <v>-0.05</v>
      </c>
      <c r="K310" s="167">
        <v>-1.1999999999999999E-3</v>
      </c>
      <c r="L310" s="168">
        <v>2</v>
      </c>
      <c r="M310" s="169">
        <v>0.24299999999999999</v>
      </c>
      <c r="N310" s="167">
        <v>6.1000000000000004E-3</v>
      </c>
    </row>
    <row r="311" spans="1:14" x14ac:dyDescent="0.2">
      <c r="A311" s="31" t="s">
        <v>33</v>
      </c>
      <c r="B311" s="31" t="s">
        <v>34</v>
      </c>
      <c r="C311" s="32">
        <v>40.100999999999999</v>
      </c>
      <c r="D311" s="32">
        <v>3.4000000000000002E-2</v>
      </c>
      <c r="E311" s="33">
        <v>6.0150000000000002E-2</v>
      </c>
      <c r="F311" s="33">
        <v>6.9099999999999995E-2</v>
      </c>
      <c r="G311" s="34">
        <v>40.200000000000003</v>
      </c>
      <c r="H311" s="34">
        <v>0.38</v>
      </c>
      <c r="I311" s="165">
        <v>2</v>
      </c>
      <c r="J311" s="166">
        <v>0.1</v>
      </c>
      <c r="K311" s="167">
        <v>2.5000000000000001E-3</v>
      </c>
      <c r="L311" s="168">
        <v>2</v>
      </c>
      <c r="M311" s="169">
        <v>0.40429999999999999</v>
      </c>
      <c r="N311" s="167">
        <v>1.01E-2</v>
      </c>
    </row>
    <row r="312" spans="1:14" x14ac:dyDescent="0.2">
      <c r="A312" s="31" t="s">
        <v>35</v>
      </c>
      <c r="B312" s="31" t="s">
        <v>36</v>
      </c>
      <c r="C312" s="32">
        <v>39.953000000000003</v>
      </c>
      <c r="D312" s="32">
        <v>3.4000000000000002E-2</v>
      </c>
      <c r="E312" s="33">
        <v>5.9929999999999997E-2</v>
      </c>
      <c r="F312" s="33">
        <v>6.8900000000000003E-2</v>
      </c>
      <c r="G312" s="34">
        <v>40.1</v>
      </c>
      <c r="H312" s="34">
        <v>0.51</v>
      </c>
      <c r="I312" s="165">
        <v>2</v>
      </c>
      <c r="J312" s="166">
        <v>0.15</v>
      </c>
      <c r="K312" s="167">
        <v>3.7000000000000002E-3</v>
      </c>
      <c r="L312" s="168">
        <v>2</v>
      </c>
      <c r="M312" s="169">
        <v>0.52829999999999999</v>
      </c>
      <c r="N312" s="167">
        <v>1.32E-2</v>
      </c>
    </row>
    <row r="313" spans="1:14" x14ac:dyDescent="0.2">
      <c r="A313" s="31" t="s">
        <v>37</v>
      </c>
      <c r="B313" s="31" t="s">
        <v>38</v>
      </c>
      <c r="C313" s="32">
        <v>40.128</v>
      </c>
      <c r="D313" s="32">
        <v>3.4000000000000002E-2</v>
      </c>
      <c r="E313" s="33">
        <v>6.019E-2</v>
      </c>
      <c r="F313" s="33">
        <v>6.9129999999999997E-2</v>
      </c>
      <c r="G313" s="34">
        <v>40.11</v>
      </c>
      <c r="H313" s="34">
        <v>0.19</v>
      </c>
      <c r="I313" s="165">
        <v>2</v>
      </c>
      <c r="J313" s="166">
        <v>-0.02</v>
      </c>
      <c r="K313" s="167">
        <v>-4.0000000000000002E-4</v>
      </c>
      <c r="L313" s="168">
        <v>2</v>
      </c>
      <c r="M313" s="169">
        <v>0.23499999999999999</v>
      </c>
      <c r="N313" s="167">
        <v>5.8999999999999999E-3</v>
      </c>
    </row>
    <row r="314" spans="1:14" x14ac:dyDescent="0.2">
      <c r="A314" s="31" t="s">
        <v>39</v>
      </c>
      <c r="B314" s="31" t="s">
        <v>40</v>
      </c>
      <c r="C314" s="32">
        <v>40.116</v>
      </c>
      <c r="D314" s="32">
        <v>3.4000000000000002E-2</v>
      </c>
      <c r="E314" s="33">
        <v>6.0170000000000001E-2</v>
      </c>
      <c r="F314" s="33">
        <v>6.9120000000000001E-2</v>
      </c>
      <c r="G314" s="34">
        <v>45.22</v>
      </c>
      <c r="H314" s="34">
        <v>0.25</v>
      </c>
      <c r="I314" s="165">
        <v>2</v>
      </c>
      <c r="J314" s="166">
        <v>5.0999999999999996</v>
      </c>
      <c r="K314" s="167">
        <v>0.12720000000000001</v>
      </c>
      <c r="L314" s="168">
        <v>2</v>
      </c>
      <c r="M314" s="169">
        <v>0.28570000000000001</v>
      </c>
      <c r="N314" s="167">
        <v>7.1000000000000004E-3</v>
      </c>
    </row>
    <row r="315" spans="1:14" x14ac:dyDescent="0.2">
      <c r="A315" s="31" t="s">
        <v>41</v>
      </c>
      <c r="B315" s="31" t="s">
        <v>42</v>
      </c>
      <c r="C315" s="32">
        <v>40.094000000000001</v>
      </c>
      <c r="D315" s="32">
        <v>3.4000000000000002E-2</v>
      </c>
      <c r="E315" s="33">
        <v>6.0139999999999999E-2</v>
      </c>
      <c r="F315" s="33">
        <v>6.9089999999999999E-2</v>
      </c>
      <c r="G315" s="34">
        <v>39.799999999999997</v>
      </c>
      <c r="H315" s="34">
        <v>0.21</v>
      </c>
      <c r="I315" s="165">
        <v>2</v>
      </c>
      <c r="J315" s="166">
        <v>-0.28999999999999998</v>
      </c>
      <c r="K315" s="167">
        <v>-7.3000000000000001E-3</v>
      </c>
      <c r="L315" s="168">
        <v>2</v>
      </c>
      <c r="M315" s="169">
        <v>0.25140000000000001</v>
      </c>
      <c r="N315" s="167">
        <v>6.3E-3</v>
      </c>
    </row>
    <row r="316" spans="1:14" x14ac:dyDescent="0.2">
      <c r="A316" s="31" t="s">
        <v>43</v>
      </c>
      <c r="B316" s="31" t="s">
        <v>44</v>
      </c>
      <c r="C316" s="32">
        <v>40.110999999999997</v>
      </c>
      <c r="D316" s="32">
        <v>3.4000000000000002E-2</v>
      </c>
      <c r="E316" s="33">
        <v>6.0170000000000001E-2</v>
      </c>
      <c r="F316" s="33">
        <v>6.9110000000000005E-2</v>
      </c>
      <c r="G316" s="34">
        <v>39.909999999999997</v>
      </c>
      <c r="H316" s="34">
        <v>0.14000000000000001</v>
      </c>
      <c r="I316" s="165">
        <v>2</v>
      </c>
      <c r="J316" s="166">
        <v>-0.2</v>
      </c>
      <c r="K316" s="167">
        <v>-5.0000000000000001E-3</v>
      </c>
      <c r="L316" s="168">
        <v>2</v>
      </c>
      <c r="M316" s="169">
        <v>0.19670000000000001</v>
      </c>
      <c r="N316" s="167">
        <v>4.8999999999999998E-3</v>
      </c>
    </row>
    <row r="317" spans="1:14" x14ac:dyDescent="0.2">
      <c r="A317" s="31" t="s">
        <v>45</v>
      </c>
      <c r="B317" s="31" t="s">
        <v>46</v>
      </c>
      <c r="C317" s="32">
        <v>40.090000000000003</v>
      </c>
      <c r="D317" s="32">
        <v>3.4000000000000002E-2</v>
      </c>
      <c r="E317" s="33">
        <v>6.0139999999999999E-2</v>
      </c>
      <c r="F317" s="33">
        <v>6.9080000000000003E-2</v>
      </c>
      <c r="G317" s="34">
        <v>38.53</v>
      </c>
      <c r="H317" s="34">
        <v>0.3</v>
      </c>
      <c r="I317" s="165">
        <v>2</v>
      </c>
      <c r="J317" s="166">
        <v>-1.56</v>
      </c>
      <c r="K317" s="167">
        <v>-3.8899999999999997E-2</v>
      </c>
      <c r="L317" s="168">
        <v>2</v>
      </c>
      <c r="M317" s="169">
        <v>0.33029999999999998</v>
      </c>
      <c r="N317" s="167">
        <v>8.2000000000000007E-3</v>
      </c>
    </row>
    <row r="318" spans="1:14" ht="24" x14ac:dyDescent="0.2">
      <c r="A318" s="31" t="s">
        <v>47</v>
      </c>
      <c r="B318" s="31" t="s">
        <v>48</v>
      </c>
      <c r="C318" s="32">
        <v>40.127000000000002</v>
      </c>
      <c r="D318" s="32">
        <v>3.4000000000000002E-2</v>
      </c>
      <c r="E318" s="33">
        <v>6.019E-2</v>
      </c>
      <c r="F318" s="33">
        <v>6.9129999999999997E-2</v>
      </c>
      <c r="G318" s="34">
        <v>29.495000000000001</v>
      </c>
      <c r="H318" s="34">
        <v>0.36899999999999999</v>
      </c>
      <c r="I318" s="165">
        <v>2</v>
      </c>
      <c r="J318" s="166">
        <v>-10.63</v>
      </c>
      <c r="K318" s="167">
        <v>-0.26500000000000001</v>
      </c>
      <c r="L318" s="168">
        <v>2</v>
      </c>
      <c r="M318" s="169">
        <v>0.39410000000000001</v>
      </c>
      <c r="N318" s="167">
        <v>9.7999999999999997E-3</v>
      </c>
    </row>
    <row r="319" spans="1:14" x14ac:dyDescent="0.2">
      <c r="A319" s="1" t="s">
        <v>49</v>
      </c>
    </row>
    <row r="321" spans="1:14" x14ac:dyDescent="0.2">
      <c r="A321" s="3" t="s">
        <v>50</v>
      </c>
    </row>
    <row r="322" spans="1:14" ht="60" x14ac:dyDescent="0.2">
      <c r="A322" s="26" t="s">
        <v>23</v>
      </c>
      <c r="B322" s="26" t="s">
        <v>24</v>
      </c>
      <c r="C322" s="27" t="s">
        <v>51</v>
      </c>
      <c r="D322" s="28" t="s">
        <v>52</v>
      </c>
      <c r="E322" s="28" t="s">
        <v>53</v>
      </c>
      <c r="F322" s="29" t="s">
        <v>54</v>
      </c>
      <c r="G322" s="27" t="s">
        <v>55</v>
      </c>
      <c r="H322" s="28" t="s">
        <v>67</v>
      </c>
      <c r="I322" s="161" t="s">
        <v>62</v>
      </c>
      <c r="J322" s="162" t="s">
        <v>30</v>
      </c>
      <c r="K322" s="163" t="s">
        <v>31</v>
      </c>
      <c r="L322" s="30" t="s">
        <v>131</v>
      </c>
      <c r="M322" s="164" t="s">
        <v>132</v>
      </c>
      <c r="N322" s="161" t="s">
        <v>32</v>
      </c>
    </row>
    <row r="323" spans="1:14" x14ac:dyDescent="0.2">
      <c r="A323" s="35" t="s">
        <v>63</v>
      </c>
      <c r="B323" s="35" t="s">
        <v>64</v>
      </c>
      <c r="C323" s="36">
        <v>119.8</v>
      </c>
      <c r="D323" s="37">
        <v>1.2E-2</v>
      </c>
      <c r="E323" s="38">
        <v>0.1198</v>
      </c>
      <c r="F323" s="39">
        <v>0.12039999999999999</v>
      </c>
      <c r="G323" s="40">
        <v>119.93</v>
      </c>
      <c r="H323" s="41">
        <v>0.11</v>
      </c>
      <c r="I323" s="170">
        <v>2</v>
      </c>
      <c r="J323" s="171">
        <v>0.13</v>
      </c>
      <c r="K323" s="172">
        <v>1.1000000000000001E-3</v>
      </c>
      <c r="L323" s="173">
        <v>2</v>
      </c>
      <c r="M323" s="174">
        <v>0.26500000000000001</v>
      </c>
      <c r="N323" s="175">
        <v>2.2000000000000001E-3</v>
      </c>
    </row>
    <row r="324" spans="1:14" x14ac:dyDescent="0.2">
      <c r="A324" s="44" t="s">
        <v>65</v>
      </c>
      <c r="B324" s="44" t="s">
        <v>66</v>
      </c>
      <c r="C324" s="45">
        <v>120.1</v>
      </c>
      <c r="D324" s="46">
        <v>1.2E-2</v>
      </c>
      <c r="E324" s="47">
        <v>0.1201</v>
      </c>
      <c r="F324" s="48">
        <v>0.1207</v>
      </c>
      <c r="G324" s="49">
        <v>120.2</v>
      </c>
      <c r="H324" s="50">
        <v>0.6</v>
      </c>
      <c r="I324" s="176">
        <v>2</v>
      </c>
      <c r="J324" s="177">
        <v>0.1</v>
      </c>
      <c r="K324" s="178">
        <v>8.0000000000000004E-4</v>
      </c>
      <c r="L324" s="179">
        <v>2</v>
      </c>
      <c r="M324" s="180">
        <v>0.64700000000000002</v>
      </c>
      <c r="N324" s="181">
        <v>5.4000000000000003E-3</v>
      </c>
    </row>
    <row r="325" spans="1:14" x14ac:dyDescent="0.2">
      <c r="A325" s="44" t="s">
        <v>56</v>
      </c>
      <c r="B325" s="44" t="s">
        <v>57</v>
      </c>
      <c r="C325" s="45">
        <v>119.79</v>
      </c>
      <c r="D325" s="46">
        <v>1.2E-2</v>
      </c>
      <c r="E325" s="47">
        <v>0.11978999999999999</v>
      </c>
      <c r="F325" s="48">
        <v>0.12039</v>
      </c>
      <c r="G325" s="49">
        <v>119.7</v>
      </c>
      <c r="H325" s="50">
        <v>0.2</v>
      </c>
      <c r="I325" s="176">
        <v>2</v>
      </c>
      <c r="J325" s="177">
        <v>-0.09</v>
      </c>
      <c r="K325" s="178">
        <v>-8.0000000000000004E-4</v>
      </c>
      <c r="L325" s="179">
        <v>2</v>
      </c>
      <c r="M325" s="180">
        <v>0.313</v>
      </c>
      <c r="N325" s="181">
        <v>2.5999999999999999E-3</v>
      </c>
    </row>
    <row r="326" spans="1:14" x14ac:dyDescent="0.2">
      <c r="A326" s="44" t="s">
        <v>33</v>
      </c>
      <c r="B326" s="44" t="s">
        <v>34</v>
      </c>
      <c r="C326" s="45">
        <v>120.01</v>
      </c>
      <c r="D326" s="46">
        <v>1.2E-2</v>
      </c>
      <c r="E326" s="47">
        <v>0.12001000000000001</v>
      </c>
      <c r="F326" s="48">
        <v>0.12060999999999999</v>
      </c>
      <c r="G326" s="49">
        <v>120.07</v>
      </c>
      <c r="H326" s="50">
        <v>0.34</v>
      </c>
      <c r="I326" s="176">
        <v>2</v>
      </c>
      <c r="J326" s="177">
        <v>0.06</v>
      </c>
      <c r="K326" s="178">
        <v>5.0000000000000001E-4</v>
      </c>
      <c r="L326" s="179">
        <v>2</v>
      </c>
      <c r="M326" s="180">
        <v>0.41699999999999998</v>
      </c>
      <c r="N326" s="181">
        <v>3.5000000000000001E-3</v>
      </c>
    </row>
    <row r="327" spans="1:14" x14ac:dyDescent="0.2">
      <c r="A327" s="44" t="s">
        <v>35</v>
      </c>
      <c r="B327" s="44" t="s">
        <v>36</v>
      </c>
      <c r="C327" s="45">
        <v>120.33</v>
      </c>
      <c r="D327" s="46">
        <v>1.2E-2</v>
      </c>
      <c r="E327" s="47">
        <v>0.12033000000000001</v>
      </c>
      <c r="F327" s="48">
        <v>0.12093</v>
      </c>
      <c r="G327" s="49">
        <v>120.17</v>
      </c>
      <c r="H327" s="50">
        <v>0.94</v>
      </c>
      <c r="I327" s="176">
        <v>2</v>
      </c>
      <c r="J327" s="177">
        <v>-0.16</v>
      </c>
      <c r="K327" s="178">
        <v>-1.2999999999999999E-3</v>
      </c>
      <c r="L327" s="179">
        <v>2</v>
      </c>
      <c r="M327" s="180">
        <v>0.97099999999999997</v>
      </c>
      <c r="N327" s="181">
        <v>8.0999999999999996E-3</v>
      </c>
    </row>
    <row r="328" spans="1:14" x14ac:dyDescent="0.2">
      <c r="A328" s="44" t="s">
        <v>37</v>
      </c>
      <c r="B328" s="44" t="s">
        <v>38</v>
      </c>
      <c r="C328" s="45">
        <v>120.04</v>
      </c>
      <c r="D328" s="46">
        <v>1.2E-2</v>
      </c>
      <c r="E328" s="47">
        <v>0.12003999999999999</v>
      </c>
      <c r="F328" s="48">
        <v>0.12064</v>
      </c>
      <c r="G328" s="49">
        <v>119.98</v>
      </c>
      <c r="H328" s="50">
        <v>0.12</v>
      </c>
      <c r="I328" s="176">
        <v>2</v>
      </c>
      <c r="J328" s="177">
        <v>-0.06</v>
      </c>
      <c r="K328" s="178">
        <v>-5.0000000000000001E-4</v>
      </c>
      <c r="L328" s="179">
        <v>2</v>
      </c>
      <c r="M328" s="180">
        <v>0.26900000000000002</v>
      </c>
      <c r="N328" s="181">
        <v>2.2000000000000001E-3</v>
      </c>
    </row>
    <row r="329" spans="1:14" x14ac:dyDescent="0.2">
      <c r="A329" s="44" t="s">
        <v>39</v>
      </c>
      <c r="B329" s="44" t="s">
        <v>40</v>
      </c>
      <c r="C329" s="45">
        <v>120.24</v>
      </c>
      <c r="D329" s="46">
        <v>1.2E-2</v>
      </c>
      <c r="E329" s="47">
        <v>0.12024</v>
      </c>
      <c r="F329" s="48">
        <v>0.12084</v>
      </c>
      <c r="G329" s="49">
        <v>120</v>
      </c>
      <c r="H329" s="50">
        <v>0.56999999999999995</v>
      </c>
      <c r="I329" s="176">
        <v>2</v>
      </c>
      <c r="J329" s="177">
        <v>-0.24</v>
      </c>
      <c r="K329" s="178">
        <v>-2E-3</v>
      </c>
      <c r="L329" s="179">
        <v>2</v>
      </c>
      <c r="M329" s="180">
        <v>0.61899999999999999</v>
      </c>
      <c r="N329" s="181">
        <v>5.1000000000000004E-3</v>
      </c>
    </row>
    <row r="330" spans="1:14" x14ac:dyDescent="0.2">
      <c r="A330" s="44" t="s">
        <v>41</v>
      </c>
      <c r="B330" s="44" t="s">
        <v>42</v>
      </c>
      <c r="C330" s="45">
        <v>119.97</v>
      </c>
      <c r="D330" s="46">
        <v>1.2E-2</v>
      </c>
      <c r="E330" s="47">
        <v>0.11996999999999999</v>
      </c>
      <c r="F330" s="48">
        <v>0.12057</v>
      </c>
      <c r="G330" s="49">
        <v>120.17</v>
      </c>
      <c r="H330" s="50">
        <v>0.26</v>
      </c>
      <c r="I330" s="176">
        <v>2</v>
      </c>
      <c r="J330" s="177">
        <v>0.2</v>
      </c>
      <c r="K330" s="178">
        <v>1.6999999999999999E-3</v>
      </c>
      <c r="L330" s="179">
        <v>2</v>
      </c>
      <c r="M330" s="180">
        <v>0.35499999999999998</v>
      </c>
      <c r="N330" s="181">
        <v>3.0000000000000001E-3</v>
      </c>
    </row>
    <row r="331" spans="1:14" x14ac:dyDescent="0.2">
      <c r="A331" s="44" t="s">
        <v>43</v>
      </c>
      <c r="B331" s="44" t="s">
        <v>44</v>
      </c>
      <c r="C331" s="45">
        <v>119.89</v>
      </c>
      <c r="D331" s="46">
        <v>1.2E-2</v>
      </c>
      <c r="E331" s="47">
        <v>0.11989</v>
      </c>
      <c r="F331" s="48">
        <v>0.12049</v>
      </c>
      <c r="G331" s="49">
        <v>119.88</v>
      </c>
      <c r="H331" s="50">
        <v>0.12</v>
      </c>
      <c r="I331" s="176">
        <v>2</v>
      </c>
      <c r="J331" s="177">
        <v>-0.01</v>
      </c>
      <c r="K331" s="178">
        <v>-1E-4</v>
      </c>
      <c r="L331" s="179">
        <v>2</v>
      </c>
      <c r="M331" s="180">
        <v>0.26900000000000002</v>
      </c>
      <c r="N331" s="181">
        <v>2.2000000000000001E-3</v>
      </c>
    </row>
    <row r="332" spans="1:14" x14ac:dyDescent="0.2">
      <c r="A332" s="44" t="s">
        <v>45</v>
      </c>
      <c r="B332" s="44" t="s">
        <v>46</v>
      </c>
      <c r="C332" s="45">
        <v>119.92</v>
      </c>
      <c r="D332" s="46">
        <v>1.2E-2</v>
      </c>
      <c r="E332" s="47">
        <v>0.11992</v>
      </c>
      <c r="F332" s="48">
        <v>0.12052</v>
      </c>
      <c r="G332" s="49">
        <v>120.61</v>
      </c>
      <c r="H332" s="50">
        <v>0.32</v>
      </c>
      <c r="I332" s="176">
        <v>2</v>
      </c>
      <c r="J332" s="177">
        <v>0.69</v>
      </c>
      <c r="K332" s="178">
        <v>5.7999999999999996E-3</v>
      </c>
      <c r="L332" s="179">
        <v>2</v>
      </c>
      <c r="M332" s="180">
        <v>0.40100000000000002</v>
      </c>
      <c r="N332" s="181">
        <v>3.3E-3</v>
      </c>
    </row>
    <row r="333" spans="1:14" ht="24" x14ac:dyDescent="0.2">
      <c r="A333" s="53" t="s">
        <v>47</v>
      </c>
      <c r="B333" s="53" t="s">
        <v>48</v>
      </c>
      <c r="C333" s="54">
        <v>119.9</v>
      </c>
      <c r="D333" s="55">
        <v>1.2E-2</v>
      </c>
      <c r="E333" s="56">
        <v>0.11990000000000001</v>
      </c>
      <c r="F333" s="57">
        <v>0.1205</v>
      </c>
      <c r="G333" s="58">
        <v>119.72</v>
      </c>
      <c r="H333" s="59">
        <v>1.1100000000000001</v>
      </c>
      <c r="I333" s="182">
        <v>2</v>
      </c>
      <c r="J333" s="183">
        <v>-0.18</v>
      </c>
      <c r="K333" s="184">
        <v>-1.5E-3</v>
      </c>
      <c r="L333" s="185">
        <v>2</v>
      </c>
      <c r="M333" s="186">
        <v>1.1359999999999999</v>
      </c>
      <c r="N333" s="187">
        <v>9.4999999999999998E-3</v>
      </c>
    </row>
    <row r="334" spans="1:14" x14ac:dyDescent="0.2">
      <c r="A334" s="62"/>
      <c r="B334" s="62"/>
      <c r="C334" s="52"/>
      <c r="D334" s="46"/>
      <c r="E334" s="47"/>
      <c r="F334" s="47"/>
      <c r="G334" s="50"/>
      <c r="H334" s="50"/>
      <c r="I334" s="188"/>
      <c r="J334" s="189"/>
      <c r="K334" s="178"/>
      <c r="L334" s="190"/>
      <c r="M334" s="180"/>
      <c r="N334" s="178"/>
    </row>
    <row r="335" spans="1:14" x14ac:dyDescent="0.2">
      <c r="A335" s="3" t="s">
        <v>58</v>
      </c>
    </row>
    <row r="336" spans="1:14" ht="60" x14ac:dyDescent="0.2">
      <c r="A336" s="26" t="s">
        <v>23</v>
      </c>
      <c r="B336" s="26" t="s">
        <v>24</v>
      </c>
      <c r="C336" s="27" t="s">
        <v>25</v>
      </c>
      <c r="D336" s="28" t="s">
        <v>26</v>
      </c>
      <c r="E336" s="28" t="s">
        <v>27</v>
      </c>
      <c r="F336" s="29" t="s">
        <v>28</v>
      </c>
      <c r="G336" s="27" t="s">
        <v>29</v>
      </c>
      <c r="H336" s="28" t="s">
        <v>61</v>
      </c>
      <c r="I336" s="161" t="s">
        <v>62</v>
      </c>
      <c r="J336" s="162" t="s">
        <v>30</v>
      </c>
      <c r="K336" s="163" t="s">
        <v>31</v>
      </c>
      <c r="L336" s="30" t="s">
        <v>131</v>
      </c>
      <c r="M336" s="164" t="s">
        <v>132</v>
      </c>
      <c r="N336" s="161" t="s">
        <v>32</v>
      </c>
    </row>
    <row r="337" spans="1:14" x14ac:dyDescent="0.2">
      <c r="A337" s="35" t="s">
        <v>63</v>
      </c>
      <c r="B337" s="35" t="s">
        <v>64</v>
      </c>
      <c r="C337" s="63">
        <v>5.9744999999999999</v>
      </c>
      <c r="D337" s="64">
        <v>3.7000000000000002E-3</v>
      </c>
      <c r="E337" s="38">
        <v>5.9699999999999996E-3</v>
      </c>
      <c r="F337" s="39">
        <v>7.0299999999999998E-3</v>
      </c>
      <c r="G337" s="36">
        <v>5.9790000000000001</v>
      </c>
      <c r="H337" s="43">
        <v>1.4999999999999999E-2</v>
      </c>
      <c r="I337" s="170">
        <v>2</v>
      </c>
      <c r="J337" s="191">
        <v>4.4999999999999997E-3</v>
      </c>
      <c r="K337" s="172">
        <v>8.0000000000000004E-4</v>
      </c>
      <c r="L337" s="173">
        <v>2</v>
      </c>
      <c r="M337" s="192">
        <v>2.06E-2</v>
      </c>
      <c r="N337" s="175">
        <v>3.3999999999999998E-3</v>
      </c>
    </row>
    <row r="338" spans="1:14" x14ac:dyDescent="0.2">
      <c r="A338" s="44" t="s">
        <v>65</v>
      </c>
      <c r="B338" s="44" t="s">
        <v>66</v>
      </c>
      <c r="C338" s="65">
        <v>5.9757999999999996</v>
      </c>
      <c r="D338" s="66">
        <v>3.7000000000000002E-3</v>
      </c>
      <c r="E338" s="47">
        <v>5.9800000000000001E-3</v>
      </c>
      <c r="F338" s="48">
        <v>7.0299999999999998E-3</v>
      </c>
      <c r="G338" s="45">
        <v>5.9690000000000003</v>
      </c>
      <c r="H338" s="52">
        <v>3.5999999999999997E-2</v>
      </c>
      <c r="I338" s="176">
        <v>2</v>
      </c>
      <c r="J338" s="193">
        <v>-6.7999999999999996E-3</v>
      </c>
      <c r="K338" s="178">
        <v>-1.1000000000000001E-3</v>
      </c>
      <c r="L338" s="179">
        <v>2</v>
      </c>
      <c r="M338" s="194">
        <v>3.8600000000000002E-2</v>
      </c>
      <c r="N338" s="181">
        <v>6.4999999999999997E-3</v>
      </c>
    </row>
    <row r="339" spans="1:14" x14ac:dyDescent="0.2">
      <c r="A339" s="44" t="s">
        <v>56</v>
      </c>
      <c r="B339" s="44" t="s">
        <v>57</v>
      </c>
      <c r="C339" s="65">
        <v>5.9691999999999998</v>
      </c>
      <c r="D339" s="66">
        <v>3.7000000000000002E-3</v>
      </c>
      <c r="E339" s="47">
        <v>5.9699999999999996E-3</v>
      </c>
      <c r="F339" s="48">
        <v>7.0200000000000002E-3</v>
      </c>
      <c r="G339" s="45">
        <v>5.98</v>
      </c>
      <c r="H339" s="52">
        <v>0.02</v>
      </c>
      <c r="I339" s="176">
        <v>2</v>
      </c>
      <c r="J339" s="193">
        <v>1.0800000000000001E-2</v>
      </c>
      <c r="K339" s="178">
        <v>1.8E-3</v>
      </c>
      <c r="L339" s="179">
        <v>2</v>
      </c>
      <c r="M339" s="194">
        <v>2.4400000000000002E-2</v>
      </c>
      <c r="N339" s="181">
        <v>4.1000000000000003E-3</v>
      </c>
    </row>
    <row r="340" spans="1:14" x14ac:dyDescent="0.2">
      <c r="A340" s="44" t="s">
        <v>33</v>
      </c>
      <c r="B340" s="44" t="s">
        <v>34</v>
      </c>
      <c r="C340" s="65">
        <v>5.9770000000000003</v>
      </c>
      <c r="D340" s="66">
        <v>3.7000000000000002E-3</v>
      </c>
      <c r="E340" s="47">
        <v>5.9800000000000001E-3</v>
      </c>
      <c r="F340" s="48">
        <v>7.0299999999999998E-3</v>
      </c>
      <c r="G340" s="45">
        <v>5.98</v>
      </c>
      <c r="H340" s="52">
        <v>1.7000000000000001E-2</v>
      </c>
      <c r="I340" s="176">
        <v>2</v>
      </c>
      <c r="J340" s="193">
        <v>3.0000000000000001E-3</v>
      </c>
      <c r="K340" s="178">
        <v>5.0000000000000001E-4</v>
      </c>
      <c r="L340" s="179">
        <v>2</v>
      </c>
      <c r="M340" s="194">
        <v>2.2100000000000002E-2</v>
      </c>
      <c r="N340" s="181">
        <v>3.7000000000000002E-3</v>
      </c>
    </row>
    <row r="341" spans="1:14" x14ac:dyDescent="0.2">
      <c r="A341" s="44" t="s">
        <v>35</v>
      </c>
      <c r="B341" s="44" t="s">
        <v>36</v>
      </c>
      <c r="C341" s="65">
        <v>5.9550000000000001</v>
      </c>
      <c r="D341" s="66">
        <v>3.7000000000000002E-3</v>
      </c>
      <c r="E341" s="47">
        <v>5.96E-3</v>
      </c>
      <c r="F341" s="48">
        <v>7.0099999999999997E-3</v>
      </c>
      <c r="G341" s="45">
        <v>5.9340000000000002</v>
      </c>
      <c r="H341" s="52">
        <v>3.4000000000000002E-2</v>
      </c>
      <c r="I341" s="176">
        <v>2</v>
      </c>
      <c r="J341" s="193">
        <v>-2.1000000000000001E-2</v>
      </c>
      <c r="K341" s="178">
        <v>-3.5000000000000001E-3</v>
      </c>
      <c r="L341" s="179">
        <v>2</v>
      </c>
      <c r="M341" s="194">
        <v>3.6799999999999999E-2</v>
      </c>
      <c r="N341" s="181">
        <v>6.1999999999999998E-3</v>
      </c>
    </row>
    <row r="342" spans="1:14" x14ac:dyDescent="0.2">
      <c r="A342" s="44" t="s">
        <v>37</v>
      </c>
      <c r="B342" s="44" t="s">
        <v>38</v>
      </c>
      <c r="C342" s="65">
        <v>5.9812000000000003</v>
      </c>
      <c r="D342" s="66">
        <v>3.7000000000000002E-3</v>
      </c>
      <c r="E342" s="47">
        <v>5.9800000000000001E-3</v>
      </c>
      <c r="F342" s="48">
        <v>7.0299999999999998E-3</v>
      </c>
      <c r="G342" s="45">
        <v>6.0039999999999996</v>
      </c>
      <c r="H342" s="52">
        <v>5.8000000000000003E-2</v>
      </c>
      <c r="I342" s="176">
        <v>2</v>
      </c>
      <c r="J342" s="193">
        <v>2.2800000000000001E-2</v>
      </c>
      <c r="K342" s="178">
        <v>3.8E-3</v>
      </c>
      <c r="L342" s="179">
        <v>2</v>
      </c>
      <c r="M342" s="194">
        <v>5.9700000000000003E-2</v>
      </c>
      <c r="N342" s="181">
        <v>0.01</v>
      </c>
    </row>
    <row r="343" spans="1:14" x14ac:dyDescent="0.2">
      <c r="A343" s="44" t="s">
        <v>39</v>
      </c>
      <c r="B343" s="44" t="s">
        <v>40</v>
      </c>
      <c r="C343" s="65">
        <v>5.9793000000000003</v>
      </c>
      <c r="D343" s="66">
        <v>3.7000000000000002E-3</v>
      </c>
      <c r="E343" s="47">
        <v>5.9800000000000001E-3</v>
      </c>
      <c r="F343" s="48">
        <v>7.0299999999999998E-3</v>
      </c>
      <c r="G343" s="45">
        <v>5.9009999999999998</v>
      </c>
      <c r="H343" s="52">
        <v>4.2999999999999997E-2</v>
      </c>
      <c r="I343" s="176">
        <v>2</v>
      </c>
      <c r="J343" s="193">
        <v>-7.8299999999999995E-2</v>
      </c>
      <c r="K343" s="178">
        <v>-1.3100000000000001E-2</v>
      </c>
      <c r="L343" s="179">
        <v>2</v>
      </c>
      <c r="M343" s="194">
        <v>4.5199999999999997E-2</v>
      </c>
      <c r="N343" s="181">
        <v>7.6E-3</v>
      </c>
    </row>
    <row r="344" spans="1:14" x14ac:dyDescent="0.2">
      <c r="A344" s="44" t="s">
        <v>41</v>
      </c>
      <c r="B344" s="44" t="s">
        <v>42</v>
      </c>
      <c r="C344" s="65">
        <v>5.976</v>
      </c>
      <c r="D344" s="66">
        <v>3.7000000000000002E-3</v>
      </c>
      <c r="E344" s="47">
        <v>5.9800000000000001E-3</v>
      </c>
      <c r="F344" s="48">
        <v>7.0299999999999998E-3</v>
      </c>
      <c r="G344" s="45">
        <v>6.048</v>
      </c>
      <c r="H344" s="52">
        <v>0.03</v>
      </c>
      <c r="I344" s="176">
        <v>2</v>
      </c>
      <c r="J344" s="193">
        <v>7.1999999999999995E-2</v>
      </c>
      <c r="K344" s="178">
        <v>1.2E-2</v>
      </c>
      <c r="L344" s="179">
        <v>2</v>
      </c>
      <c r="M344" s="194">
        <v>3.3099999999999997E-2</v>
      </c>
      <c r="N344" s="181">
        <v>5.4999999999999997E-3</v>
      </c>
    </row>
    <row r="345" spans="1:14" x14ac:dyDescent="0.2">
      <c r="A345" s="44" t="s">
        <v>43</v>
      </c>
      <c r="B345" s="44" t="s">
        <v>44</v>
      </c>
      <c r="C345" s="65">
        <v>5.9786999999999999</v>
      </c>
      <c r="D345" s="66">
        <v>3.7000000000000002E-3</v>
      </c>
      <c r="E345" s="47">
        <v>5.9800000000000001E-3</v>
      </c>
      <c r="F345" s="48">
        <v>7.0299999999999998E-3</v>
      </c>
      <c r="G345" s="67">
        <v>5.98</v>
      </c>
      <c r="H345" s="68">
        <v>0.06</v>
      </c>
      <c r="I345" s="176">
        <v>2</v>
      </c>
      <c r="J345" s="193">
        <v>1.2999999999999999E-3</v>
      </c>
      <c r="K345" s="178">
        <v>2.0000000000000001E-4</v>
      </c>
      <c r="L345" s="179">
        <v>2</v>
      </c>
      <c r="M345" s="194">
        <v>6.1600000000000002E-2</v>
      </c>
      <c r="N345" s="181">
        <v>1.03E-2</v>
      </c>
    </row>
    <row r="346" spans="1:14" x14ac:dyDescent="0.2">
      <c r="A346" s="44" t="s">
        <v>45</v>
      </c>
      <c r="B346" s="69"/>
      <c r="C346" s="70"/>
      <c r="D346" s="71"/>
      <c r="E346" s="71"/>
      <c r="F346" s="72"/>
      <c r="G346" s="70"/>
      <c r="H346" s="71"/>
      <c r="I346" s="195"/>
      <c r="J346" s="196"/>
      <c r="K346" s="197"/>
      <c r="L346" s="198"/>
      <c r="M346" s="197"/>
      <c r="N346" s="195"/>
    </row>
    <row r="347" spans="1:14" ht="24" x14ac:dyDescent="0.2">
      <c r="A347" s="53" t="s">
        <v>47</v>
      </c>
      <c r="B347" s="53" t="s">
        <v>48</v>
      </c>
      <c r="C347" s="73">
        <v>5.9809999999999999</v>
      </c>
      <c r="D347" s="74">
        <v>3.7000000000000002E-3</v>
      </c>
      <c r="E347" s="56">
        <v>5.9800000000000001E-3</v>
      </c>
      <c r="F347" s="57">
        <v>7.0299999999999998E-3</v>
      </c>
      <c r="G347" s="54">
        <v>5.62</v>
      </c>
      <c r="H347" s="61">
        <v>0.17199999999999999</v>
      </c>
      <c r="I347" s="182">
        <v>2</v>
      </c>
      <c r="J347" s="199">
        <v>-0.36099999999999999</v>
      </c>
      <c r="K347" s="184">
        <v>-6.0400000000000002E-2</v>
      </c>
      <c r="L347" s="185">
        <v>2</v>
      </c>
      <c r="M347" s="200">
        <v>0.1726</v>
      </c>
      <c r="N347" s="187">
        <v>2.8899999999999999E-2</v>
      </c>
    </row>
    <row r="348" spans="1:14" x14ac:dyDescent="0.2">
      <c r="A348" s="62"/>
      <c r="B348" s="62"/>
      <c r="C348" s="66"/>
      <c r="D348" s="66"/>
      <c r="E348" s="47"/>
      <c r="F348" s="47"/>
      <c r="G348" s="52"/>
      <c r="H348" s="52"/>
      <c r="I348" s="188"/>
      <c r="J348" s="194"/>
      <c r="K348" s="178"/>
      <c r="L348" s="190"/>
      <c r="M348" s="194"/>
      <c r="N348" s="178"/>
    </row>
    <row r="349" spans="1:14" x14ac:dyDescent="0.2">
      <c r="A349" s="3" t="s">
        <v>59</v>
      </c>
    </row>
    <row r="350" spans="1:14" ht="60" x14ac:dyDescent="0.2">
      <c r="A350" s="26" t="s">
        <v>23</v>
      </c>
      <c r="B350" s="26" t="s">
        <v>24</v>
      </c>
      <c r="C350" s="27" t="s">
        <v>25</v>
      </c>
      <c r="D350" s="28" t="s">
        <v>26</v>
      </c>
      <c r="E350" s="28" t="s">
        <v>27</v>
      </c>
      <c r="F350" s="29" t="s">
        <v>28</v>
      </c>
      <c r="G350" s="27" t="s">
        <v>29</v>
      </c>
      <c r="H350" s="28" t="s">
        <v>61</v>
      </c>
      <c r="I350" s="161" t="s">
        <v>62</v>
      </c>
      <c r="J350" s="162" t="s">
        <v>30</v>
      </c>
      <c r="K350" s="163" t="s">
        <v>31</v>
      </c>
      <c r="L350" s="30" t="s">
        <v>131</v>
      </c>
      <c r="M350" s="164" t="s">
        <v>132</v>
      </c>
      <c r="N350" s="161" t="s">
        <v>32</v>
      </c>
    </row>
    <row r="351" spans="1:14" x14ac:dyDescent="0.2">
      <c r="A351" s="31" t="s">
        <v>63</v>
      </c>
      <c r="B351" s="31" t="s">
        <v>64</v>
      </c>
      <c r="C351" s="75">
        <v>80.12</v>
      </c>
      <c r="D351" s="76">
        <v>5.1999999999999998E-2</v>
      </c>
      <c r="E351" s="77">
        <v>8.0100000000000005E-2</v>
      </c>
      <c r="F351" s="78">
        <v>9.5500000000000002E-2</v>
      </c>
      <c r="G351" s="79">
        <v>80.14</v>
      </c>
      <c r="H351" s="80">
        <v>0.28999999999999998</v>
      </c>
      <c r="I351" s="201">
        <v>2</v>
      </c>
      <c r="J351" s="202">
        <v>0.02</v>
      </c>
      <c r="K351" s="203">
        <v>2.0000000000000001E-4</v>
      </c>
      <c r="L351" s="204">
        <v>2</v>
      </c>
      <c r="M351" s="205">
        <v>0.34699999999999998</v>
      </c>
      <c r="N351" s="206">
        <v>4.3E-3</v>
      </c>
    </row>
    <row r="352" spans="1:14" x14ac:dyDescent="0.2">
      <c r="A352" s="31" t="s">
        <v>65</v>
      </c>
      <c r="B352" s="31" t="s">
        <v>66</v>
      </c>
      <c r="C352" s="75">
        <v>80.138000000000005</v>
      </c>
      <c r="D352" s="76">
        <v>5.0999999999999997E-2</v>
      </c>
      <c r="E352" s="77">
        <v>8.0100000000000005E-2</v>
      </c>
      <c r="F352" s="78">
        <v>9.5000000000000001E-2</v>
      </c>
      <c r="G352" s="79">
        <v>79.650000000000006</v>
      </c>
      <c r="H352" s="80">
        <v>0.8</v>
      </c>
      <c r="I352" s="201">
        <v>2</v>
      </c>
      <c r="J352" s="202">
        <v>-0.48799999999999999</v>
      </c>
      <c r="K352" s="203">
        <v>-6.1000000000000004E-3</v>
      </c>
      <c r="L352" s="204">
        <v>2</v>
      </c>
      <c r="M352" s="205">
        <v>0.82199999999999995</v>
      </c>
      <c r="N352" s="206">
        <v>1.03E-2</v>
      </c>
    </row>
    <row r="353" spans="1:14" x14ac:dyDescent="0.2">
      <c r="A353" s="35" t="s">
        <v>56</v>
      </c>
      <c r="B353" s="35" t="s">
        <v>57</v>
      </c>
      <c r="C353" s="42">
        <v>80.049000000000007</v>
      </c>
      <c r="D353" s="37">
        <v>5.0999999999999997E-2</v>
      </c>
      <c r="E353" s="64">
        <v>0.08</v>
      </c>
      <c r="F353" s="81">
        <v>9.4899999999999998E-2</v>
      </c>
      <c r="G353" s="82">
        <v>80.3</v>
      </c>
      <c r="H353" s="83">
        <v>0.8</v>
      </c>
      <c r="I353" s="170">
        <v>2</v>
      </c>
      <c r="J353" s="171">
        <v>0.251</v>
      </c>
      <c r="K353" s="172">
        <v>3.0999999999999999E-3</v>
      </c>
      <c r="L353" s="173">
        <v>2</v>
      </c>
      <c r="M353" s="174">
        <v>0.82199999999999995</v>
      </c>
      <c r="N353" s="175">
        <v>1.03E-2</v>
      </c>
    </row>
    <row r="354" spans="1:14" x14ac:dyDescent="0.2">
      <c r="A354" s="44" t="s">
        <v>33</v>
      </c>
      <c r="B354" s="44" t="s">
        <v>34</v>
      </c>
      <c r="C354" s="51">
        <v>80.156000000000006</v>
      </c>
      <c r="D354" s="46">
        <v>5.1999999999999998E-2</v>
      </c>
      <c r="E354" s="66">
        <v>8.0199999999999994E-2</v>
      </c>
      <c r="F354" s="84">
        <v>9.5500000000000002E-2</v>
      </c>
      <c r="G354" s="85">
        <v>80.34</v>
      </c>
      <c r="H354" s="68">
        <v>0.39</v>
      </c>
      <c r="I354" s="176">
        <v>2</v>
      </c>
      <c r="J354" s="177">
        <v>0.184</v>
      </c>
      <c r="K354" s="178">
        <v>2.3E-3</v>
      </c>
      <c r="L354" s="179">
        <v>2</v>
      </c>
      <c r="M354" s="180">
        <v>0.434</v>
      </c>
      <c r="N354" s="181">
        <v>5.4000000000000003E-3</v>
      </c>
    </row>
    <row r="355" spans="1:14" x14ac:dyDescent="0.2">
      <c r="A355" s="44" t="s">
        <v>35</v>
      </c>
      <c r="B355" s="44" t="s">
        <v>36</v>
      </c>
      <c r="C355" s="51">
        <v>79.858999999999995</v>
      </c>
      <c r="D355" s="46">
        <v>5.1999999999999998E-2</v>
      </c>
      <c r="E355" s="66">
        <v>7.9899999999999999E-2</v>
      </c>
      <c r="F355" s="84">
        <v>9.5299999999999996E-2</v>
      </c>
      <c r="G355" s="85">
        <v>78.2</v>
      </c>
      <c r="H355" s="68">
        <v>1.7</v>
      </c>
      <c r="I355" s="176">
        <v>2</v>
      </c>
      <c r="J355" s="177">
        <v>-1.659</v>
      </c>
      <c r="K355" s="178">
        <v>-2.0799999999999999E-2</v>
      </c>
      <c r="L355" s="179">
        <v>2</v>
      </c>
      <c r="M355" s="180">
        <v>1.7110000000000001</v>
      </c>
      <c r="N355" s="181">
        <v>2.1399999999999999E-2</v>
      </c>
    </row>
    <row r="356" spans="1:14" x14ac:dyDescent="0.2">
      <c r="A356" s="44" t="s">
        <v>37</v>
      </c>
      <c r="B356" s="44" t="s">
        <v>38</v>
      </c>
      <c r="C356" s="51">
        <v>80.209999999999994</v>
      </c>
      <c r="D356" s="46">
        <v>5.1999999999999998E-2</v>
      </c>
      <c r="E356" s="66">
        <v>8.0199999999999994E-2</v>
      </c>
      <c r="F356" s="84">
        <v>9.5600000000000004E-2</v>
      </c>
      <c r="G356" s="85">
        <v>80.180000000000007</v>
      </c>
      <c r="H356" s="68">
        <v>0.8</v>
      </c>
      <c r="I356" s="176">
        <v>2</v>
      </c>
      <c r="J356" s="177">
        <v>-0.03</v>
      </c>
      <c r="K356" s="178">
        <v>-4.0000000000000002E-4</v>
      </c>
      <c r="L356" s="179">
        <v>2</v>
      </c>
      <c r="M356" s="180">
        <v>0.82299999999999995</v>
      </c>
      <c r="N356" s="181">
        <v>1.03E-2</v>
      </c>
    </row>
    <row r="357" spans="1:14" x14ac:dyDescent="0.2">
      <c r="A357" s="44" t="s">
        <v>39</v>
      </c>
      <c r="B357" s="44" t="s">
        <v>40</v>
      </c>
      <c r="C357" s="51">
        <v>80.185000000000002</v>
      </c>
      <c r="D357" s="46">
        <v>5.1999999999999998E-2</v>
      </c>
      <c r="E357" s="66">
        <v>8.0199999999999994E-2</v>
      </c>
      <c r="F357" s="84">
        <v>9.5600000000000004E-2</v>
      </c>
      <c r="G357" s="85">
        <v>80.78</v>
      </c>
      <c r="H357" s="68">
        <v>0.42</v>
      </c>
      <c r="I357" s="176">
        <v>2</v>
      </c>
      <c r="J357" s="177">
        <v>0.59499999999999997</v>
      </c>
      <c r="K357" s="178">
        <v>7.4000000000000003E-3</v>
      </c>
      <c r="L357" s="179">
        <v>2</v>
      </c>
      <c r="M357" s="180">
        <v>0.46100000000000002</v>
      </c>
      <c r="N357" s="181">
        <v>5.7999999999999996E-3</v>
      </c>
    </row>
    <row r="358" spans="1:14" x14ac:dyDescent="0.2">
      <c r="A358" s="44" t="s">
        <v>41</v>
      </c>
      <c r="B358" s="44" t="s">
        <v>42</v>
      </c>
      <c r="C358" s="51">
        <v>80.141999999999996</v>
      </c>
      <c r="D358" s="46">
        <v>5.1999999999999998E-2</v>
      </c>
      <c r="E358" s="66">
        <v>8.0100000000000005E-2</v>
      </c>
      <c r="F358" s="84">
        <v>9.5500000000000002E-2</v>
      </c>
      <c r="G358" s="85">
        <v>79.42</v>
      </c>
      <c r="H358" s="68">
        <v>0.51</v>
      </c>
      <c r="I358" s="176">
        <v>2</v>
      </c>
      <c r="J358" s="177">
        <v>-0.72199999999999998</v>
      </c>
      <c r="K358" s="178">
        <v>-8.9999999999999993E-3</v>
      </c>
      <c r="L358" s="179">
        <v>2</v>
      </c>
      <c r="M358" s="180">
        <v>0.54500000000000004</v>
      </c>
      <c r="N358" s="181">
        <v>6.7999999999999996E-3</v>
      </c>
    </row>
    <row r="359" spans="1:14" x14ac:dyDescent="0.2">
      <c r="A359" s="44" t="s">
        <v>43</v>
      </c>
      <c r="B359" s="44" t="s">
        <v>44</v>
      </c>
      <c r="C359" s="51">
        <v>80.176000000000002</v>
      </c>
      <c r="D359" s="46">
        <v>5.1999999999999998E-2</v>
      </c>
      <c r="E359" s="66">
        <v>8.0199999999999994E-2</v>
      </c>
      <c r="F359" s="84">
        <v>9.5600000000000004E-2</v>
      </c>
      <c r="G359" s="85">
        <v>80.72</v>
      </c>
      <c r="H359" s="68">
        <v>0.45</v>
      </c>
      <c r="I359" s="176">
        <v>2</v>
      </c>
      <c r="J359" s="177">
        <v>0.54400000000000004</v>
      </c>
      <c r="K359" s="178">
        <v>6.7999999999999996E-3</v>
      </c>
      <c r="L359" s="179">
        <v>2</v>
      </c>
      <c r="M359" s="180">
        <v>0.48899999999999999</v>
      </c>
      <c r="N359" s="181">
        <v>6.1000000000000004E-3</v>
      </c>
    </row>
    <row r="360" spans="1:14" x14ac:dyDescent="0.2">
      <c r="A360" s="44" t="s">
        <v>45</v>
      </c>
      <c r="B360" s="69"/>
      <c r="C360" s="70"/>
      <c r="D360" s="71"/>
      <c r="E360" s="71"/>
      <c r="F360" s="72"/>
      <c r="G360" s="70"/>
      <c r="H360" s="71"/>
      <c r="I360" s="195"/>
      <c r="J360" s="196"/>
      <c r="K360" s="197"/>
      <c r="L360" s="198"/>
      <c r="M360" s="197"/>
      <c r="N360" s="195"/>
    </row>
    <row r="361" spans="1:14" ht="24" x14ac:dyDescent="0.2">
      <c r="A361" s="53" t="s">
        <v>47</v>
      </c>
      <c r="B361" s="53" t="s">
        <v>48</v>
      </c>
      <c r="C361" s="60">
        <v>80.206999999999994</v>
      </c>
      <c r="D361" s="55">
        <v>5.0999999999999997E-2</v>
      </c>
      <c r="E361" s="74">
        <v>8.0199999999999994E-2</v>
      </c>
      <c r="F361" s="86">
        <v>9.5000000000000001E-2</v>
      </c>
      <c r="G361" s="87">
        <v>79.599999999999994</v>
      </c>
      <c r="H361" s="88">
        <v>1.4</v>
      </c>
      <c r="I361" s="182">
        <v>2</v>
      </c>
      <c r="J361" s="183">
        <v>-0.60699999999999998</v>
      </c>
      <c r="K361" s="184">
        <v>-7.6E-3</v>
      </c>
      <c r="L361" s="185">
        <v>2</v>
      </c>
      <c r="M361" s="186">
        <v>1.413</v>
      </c>
      <c r="N361" s="187">
        <v>1.7600000000000001E-2</v>
      </c>
    </row>
    <row r="362" spans="1:14" x14ac:dyDescent="0.2">
      <c r="A362" s="62"/>
      <c r="B362" s="62"/>
      <c r="C362" s="46"/>
      <c r="D362" s="46"/>
      <c r="E362" s="66"/>
      <c r="F362" s="66"/>
      <c r="G362" s="89"/>
      <c r="H362" s="68"/>
      <c r="I362" s="188"/>
      <c r="J362" s="189"/>
      <c r="K362" s="178"/>
      <c r="L362" s="190"/>
      <c r="M362" s="180"/>
      <c r="N362" s="178"/>
    </row>
    <row r="363" spans="1:14" x14ac:dyDescent="0.2">
      <c r="A363" s="3" t="s">
        <v>60</v>
      </c>
    </row>
    <row r="364" spans="1:14" ht="60" x14ac:dyDescent="0.2">
      <c r="A364" s="26" t="s">
        <v>23</v>
      </c>
      <c r="B364" s="26" t="s">
        <v>24</v>
      </c>
      <c r="C364" s="27" t="s">
        <v>25</v>
      </c>
      <c r="D364" s="28" t="s">
        <v>26</v>
      </c>
      <c r="E364" s="28" t="s">
        <v>27</v>
      </c>
      <c r="F364" s="29" t="s">
        <v>28</v>
      </c>
      <c r="G364" s="27" t="s">
        <v>29</v>
      </c>
      <c r="H364" s="28" t="s">
        <v>61</v>
      </c>
      <c r="I364" s="161" t="s">
        <v>62</v>
      </c>
      <c r="J364" s="162" t="s">
        <v>30</v>
      </c>
      <c r="K364" s="163" t="s">
        <v>31</v>
      </c>
      <c r="L364" s="30" t="s">
        <v>131</v>
      </c>
      <c r="M364" s="164" t="s">
        <v>132</v>
      </c>
      <c r="N364" s="161" t="s">
        <v>32</v>
      </c>
    </row>
    <row r="365" spans="1:14" x14ac:dyDescent="0.2">
      <c r="A365" s="35" t="s">
        <v>63</v>
      </c>
      <c r="B365" s="35" t="s">
        <v>64</v>
      </c>
      <c r="C365" s="42">
        <v>80.004000000000005</v>
      </c>
      <c r="D365" s="37">
        <v>4.8000000000000001E-2</v>
      </c>
      <c r="E365" s="64">
        <v>0.08</v>
      </c>
      <c r="F365" s="81">
        <v>9.3299999999999994E-2</v>
      </c>
      <c r="G365" s="90">
        <v>80.25</v>
      </c>
      <c r="H365" s="91">
        <v>0.25</v>
      </c>
      <c r="I365" s="170">
        <v>2</v>
      </c>
      <c r="J365" s="207">
        <v>0.25</v>
      </c>
      <c r="K365" s="172">
        <v>3.0999999999999999E-3</v>
      </c>
      <c r="L365" s="173">
        <v>2</v>
      </c>
      <c r="M365" s="192">
        <v>0.312</v>
      </c>
      <c r="N365" s="175">
        <v>3.8999999999999998E-3</v>
      </c>
    </row>
    <row r="366" spans="1:14" x14ac:dyDescent="0.2">
      <c r="A366" s="44" t="s">
        <v>65</v>
      </c>
      <c r="B366" s="44" t="s">
        <v>66</v>
      </c>
      <c r="C366" s="51">
        <v>80.022000000000006</v>
      </c>
      <c r="D366" s="46">
        <v>4.8000000000000001E-2</v>
      </c>
      <c r="E366" s="66">
        <v>0.08</v>
      </c>
      <c r="F366" s="84">
        <v>9.3299999999999994E-2</v>
      </c>
      <c r="G366" s="85">
        <v>79.16</v>
      </c>
      <c r="H366" s="68">
        <v>0.79</v>
      </c>
      <c r="I366" s="176">
        <v>2</v>
      </c>
      <c r="J366" s="208">
        <v>-0.86</v>
      </c>
      <c r="K366" s="178">
        <v>-1.0800000000000001E-2</v>
      </c>
      <c r="L366" s="179">
        <v>2</v>
      </c>
      <c r="M366" s="194">
        <v>0.81169999999999998</v>
      </c>
      <c r="N366" s="181">
        <v>1.01E-2</v>
      </c>
    </row>
    <row r="367" spans="1:14" x14ac:dyDescent="0.2">
      <c r="A367" s="44" t="s">
        <v>56</v>
      </c>
      <c r="B367" s="44" t="s">
        <v>57</v>
      </c>
      <c r="C367" s="51">
        <v>79.933000000000007</v>
      </c>
      <c r="D367" s="46">
        <v>4.8000000000000001E-2</v>
      </c>
      <c r="E367" s="66">
        <v>7.9899999999999999E-2</v>
      </c>
      <c r="F367" s="84">
        <v>9.3200000000000005E-2</v>
      </c>
      <c r="G367" s="92">
        <v>79.8</v>
      </c>
      <c r="H367" s="93">
        <v>0.4</v>
      </c>
      <c r="I367" s="176">
        <v>2</v>
      </c>
      <c r="J367" s="208">
        <v>-0.13</v>
      </c>
      <c r="K367" s="178">
        <v>-1.6999999999999999E-3</v>
      </c>
      <c r="L367" s="179">
        <v>2</v>
      </c>
      <c r="M367" s="194">
        <v>0.44130000000000003</v>
      </c>
      <c r="N367" s="181">
        <v>5.4999999999999997E-3</v>
      </c>
    </row>
    <row r="368" spans="1:14" x14ac:dyDescent="0.2">
      <c r="A368" s="44" t="s">
        <v>33</v>
      </c>
      <c r="B368" s="44" t="s">
        <v>34</v>
      </c>
      <c r="C368" s="51">
        <v>80.039000000000001</v>
      </c>
      <c r="D368" s="46">
        <v>4.8000000000000001E-2</v>
      </c>
      <c r="E368" s="66">
        <v>0.08</v>
      </c>
      <c r="F368" s="84">
        <v>9.3299999999999994E-2</v>
      </c>
      <c r="G368" s="85">
        <v>79.849999999999994</v>
      </c>
      <c r="H368" s="68">
        <v>0.21</v>
      </c>
      <c r="I368" s="176">
        <v>2</v>
      </c>
      <c r="J368" s="208">
        <v>-0.19</v>
      </c>
      <c r="K368" s="178">
        <v>-2.3999999999999998E-3</v>
      </c>
      <c r="L368" s="179">
        <v>2</v>
      </c>
      <c r="M368" s="194">
        <v>0.28100000000000003</v>
      </c>
      <c r="N368" s="181">
        <v>3.5000000000000001E-3</v>
      </c>
    </row>
    <row r="369" spans="1:14" x14ac:dyDescent="0.2">
      <c r="A369" s="44" t="s">
        <v>35</v>
      </c>
      <c r="B369" s="44" t="s">
        <v>36</v>
      </c>
      <c r="C369" s="51">
        <v>79.742999999999995</v>
      </c>
      <c r="D369" s="46">
        <v>4.8000000000000001E-2</v>
      </c>
      <c r="E369" s="66">
        <v>7.9699999999999993E-2</v>
      </c>
      <c r="F369" s="84">
        <v>9.3100000000000002E-2</v>
      </c>
      <c r="G369" s="92">
        <v>80.5</v>
      </c>
      <c r="H369" s="93">
        <v>3.3</v>
      </c>
      <c r="I369" s="176">
        <v>2</v>
      </c>
      <c r="J369" s="208">
        <v>0.76</v>
      </c>
      <c r="K369" s="178">
        <v>9.4999999999999998E-3</v>
      </c>
      <c r="L369" s="179">
        <v>2</v>
      </c>
      <c r="M369" s="194">
        <v>3.3052000000000001</v>
      </c>
      <c r="N369" s="181">
        <v>4.1399999999999999E-2</v>
      </c>
    </row>
    <row r="370" spans="1:14" x14ac:dyDescent="0.2">
      <c r="A370" s="44" t="s">
        <v>37</v>
      </c>
      <c r="B370" s="44" t="s">
        <v>38</v>
      </c>
      <c r="C370" s="51">
        <v>80.093999999999994</v>
      </c>
      <c r="D370" s="46">
        <v>4.8000000000000001E-2</v>
      </c>
      <c r="E370" s="66">
        <v>8.0100000000000005E-2</v>
      </c>
      <c r="F370" s="84">
        <v>9.3399999999999997E-2</v>
      </c>
      <c r="G370" s="85">
        <v>80.47</v>
      </c>
      <c r="H370" s="68">
        <v>0.87</v>
      </c>
      <c r="I370" s="176">
        <v>2</v>
      </c>
      <c r="J370" s="208">
        <v>0.38</v>
      </c>
      <c r="K370" s="178">
        <v>4.7000000000000002E-3</v>
      </c>
      <c r="L370" s="179">
        <v>2</v>
      </c>
      <c r="M370" s="194">
        <v>0.88980000000000004</v>
      </c>
      <c r="N370" s="181">
        <v>1.11E-2</v>
      </c>
    </row>
    <row r="371" spans="1:14" x14ac:dyDescent="0.2">
      <c r="A371" s="44" t="s">
        <v>39</v>
      </c>
      <c r="B371" s="44" t="s">
        <v>40</v>
      </c>
      <c r="C371" s="51">
        <v>80.067999999999998</v>
      </c>
      <c r="D371" s="46">
        <v>4.8000000000000001E-2</v>
      </c>
      <c r="E371" s="66">
        <v>8.0100000000000005E-2</v>
      </c>
      <c r="F371" s="84">
        <v>9.3399999999999997E-2</v>
      </c>
      <c r="G371" s="85">
        <v>80.77</v>
      </c>
      <c r="H371" s="68">
        <v>0.47</v>
      </c>
      <c r="I371" s="176">
        <v>2</v>
      </c>
      <c r="J371" s="208">
        <v>0.7</v>
      </c>
      <c r="K371" s="178">
        <v>8.8000000000000005E-3</v>
      </c>
      <c r="L371" s="179">
        <v>2</v>
      </c>
      <c r="M371" s="194">
        <v>0.50570000000000004</v>
      </c>
      <c r="N371" s="181">
        <v>6.3E-3</v>
      </c>
    </row>
    <row r="372" spans="1:14" x14ac:dyDescent="0.2">
      <c r="A372" s="44" t="s">
        <v>41</v>
      </c>
      <c r="B372" s="44" t="s">
        <v>42</v>
      </c>
      <c r="C372" s="51">
        <v>80.025999999999996</v>
      </c>
      <c r="D372" s="46">
        <v>4.8000000000000001E-2</v>
      </c>
      <c r="E372" s="66">
        <v>0.08</v>
      </c>
      <c r="F372" s="84">
        <v>9.3299999999999994E-2</v>
      </c>
      <c r="G372" s="85">
        <v>80.13</v>
      </c>
      <c r="H372" s="68">
        <v>0.54</v>
      </c>
      <c r="I372" s="176">
        <v>2</v>
      </c>
      <c r="J372" s="208">
        <v>0.1</v>
      </c>
      <c r="K372" s="178">
        <v>1.2999999999999999E-3</v>
      </c>
      <c r="L372" s="179">
        <v>2</v>
      </c>
      <c r="M372" s="194">
        <v>0.57130000000000003</v>
      </c>
      <c r="N372" s="181">
        <v>7.1000000000000004E-3</v>
      </c>
    </row>
    <row r="373" spans="1:14" x14ac:dyDescent="0.2">
      <c r="A373" s="44" t="s">
        <v>43</v>
      </c>
      <c r="B373" s="44" t="s">
        <v>44</v>
      </c>
      <c r="C373" s="51">
        <v>80.06</v>
      </c>
      <c r="D373" s="46">
        <v>4.8000000000000001E-2</v>
      </c>
      <c r="E373" s="66">
        <v>8.0100000000000005E-2</v>
      </c>
      <c r="F373" s="84">
        <v>9.3299999999999994E-2</v>
      </c>
      <c r="G373" s="85">
        <v>79.84</v>
      </c>
      <c r="H373" s="68">
        <v>0.44</v>
      </c>
      <c r="I373" s="176">
        <v>2</v>
      </c>
      <c r="J373" s="208">
        <v>-0.22</v>
      </c>
      <c r="K373" s="178">
        <v>-2.7000000000000001E-3</v>
      </c>
      <c r="L373" s="179">
        <v>2</v>
      </c>
      <c r="M373" s="194">
        <v>0.47799999999999998</v>
      </c>
      <c r="N373" s="181">
        <v>6.0000000000000001E-3</v>
      </c>
    </row>
    <row r="374" spans="1:14" x14ac:dyDescent="0.2">
      <c r="A374" s="44" t="s">
        <v>45</v>
      </c>
      <c r="B374" s="44" t="s">
        <v>46</v>
      </c>
      <c r="C374" s="51">
        <v>80.016999999999996</v>
      </c>
      <c r="D374" s="46">
        <v>4.8000000000000001E-2</v>
      </c>
      <c r="E374" s="66">
        <v>0.08</v>
      </c>
      <c r="F374" s="84">
        <v>9.3299999999999994E-2</v>
      </c>
      <c r="G374" s="85">
        <v>79.64</v>
      </c>
      <c r="H374" s="68">
        <v>0.44</v>
      </c>
      <c r="I374" s="176">
        <v>2</v>
      </c>
      <c r="J374" s="208">
        <v>-0.38</v>
      </c>
      <c r="K374" s="178">
        <v>-4.7000000000000002E-3</v>
      </c>
      <c r="L374" s="179">
        <v>2</v>
      </c>
      <c r="M374" s="194">
        <v>0.47789999999999999</v>
      </c>
      <c r="N374" s="181">
        <v>6.0000000000000001E-3</v>
      </c>
    </row>
    <row r="375" spans="1:14" ht="24" x14ac:dyDescent="0.2">
      <c r="A375" s="53" t="s">
        <v>47</v>
      </c>
      <c r="B375" s="53" t="s">
        <v>48</v>
      </c>
      <c r="C375" s="60">
        <v>80.090999999999994</v>
      </c>
      <c r="D375" s="55">
        <v>4.8000000000000001E-2</v>
      </c>
      <c r="E375" s="74">
        <v>8.0100000000000005E-2</v>
      </c>
      <c r="F375" s="86">
        <v>9.3399999999999997E-2</v>
      </c>
      <c r="G375" s="94">
        <v>80</v>
      </c>
      <c r="H375" s="95">
        <v>0.9</v>
      </c>
      <c r="I375" s="182">
        <v>2</v>
      </c>
      <c r="J375" s="209">
        <v>-0.09</v>
      </c>
      <c r="K375" s="184">
        <v>-1.1000000000000001E-3</v>
      </c>
      <c r="L375" s="185">
        <v>2</v>
      </c>
      <c r="M375" s="200">
        <v>0.91920000000000002</v>
      </c>
      <c r="N375" s="187">
        <v>1.15E-2</v>
      </c>
    </row>
  </sheetData>
  <sheetProtection sheet="1" objects="1" scenarios="1" formatCells="0" formatColumns="0" formatRows="0"/>
  <phoneticPr fontId="4"/>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6C0BE-6333-4854-98D6-CF92979A3582}">
  <dimension ref="A1:Z127"/>
  <sheetViews>
    <sheetView zoomScale="160" zoomScaleNormal="160" workbookViewId="0">
      <selection activeCell="J23" sqref="J23"/>
    </sheetView>
  </sheetViews>
  <sheetFormatPr defaultColWidth="9.33203125" defaultRowHeight="12.75" x14ac:dyDescent="0.2"/>
  <cols>
    <col min="1" max="2" width="9.33203125" style="1"/>
    <col min="3" max="7" width="10.1640625" style="1" customWidth="1"/>
    <col min="8" max="8" width="9.33203125" style="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1167</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1168</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 customFormat="1" x14ac:dyDescent="0.2">
      <c r="A6" s="113" t="s">
        <v>1186</v>
      </c>
      <c r="B6" s="99"/>
      <c r="C6" s="99"/>
      <c r="D6" s="99"/>
      <c r="E6" s="99"/>
      <c r="F6" s="99"/>
      <c r="G6" s="99"/>
      <c r="H6" s="99"/>
      <c r="I6" s="113"/>
      <c r="J6" s="113"/>
      <c r="K6" s="113"/>
      <c r="L6" s="113"/>
      <c r="M6" s="113"/>
      <c r="N6" s="113"/>
      <c r="O6" s="113"/>
      <c r="R6" s="113"/>
      <c r="S6" s="113"/>
      <c r="T6" s="146"/>
      <c r="U6" s="146"/>
    </row>
    <row r="7" spans="1:25" s="2" customFormat="1" x14ac:dyDescent="0.2">
      <c r="A7" s="113" t="s">
        <v>1187</v>
      </c>
      <c r="B7" s="99"/>
      <c r="C7" s="99"/>
      <c r="D7" s="99"/>
      <c r="E7" s="99"/>
      <c r="F7" s="99"/>
      <c r="G7" s="99"/>
      <c r="H7" s="99"/>
      <c r="I7" s="113"/>
      <c r="J7" s="113"/>
      <c r="K7" s="113"/>
      <c r="L7" s="113"/>
      <c r="M7" s="113"/>
      <c r="N7" s="113"/>
      <c r="O7" s="113"/>
      <c r="R7" s="113"/>
      <c r="S7" s="113"/>
      <c r="T7" s="146"/>
      <c r="U7" s="146"/>
    </row>
    <row r="8" spans="1:25" s="2" customFormat="1" x14ac:dyDescent="0.2">
      <c r="A8" s="99"/>
      <c r="B8" s="99"/>
      <c r="C8" s="99"/>
      <c r="D8" s="99"/>
      <c r="E8" s="99"/>
      <c r="F8" s="99"/>
      <c r="G8" s="99"/>
      <c r="H8" s="99"/>
      <c r="I8" s="113"/>
      <c r="J8" s="113"/>
      <c r="K8" s="113"/>
      <c r="L8" s="113"/>
      <c r="M8" s="113"/>
      <c r="N8" s="113"/>
      <c r="O8" s="113"/>
      <c r="R8" s="113"/>
      <c r="S8" s="113"/>
      <c r="T8" s="146"/>
      <c r="U8" s="146"/>
    </row>
    <row r="9" spans="1:25" s="2" customFormat="1" x14ac:dyDescent="0.2">
      <c r="A9" s="113"/>
      <c r="B9" s="99"/>
      <c r="C9" s="99"/>
      <c r="D9" s="99"/>
      <c r="E9" s="99"/>
      <c r="F9" s="99"/>
      <c r="G9" s="99"/>
      <c r="H9" s="99"/>
      <c r="I9" s="113"/>
      <c r="J9" s="113"/>
      <c r="K9" s="113"/>
      <c r="L9" s="113"/>
      <c r="M9" s="113"/>
      <c r="N9" s="113"/>
      <c r="O9" s="113"/>
      <c r="R9" s="113"/>
      <c r="S9" s="113"/>
      <c r="T9" s="146"/>
      <c r="U9" s="146"/>
    </row>
    <row r="10" spans="1:25" x14ac:dyDescent="0.2">
      <c r="A10" s="102"/>
      <c r="B10" s="97"/>
      <c r="C10" s="97"/>
      <c r="D10" s="97"/>
      <c r="E10" s="97"/>
      <c r="F10" s="97"/>
      <c r="G10" s="97"/>
      <c r="H10" s="97"/>
      <c r="I10" s="113"/>
      <c r="J10" s="113"/>
      <c r="K10" s="113"/>
      <c r="L10" s="113"/>
      <c r="M10" s="113"/>
      <c r="N10" s="113"/>
      <c r="O10" s="113"/>
      <c r="R10" s="113"/>
      <c r="S10" s="113"/>
      <c r="T10" s="146"/>
      <c r="U10" s="146"/>
    </row>
    <row r="11" spans="1:25" x14ac:dyDescent="0.2">
      <c r="A11" s="97"/>
      <c r="B11" s="97"/>
      <c r="C11" s="97"/>
      <c r="D11" s="97"/>
      <c r="E11" s="97"/>
      <c r="F11" s="97"/>
      <c r="G11" s="97"/>
      <c r="H11" s="97"/>
      <c r="I11" s="113"/>
      <c r="J11" s="113"/>
      <c r="K11" s="113"/>
      <c r="L11" s="113"/>
      <c r="M11" s="113"/>
      <c r="N11" s="113"/>
      <c r="O11" s="113"/>
      <c r="R11" s="113"/>
      <c r="S11" s="113"/>
      <c r="T11" s="146"/>
      <c r="U11" s="146"/>
    </row>
    <row r="12" spans="1:25" x14ac:dyDescent="0.2">
      <c r="A12" s="97"/>
      <c r="B12" s="97"/>
      <c r="C12" s="97"/>
      <c r="D12" s="97"/>
      <c r="E12" s="97"/>
      <c r="F12" s="97"/>
      <c r="G12" s="97"/>
      <c r="H12" s="97"/>
      <c r="I12" s="113"/>
      <c r="J12" s="113"/>
      <c r="K12" s="113"/>
      <c r="L12" s="113"/>
      <c r="M12" s="113"/>
      <c r="N12" s="113"/>
      <c r="O12" s="113"/>
      <c r="R12" s="113"/>
      <c r="S12" s="113"/>
      <c r="T12" s="146"/>
      <c r="U12" s="146"/>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tr">
        <f>A31</f>
        <v>CF4</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1057</v>
      </c>
      <c r="N16" s="104" t="s">
        <v>1058</v>
      </c>
      <c r="O16" s="104" t="s">
        <v>100</v>
      </c>
      <c r="P16" s="6" t="s">
        <v>105</v>
      </c>
      <c r="Q16" s="6" t="s">
        <v>106</v>
      </c>
      <c r="R16" s="104" t="s">
        <v>1051</v>
      </c>
      <c r="S16" s="104" t="s">
        <v>1052</v>
      </c>
      <c r="T16" s="147" t="s">
        <v>1053</v>
      </c>
      <c r="U16" s="147" t="s">
        <v>1054</v>
      </c>
      <c r="V16" s="5" t="s">
        <v>101</v>
      </c>
      <c r="W16" s="5" t="s">
        <v>102</v>
      </c>
      <c r="X16" s="112" t="s">
        <v>1055</v>
      </c>
      <c r="Y16" s="112" t="s">
        <v>1056</v>
      </c>
    </row>
    <row r="17" spans="1:26" x14ac:dyDescent="0.2">
      <c r="A17" s="213" t="str">
        <f>A33</f>
        <v>KRISS</v>
      </c>
      <c r="B17" s="213" t="str">
        <f>B33</f>
        <v>ME2233</v>
      </c>
      <c r="C17" s="213">
        <f>C33</f>
        <v>100.398</v>
      </c>
      <c r="D17" s="213">
        <f>D33</f>
        <v>0.17100000000000001</v>
      </c>
      <c r="E17" s="213">
        <f>E33</f>
        <v>100.35</v>
      </c>
      <c r="F17" s="213">
        <f>F33/G33</f>
        <v>7.4626865671641798E-2</v>
      </c>
      <c r="G17" s="1091">
        <f>H33</f>
        <v>-4.3999999999999997E-2</v>
      </c>
      <c r="H17" s="1091">
        <f>I33</f>
        <v>0.371</v>
      </c>
      <c r="I17" s="155">
        <f t="shared" ref="I17:I20" si="0">IF(ABS(G17)&gt;ABS(H17), 1, 0)</f>
        <v>0</v>
      </c>
      <c r="J17" s="155">
        <f t="shared" ref="J17:J20" si="1">I17*ABS(C17-E17)</f>
        <v>0</v>
      </c>
      <c r="K17" s="155">
        <f t="shared" ref="K17:K20" si="2">SQRT(SUMSQ(F17,J17))*2</f>
        <v>0.1492537313432836</v>
      </c>
      <c r="L17" s="155">
        <f t="shared" ref="L17:L20" si="3">IF(C17&lt;$K$2, C17, $K$1)</f>
        <v>10</v>
      </c>
      <c r="M17" s="156">
        <f t="shared" ref="M17:M20" si="4">IF(AND(C17&lt;$K$1,C17&gt; $K$2), K17/L17*100, K17/C17*100)</f>
        <v>0.14866205635897489</v>
      </c>
      <c r="N17" s="157">
        <f t="shared" ref="N17:N20" si="5">M17*L17/100</f>
        <v>1.486620563589749E-2</v>
      </c>
      <c r="O17" s="155">
        <f t="shared" ref="O17:O20" si="6">N17/(M17*L17/100)*100</f>
        <v>100</v>
      </c>
      <c r="P17" s="250">
        <v>1</v>
      </c>
      <c r="Q17" s="250">
        <v>10</v>
      </c>
      <c r="R17" s="148">
        <f>IF( IF(P17&lt;L17, M17*L17/P17, M17)&gt;100, "ERROR",  IF(P17&lt;L17, M17*L17/P17, M17))</f>
        <v>1.4866205635897489</v>
      </c>
      <c r="S17" s="148">
        <f>IF(IF(Q17&lt;L17, M17*L17/Q17, M17)&gt;100, "ERROR", IF(Q17&lt;L17, M17*L17/Q17, M17))</f>
        <v>0.14866205635897489</v>
      </c>
      <c r="T17" s="148">
        <f>R17*P17*0.01</f>
        <v>1.486620563589749E-2</v>
      </c>
      <c r="U17" s="148">
        <f>S17*Q17*0.01</f>
        <v>1.486620563589749E-2</v>
      </c>
      <c r="V17" s="7">
        <f>P17*1000</f>
        <v>1000</v>
      </c>
      <c r="W17" s="7">
        <f>Q17*1000</f>
        <v>10000</v>
      </c>
      <c r="X17" s="1345">
        <f>T17*1000</f>
        <v>14.86620563589749</v>
      </c>
      <c r="Y17" s="1345">
        <f>U17*1000</f>
        <v>14.86620563589749</v>
      </c>
    </row>
    <row r="18" spans="1:26" x14ac:dyDescent="0.2">
      <c r="A18" s="213" t="str">
        <f t="shared" ref="A18:E18" si="7">A34</f>
        <v>NMIJ</v>
      </c>
      <c r="B18" s="213" t="str">
        <f t="shared" si="7"/>
        <v>ME2208</v>
      </c>
      <c r="C18" s="213">
        <f t="shared" si="7"/>
        <v>99.872</v>
      </c>
      <c r="D18" s="213">
        <f t="shared" si="7"/>
        <v>0.17499999999999999</v>
      </c>
      <c r="E18" s="213">
        <f t="shared" si="7"/>
        <v>100.08</v>
      </c>
      <c r="F18" s="213">
        <f>F34/G34</f>
        <v>0.33</v>
      </c>
      <c r="G18" s="1091">
        <f t="shared" ref="G18:H18" si="8">H34</f>
        <v>0.20799999999999999</v>
      </c>
      <c r="H18" s="1091">
        <f t="shared" si="8"/>
        <v>0.747</v>
      </c>
      <c r="I18" s="155">
        <f t="shared" si="0"/>
        <v>0</v>
      </c>
      <c r="J18" s="155">
        <f t="shared" si="1"/>
        <v>0</v>
      </c>
      <c r="K18" s="155">
        <f t="shared" si="2"/>
        <v>0.66</v>
      </c>
      <c r="L18" s="155">
        <f t="shared" si="3"/>
        <v>10</v>
      </c>
      <c r="M18" s="156">
        <f t="shared" si="4"/>
        <v>0.66084588272989431</v>
      </c>
      <c r="N18" s="157">
        <f t="shared" si="5"/>
        <v>6.6084588272989422E-2</v>
      </c>
      <c r="O18" s="155">
        <f t="shared" si="6"/>
        <v>100</v>
      </c>
      <c r="P18" s="250">
        <v>1</v>
      </c>
      <c r="Q18" s="250">
        <v>10</v>
      </c>
      <c r="R18" s="148">
        <f t="shared" ref="R18:R20" si="9">IF( IF(P18&lt;L18, M18*L18/P18, M18)&gt;100, "ERROR",  IF(P18&lt;L18, M18*L18/P18, M18))</f>
        <v>6.6084588272989429</v>
      </c>
      <c r="S18" s="148">
        <f t="shared" ref="S18:S20" si="10">IF(IF(Q18&lt;L18, M18*L18/Q18, M18)&gt;100, "ERROR", IF(Q18&lt;L18, M18*L18/Q18, M18))</f>
        <v>0.66084588272989431</v>
      </c>
      <c r="T18" s="148">
        <f t="shared" ref="T18:U20" si="11">R18*P18*0.01</f>
        <v>6.6084588272989436E-2</v>
      </c>
      <c r="U18" s="148">
        <f t="shared" si="11"/>
        <v>6.6084588272989436E-2</v>
      </c>
      <c r="V18" s="7">
        <f t="shared" ref="V18:W20" si="12">P18*1000</f>
        <v>1000</v>
      </c>
      <c r="W18" s="7">
        <f t="shared" si="12"/>
        <v>10000</v>
      </c>
      <c r="X18" s="1345">
        <f t="shared" ref="X18:Y20" si="13">T18*1000</f>
        <v>66.084588272989436</v>
      </c>
      <c r="Y18" s="1345">
        <f t="shared" si="13"/>
        <v>66.084588272989436</v>
      </c>
    </row>
    <row r="19" spans="1:26" x14ac:dyDescent="0.2">
      <c r="A19" s="213" t="str">
        <f t="shared" ref="A19:E19" si="14">A35</f>
        <v>VNIIM</v>
      </c>
      <c r="B19" s="213" t="str">
        <f t="shared" si="14"/>
        <v>ME2212</v>
      </c>
      <c r="C19" s="213">
        <f t="shared" si="14"/>
        <v>101.977</v>
      </c>
      <c r="D19" s="213">
        <f t="shared" si="14"/>
        <v>0.17799999999999999</v>
      </c>
      <c r="E19" s="213">
        <f t="shared" si="14"/>
        <v>101.55</v>
      </c>
      <c r="F19" s="213">
        <f>F35/G35</f>
        <v>0.22705314009661837</v>
      </c>
      <c r="G19" s="1091">
        <f t="shared" ref="G19:H19" si="15">H35</f>
        <v>-0.42699999999999999</v>
      </c>
      <c r="H19" s="1091">
        <f t="shared" si="15"/>
        <v>0.57499999999999996</v>
      </c>
      <c r="I19" s="155">
        <f t="shared" si="0"/>
        <v>0</v>
      </c>
      <c r="J19" s="155">
        <f t="shared" si="1"/>
        <v>0</v>
      </c>
      <c r="K19" s="155">
        <f t="shared" si="2"/>
        <v>0.45410628019323673</v>
      </c>
      <c r="L19" s="155">
        <f t="shared" si="3"/>
        <v>10</v>
      </c>
      <c r="M19" s="156">
        <f t="shared" si="4"/>
        <v>0.44530264686472121</v>
      </c>
      <c r="N19" s="157">
        <f t="shared" si="5"/>
        <v>4.4530264686472122E-2</v>
      </c>
      <c r="O19" s="155">
        <f t="shared" si="6"/>
        <v>100</v>
      </c>
      <c r="P19" s="250">
        <v>1</v>
      </c>
      <c r="Q19" s="250">
        <v>10</v>
      </c>
      <c r="R19" s="148">
        <f t="shared" si="9"/>
        <v>4.4530264686472121</v>
      </c>
      <c r="S19" s="148">
        <f t="shared" si="10"/>
        <v>0.44530264686472121</v>
      </c>
      <c r="T19" s="148">
        <f t="shared" si="11"/>
        <v>4.4530264686472122E-2</v>
      </c>
      <c r="U19" s="148">
        <f t="shared" si="11"/>
        <v>4.4530264686472122E-2</v>
      </c>
      <c r="V19" s="7">
        <f t="shared" si="12"/>
        <v>1000</v>
      </c>
      <c r="W19" s="7">
        <f t="shared" si="12"/>
        <v>10000</v>
      </c>
      <c r="X19" s="1345">
        <f t="shared" si="13"/>
        <v>44.530264686472123</v>
      </c>
      <c r="Y19" s="1345">
        <f t="shared" si="13"/>
        <v>44.530264686472123</v>
      </c>
    </row>
    <row r="20" spans="1:26" x14ac:dyDescent="0.2">
      <c r="A20" s="213" t="str">
        <f t="shared" ref="A20:E20" si="16">A36</f>
        <v>NIST</v>
      </c>
      <c r="B20" s="213" t="str">
        <f t="shared" si="16"/>
        <v>ME2195</v>
      </c>
      <c r="C20" s="213">
        <f t="shared" si="16"/>
        <v>100.815</v>
      </c>
      <c r="D20" s="213">
        <f t="shared" si="16"/>
        <v>0.17100000000000001</v>
      </c>
      <c r="E20" s="213">
        <f t="shared" si="16"/>
        <v>100.7</v>
      </c>
      <c r="F20" s="213">
        <f>F36/G36</f>
        <v>0.65</v>
      </c>
      <c r="G20" s="1091">
        <f t="shared" ref="G20:H20" si="17">H36</f>
        <v>-0.115</v>
      </c>
      <c r="H20" s="1091">
        <f t="shared" si="17"/>
        <v>1.3440000000000001</v>
      </c>
      <c r="I20" s="155">
        <f t="shared" si="0"/>
        <v>0</v>
      </c>
      <c r="J20" s="155">
        <f t="shared" si="1"/>
        <v>0</v>
      </c>
      <c r="K20" s="155">
        <f t="shared" si="2"/>
        <v>1.3</v>
      </c>
      <c r="L20" s="155">
        <f t="shared" si="3"/>
        <v>10</v>
      </c>
      <c r="M20" s="156">
        <f t="shared" si="4"/>
        <v>1.2894906511927791</v>
      </c>
      <c r="N20" s="157">
        <f t="shared" si="5"/>
        <v>0.12894906511927789</v>
      </c>
      <c r="O20" s="155">
        <f t="shared" si="6"/>
        <v>100</v>
      </c>
      <c r="P20" s="250">
        <v>1</v>
      </c>
      <c r="Q20" s="250">
        <v>10</v>
      </c>
      <c r="R20" s="148">
        <f t="shared" si="9"/>
        <v>12.89490651192779</v>
      </c>
      <c r="S20" s="148">
        <f t="shared" si="10"/>
        <v>1.2894906511927791</v>
      </c>
      <c r="T20" s="148">
        <f t="shared" si="11"/>
        <v>0.12894906511927789</v>
      </c>
      <c r="U20" s="148">
        <f t="shared" si="11"/>
        <v>0.12894906511927789</v>
      </c>
      <c r="V20" s="7">
        <f t="shared" si="12"/>
        <v>1000</v>
      </c>
      <c r="W20" s="7">
        <f t="shared" si="12"/>
        <v>10000</v>
      </c>
      <c r="X20" s="1345">
        <f t="shared" si="13"/>
        <v>128.94906511927789</v>
      </c>
      <c r="Y20" s="1345">
        <f t="shared" si="13"/>
        <v>128.94906511927789</v>
      </c>
    </row>
    <row r="21" spans="1:26" x14ac:dyDescent="0.2">
      <c r="A21" s="445"/>
      <c r="B21" s="445"/>
      <c r="C21" s="445"/>
      <c r="D21" s="445"/>
      <c r="E21" s="445"/>
      <c r="F21" s="445"/>
      <c r="G21" s="1092"/>
      <c r="H21" s="1092"/>
      <c r="I21" s="446"/>
      <c r="J21" s="446"/>
      <c r="K21" s="446"/>
      <c r="L21" s="446"/>
      <c r="M21" s="447"/>
      <c r="N21" s="448"/>
      <c r="O21" s="446"/>
      <c r="P21" s="1228"/>
      <c r="Q21" s="1228"/>
      <c r="R21" s="959"/>
      <c r="S21" s="959"/>
      <c r="T21" s="449"/>
      <c r="U21" s="449"/>
      <c r="V21" s="450"/>
      <c r="W21" s="450"/>
      <c r="X21" s="451"/>
      <c r="Y21" s="452"/>
    </row>
    <row r="22" spans="1:26" ht="15.75" x14ac:dyDescent="0.2">
      <c r="A22" s="103" t="str">
        <f>A38</f>
        <v>SF6</v>
      </c>
      <c r="B22" s="97"/>
      <c r="C22" s="97"/>
      <c r="D22" s="97"/>
      <c r="E22" s="97"/>
      <c r="F22" s="97"/>
      <c r="G22" s="97"/>
      <c r="H22" s="97"/>
      <c r="I22" s="113"/>
      <c r="J22" s="113"/>
      <c r="K22" s="113"/>
      <c r="L22" s="113"/>
      <c r="M22" s="113"/>
      <c r="N22" s="113"/>
      <c r="O22" s="113"/>
      <c r="R22" s="113"/>
      <c r="S22" s="113"/>
      <c r="T22" s="146"/>
      <c r="U22" s="146"/>
    </row>
    <row r="23" spans="1:26" ht="102" x14ac:dyDescent="0.2">
      <c r="A23" s="211" t="s">
        <v>0</v>
      </c>
      <c r="B23" s="212" t="s">
        <v>1</v>
      </c>
      <c r="C23" s="212" t="s">
        <v>133</v>
      </c>
      <c r="D23" s="212" t="s">
        <v>199</v>
      </c>
      <c r="E23" s="212" t="s">
        <v>135</v>
      </c>
      <c r="F23" s="212" t="s">
        <v>200</v>
      </c>
      <c r="G23" s="212" t="s">
        <v>137</v>
      </c>
      <c r="H23" s="212" t="s">
        <v>201</v>
      </c>
      <c r="I23" s="104" t="s">
        <v>8</v>
      </c>
      <c r="J23" s="104" t="s">
        <v>9</v>
      </c>
      <c r="K23" s="104" t="s">
        <v>107</v>
      </c>
      <c r="L23" s="104" t="s">
        <v>14</v>
      </c>
      <c r="M23" s="104" t="s">
        <v>1057</v>
      </c>
      <c r="N23" s="104" t="s">
        <v>1058</v>
      </c>
      <c r="O23" s="104" t="s">
        <v>100</v>
      </c>
      <c r="P23" s="6" t="s">
        <v>105</v>
      </c>
      <c r="Q23" s="6" t="s">
        <v>106</v>
      </c>
      <c r="R23" s="104" t="s">
        <v>1051</v>
      </c>
      <c r="S23" s="104" t="s">
        <v>1052</v>
      </c>
      <c r="T23" s="147" t="s">
        <v>1053</v>
      </c>
      <c r="U23" s="147" t="s">
        <v>1054</v>
      </c>
      <c r="V23" s="5" t="s">
        <v>101</v>
      </c>
      <c r="W23" s="5" t="s">
        <v>102</v>
      </c>
      <c r="X23" s="112" t="s">
        <v>1055</v>
      </c>
      <c r="Y23" s="112" t="s">
        <v>1056</v>
      </c>
    </row>
    <row r="24" spans="1:26" x14ac:dyDescent="0.2">
      <c r="A24" s="213" t="str">
        <f>A40</f>
        <v>KRISS</v>
      </c>
      <c r="B24" s="213" t="str">
        <f t="shared" ref="B24:E24" si="18">B40</f>
        <v>ME2233</v>
      </c>
      <c r="C24" s="213">
        <f t="shared" si="18"/>
        <v>99.837000000000003</v>
      </c>
      <c r="D24" s="213">
        <f t="shared" si="18"/>
        <v>0.17</v>
      </c>
      <c r="E24" s="213">
        <f t="shared" si="18"/>
        <v>99.9</v>
      </c>
      <c r="F24" s="213">
        <f>F40/G40</f>
        <v>0.12621359223300971</v>
      </c>
      <c r="G24" s="1091">
        <f>H40</f>
        <v>6.3E-2</v>
      </c>
      <c r="H24" s="1091">
        <f>I40</f>
        <v>0.42099999999999999</v>
      </c>
      <c r="I24" s="155">
        <f t="shared" ref="I24:I27" si="19">IF(ABS(G24)&gt;ABS(H24), 1, 0)</f>
        <v>0</v>
      </c>
      <c r="J24" s="155">
        <f t="shared" ref="J24:J27" si="20">I24*ABS(C24-E24)</f>
        <v>0</v>
      </c>
      <c r="K24" s="155">
        <f t="shared" ref="K24:K27" si="21">SQRT(SUMSQ(F24,J24))*2</f>
        <v>0.25242718446601942</v>
      </c>
      <c r="L24" s="155">
        <f t="shared" ref="L24:L27" si="22">IF(C24&lt;$K$2, C24, $K$1)</f>
        <v>10</v>
      </c>
      <c r="M24" s="156">
        <f t="shared" ref="M24:M27" si="23">IF(AND(C24&lt;$K$1,C24&gt; $K$2), K24/L24*100, K24/C24*100)</f>
        <v>0.25283931254546854</v>
      </c>
      <c r="N24" s="157">
        <f t="shared" ref="N24:N27" si="24">M24*L24/100</f>
        <v>2.5283931254546851E-2</v>
      </c>
      <c r="O24" s="155">
        <f t="shared" ref="O24:O27" si="25">N24/(M24*L24/100)*100</f>
        <v>100</v>
      </c>
      <c r="P24" s="250">
        <v>10</v>
      </c>
      <c r="Q24" s="250">
        <v>100</v>
      </c>
      <c r="R24" s="148">
        <f>IF( IF(P24&lt;L24, M24*L24/P24, M24)&gt;100, "ERROR",  IF(P24&lt;L24, M24*L24/P24, M24))</f>
        <v>0.25283931254546854</v>
      </c>
      <c r="S24" s="148">
        <f>IF(IF(Q24&lt;L24, M24*L24/Q24, M24)&gt;100, "ERROR", IF(Q24&lt;L24, M24*L24/Q24, M24))</f>
        <v>0.25283931254546854</v>
      </c>
      <c r="T24" s="148">
        <f>R24*P24*0.01</f>
        <v>2.5283931254546851E-2</v>
      </c>
      <c r="U24" s="148">
        <f>S24*Q24*0.01</f>
        <v>0.25283931254546854</v>
      </c>
      <c r="V24" s="7">
        <f>P24*1000</f>
        <v>10000</v>
      </c>
      <c r="W24" s="7">
        <f>Q24*1000</f>
        <v>100000</v>
      </c>
      <c r="X24" s="1345">
        <f>T24*1000</f>
        <v>25.28393125454685</v>
      </c>
      <c r="Y24" s="1345">
        <f>U24*1000</f>
        <v>252.83931254546854</v>
      </c>
    </row>
    <row r="25" spans="1:26" x14ac:dyDescent="0.2">
      <c r="A25" s="213" t="str">
        <f t="shared" ref="A25:E25" si="26">A41</f>
        <v>NMIJ</v>
      </c>
      <c r="B25" s="213" t="str">
        <f t="shared" si="26"/>
        <v>ME2208</v>
      </c>
      <c r="C25" s="213">
        <f t="shared" si="26"/>
        <v>99.472999999999999</v>
      </c>
      <c r="D25" s="213">
        <f t="shared" si="26"/>
        <v>0.16900000000000001</v>
      </c>
      <c r="E25" s="213">
        <f t="shared" si="26"/>
        <v>99.41</v>
      </c>
      <c r="F25" s="213">
        <f>F41/G41</f>
        <v>0.33500000000000002</v>
      </c>
      <c r="G25" s="1091">
        <f t="shared" ref="G25:H25" si="27">H41</f>
        <v>-6.3E-2</v>
      </c>
      <c r="H25" s="1091">
        <f t="shared" si="27"/>
        <v>0.751</v>
      </c>
      <c r="I25" s="155">
        <f t="shared" si="19"/>
        <v>0</v>
      </c>
      <c r="J25" s="155">
        <f t="shared" si="20"/>
        <v>0</v>
      </c>
      <c r="K25" s="155">
        <f t="shared" si="21"/>
        <v>0.67</v>
      </c>
      <c r="L25" s="155">
        <f t="shared" si="22"/>
        <v>10</v>
      </c>
      <c r="M25" s="156">
        <f t="shared" si="23"/>
        <v>0.67354960642586437</v>
      </c>
      <c r="N25" s="157">
        <f t="shared" si="24"/>
        <v>6.7354960642586448E-2</v>
      </c>
      <c r="O25" s="155">
        <f t="shared" si="25"/>
        <v>100</v>
      </c>
      <c r="P25" s="250">
        <v>1</v>
      </c>
      <c r="Q25" s="250">
        <v>10</v>
      </c>
      <c r="R25" s="148">
        <f t="shared" ref="R25:R27" si="28">IF( IF(P25&lt;L25, M25*L25/P25, M25)&gt;100, "ERROR",  IF(P25&lt;L25, M25*L25/P25, M25))</f>
        <v>6.7354960642586441</v>
      </c>
      <c r="S25" s="148">
        <f t="shared" ref="S25:S27" si="29">IF(IF(Q25&lt;L25, M25*L25/Q25, M25)&gt;100, "ERROR", IF(Q25&lt;L25, M25*L25/Q25, M25))</f>
        <v>0.67354960642586437</v>
      </c>
      <c r="T25" s="148">
        <f t="shared" ref="T25:T27" si="30">R25*P25*0.01</f>
        <v>6.7354960642586448E-2</v>
      </c>
      <c r="U25" s="148">
        <f t="shared" ref="U25:U27" si="31">S25*Q25*0.01</f>
        <v>6.7354960642586448E-2</v>
      </c>
      <c r="V25" s="7">
        <f t="shared" ref="V25:V27" si="32">P25*1000</f>
        <v>1000</v>
      </c>
      <c r="W25" s="7">
        <f t="shared" ref="W25:W27" si="33">Q25*1000</f>
        <v>10000</v>
      </c>
      <c r="X25" s="1345">
        <f t="shared" ref="X25:X27" si="34">T25*1000</f>
        <v>67.354960642586448</v>
      </c>
      <c r="Y25" s="1345">
        <f t="shared" ref="Y25:Y27" si="35">U25*1000</f>
        <v>67.354960642586448</v>
      </c>
    </row>
    <row r="26" spans="1:26" x14ac:dyDescent="0.2">
      <c r="A26" s="213" t="str">
        <f t="shared" ref="A26:E26" si="36">A42</f>
        <v>VNIIM</v>
      </c>
      <c r="B26" s="213" t="str">
        <f t="shared" si="36"/>
        <v>ME2212</v>
      </c>
      <c r="C26" s="213">
        <f t="shared" si="36"/>
        <v>100.682</v>
      </c>
      <c r="D26" s="213">
        <f t="shared" si="36"/>
        <v>0.17100000000000001</v>
      </c>
      <c r="E26" s="213">
        <f t="shared" si="36"/>
        <v>100.78</v>
      </c>
      <c r="F26" s="213">
        <f>F42/G42</f>
        <v>0.26886792452830183</v>
      </c>
      <c r="G26" s="1091">
        <f t="shared" ref="G26:H26" si="37">H42</f>
        <v>9.8000000000000004E-2</v>
      </c>
      <c r="H26" s="1091">
        <f t="shared" si="37"/>
        <v>0.64100000000000001</v>
      </c>
      <c r="I26" s="155">
        <f t="shared" si="19"/>
        <v>0</v>
      </c>
      <c r="J26" s="155">
        <f t="shared" si="20"/>
        <v>0</v>
      </c>
      <c r="K26" s="155">
        <f t="shared" si="21"/>
        <v>0.53773584905660365</v>
      </c>
      <c r="L26" s="155">
        <f t="shared" si="22"/>
        <v>10</v>
      </c>
      <c r="M26" s="156">
        <f t="shared" si="23"/>
        <v>0.53409333252875757</v>
      </c>
      <c r="N26" s="157">
        <f t="shared" si="24"/>
        <v>5.3409333252875758E-2</v>
      </c>
      <c r="O26" s="155">
        <f t="shared" si="25"/>
        <v>100</v>
      </c>
      <c r="P26" s="250">
        <v>1</v>
      </c>
      <c r="Q26" s="250">
        <v>10</v>
      </c>
      <c r="R26" s="148">
        <f t="shared" si="28"/>
        <v>5.3409333252875761</v>
      </c>
      <c r="S26" s="148">
        <f t="shared" si="29"/>
        <v>0.53409333252875757</v>
      </c>
      <c r="T26" s="148">
        <f t="shared" si="30"/>
        <v>5.3409333252875765E-2</v>
      </c>
      <c r="U26" s="148">
        <f t="shared" si="31"/>
        <v>5.3409333252875765E-2</v>
      </c>
      <c r="V26" s="7">
        <f t="shared" si="32"/>
        <v>1000</v>
      </c>
      <c r="W26" s="7">
        <f t="shared" si="33"/>
        <v>10000</v>
      </c>
      <c r="X26" s="1345">
        <f t="shared" si="34"/>
        <v>53.409333252875768</v>
      </c>
      <c r="Y26" s="1345">
        <f t="shared" si="35"/>
        <v>53.409333252875768</v>
      </c>
    </row>
    <row r="27" spans="1:26" x14ac:dyDescent="0.2">
      <c r="A27" s="213" t="str">
        <f t="shared" ref="A27:E27" si="38">A43</f>
        <v>NIST</v>
      </c>
      <c r="B27" s="213" t="str">
        <f t="shared" si="38"/>
        <v>ME2195</v>
      </c>
      <c r="C27" s="213">
        <f t="shared" si="38"/>
        <v>99.111000000000004</v>
      </c>
      <c r="D27" s="213">
        <f t="shared" si="38"/>
        <v>0.16800000000000001</v>
      </c>
      <c r="E27" s="213">
        <f t="shared" si="38"/>
        <v>99.1</v>
      </c>
      <c r="F27" s="213">
        <f>F43/G43</f>
        <v>0.5</v>
      </c>
      <c r="G27" s="1091">
        <f t="shared" ref="G27:H27" si="39">H43</f>
        <v>-1.0999999999999999E-2</v>
      </c>
      <c r="H27" s="1091">
        <f t="shared" si="39"/>
        <v>1.0549999999999999</v>
      </c>
      <c r="I27" s="155">
        <f t="shared" si="19"/>
        <v>0</v>
      </c>
      <c r="J27" s="155">
        <f t="shared" si="20"/>
        <v>0</v>
      </c>
      <c r="K27" s="155">
        <f t="shared" si="21"/>
        <v>1</v>
      </c>
      <c r="L27" s="155">
        <f t="shared" si="22"/>
        <v>10</v>
      </c>
      <c r="M27" s="156">
        <f t="shared" si="23"/>
        <v>1.0089697409974674</v>
      </c>
      <c r="N27" s="157">
        <f t="shared" si="24"/>
        <v>0.10089697409974674</v>
      </c>
      <c r="O27" s="155">
        <f t="shared" si="25"/>
        <v>100</v>
      </c>
      <c r="P27" s="250">
        <v>1</v>
      </c>
      <c r="Q27" s="250">
        <v>10</v>
      </c>
      <c r="R27" s="148">
        <f t="shared" si="28"/>
        <v>10.089697409974674</v>
      </c>
      <c r="S27" s="148">
        <f t="shared" si="29"/>
        <v>1.0089697409974674</v>
      </c>
      <c r="T27" s="148">
        <f t="shared" si="30"/>
        <v>0.10089697409974674</v>
      </c>
      <c r="U27" s="148">
        <f t="shared" si="31"/>
        <v>0.10089697409974674</v>
      </c>
      <c r="V27" s="7">
        <f t="shared" si="32"/>
        <v>1000</v>
      </c>
      <c r="W27" s="7">
        <f t="shared" si="33"/>
        <v>10000</v>
      </c>
      <c r="X27" s="1345">
        <f t="shared" si="34"/>
        <v>100.89697409974674</v>
      </c>
      <c r="Y27" s="1345">
        <f t="shared" si="35"/>
        <v>100.89697409974674</v>
      </c>
    </row>
    <row r="28" spans="1:26" ht="14.25" x14ac:dyDescent="0.2">
      <c r="H28" s="9"/>
      <c r="P28" s="1228"/>
      <c r="Q28" s="1228"/>
      <c r="X28" s="21"/>
      <c r="Y28" s="21"/>
      <c r="Z28" s="21"/>
    </row>
    <row r="29" spans="1:26" ht="14.25" x14ac:dyDescent="0.2">
      <c r="H29" s="9"/>
      <c r="X29" s="21"/>
      <c r="Y29" s="21"/>
      <c r="Z29" s="21"/>
    </row>
    <row r="30" spans="1:26" ht="14.25" x14ac:dyDescent="0.2">
      <c r="H30" s="9"/>
      <c r="X30" s="21"/>
      <c r="Y30" s="21"/>
      <c r="Z30" s="21"/>
    </row>
    <row r="31" spans="1:26" ht="14.25" x14ac:dyDescent="0.2">
      <c r="A31" s="2" t="s">
        <v>1184</v>
      </c>
      <c r="H31" s="9"/>
      <c r="X31" s="21"/>
      <c r="Y31" s="21"/>
      <c r="Z31" s="21"/>
    </row>
    <row r="32" spans="1:26" s="227" customFormat="1" ht="27" customHeight="1" x14ac:dyDescent="0.2">
      <c r="A32" s="1053" t="s">
        <v>1169</v>
      </c>
      <c r="B32" s="1054" t="s">
        <v>1170</v>
      </c>
      <c r="C32" s="582" t="s">
        <v>1171</v>
      </c>
      <c r="D32" s="584" t="s">
        <v>1172</v>
      </c>
      <c r="E32" s="582" t="s">
        <v>1173</v>
      </c>
      <c r="F32" s="876" t="s">
        <v>1174</v>
      </c>
      <c r="G32" s="584" t="s">
        <v>1175</v>
      </c>
      <c r="H32" s="582" t="s">
        <v>1176</v>
      </c>
      <c r="I32" s="584" t="s">
        <v>1177</v>
      </c>
    </row>
    <row r="33" spans="1:26" s="227" customFormat="1" ht="22.35" customHeight="1" x14ac:dyDescent="0.2">
      <c r="A33" s="506" t="s">
        <v>1124</v>
      </c>
      <c r="B33" s="1055" t="s">
        <v>1178</v>
      </c>
      <c r="C33" s="1056">
        <v>100.398</v>
      </c>
      <c r="D33" s="1057">
        <v>0.17100000000000001</v>
      </c>
      <c r="E33" s="1058">
        <v>100.35</v>
      </c>
      <c r="F33" s="1059">
        <v>0.15</v>
      </c>
      <c r="G33" s="1060">
        <v>2.0099999999999998</v>
      </c>
      <c r="H33" s="1061">
        <v>-4.3999999999999997E-2</v>
      </c>
      <c r="I33" s="1062">
        <v>0.371</v>
      </c>
    </row>
    <row r="34" spans="1:26" s="227" customFormat="1" ht="22.35" customHeight="1" x14ac:dyDescent="0.2">
      <c r="A34" s="1063" t="s">
        <v>1179</v>
      </c>
      <c r="B34" s="1064" t="s">
        <v>1180</v>
      </c>
      <c r="C34" s="1065">
        <v>99.872</v>
      </c>
      <c r="D34" s="1066">
        <v>0.17499999999999999</v>
      </c>
      <c r="E34" s="1067">
        <v>100.08</v>
      </c>
      <c r="F34" s="1068">
        <v>0.66</v>
      </c>
      <c r="G34" s="1069">
        <v>2</v>
      </c>
      <c r="H34" s="1070">
        <v>0.20799999999999999</v>
      </c>
      <c r="I34" s="1071">
        <v>0.747</v>
      </c>
    </row>
    <row r="35" spans="1:26" s="227" customFormat="1" ht="22.35" customHeight="1" x14ac:dyDescent="0.2">
      <c r="A35" s="1063" t="s">
        <v>1100</v>
      </c>
      <c r="B35" s="1064" t="s">
        <v>1181</v>
      </c>
      <c r="C35" s="1065">
        <v>101.977</v>
      </c>
      <c r="D35" s="1066">
        <v>0.17799999999999999</v>
      </c>
      <c r="E35" s="1067">
        <v>101.55</v>
      </c>
      <c r="F35" s="1068">
        <v>0.47</v>
      </c>
      <c r="G35" s="1072">
        <v>2.0699999999999998</v>
      </c>
      <c r="H35" s="1070">
        <v>-0.42699999999999999</v>
      </c>
      <c r="I35" s="1071">
        <v>0.57499999999999996</v>
      </c>
    </row>
    <row r="36" spans="1:26" s="227" customFormat="1" ht="22.5" customHeight="1" x14ac:dyDescent="0.2">
      <c r="A36" s="1073" t="s">
        <v>1182</v>
      </c>
      <c r="B36" s="1074" t="s">
        <v>1183</v>
      </c>
      <c r="C36" s="1075">
        <v>100.815</v>
      </c>
      <c r="D36" s="1076">
        <v>0.17100000000000001</v>
      </c>
      <c r="E36" s="1077">
        <v>100.7</v>
      </c>
      <c r="F36" s="1078">
        <v>1.3</v>
      </c>
      <c r="G36" s="1079">
        <v>2</v>
      </c>
      <c r="H36" s="1080">
        <v>-0.115</v>
      </c>
      <c r="I36" s="1081">
        <v>1.3440000000000001</v>
      </c>
    </row>
    <row r="37" spans="1:26" s="227" customFormat="1" ht="22.5" customHeight="1" x14ac:dyDescent="0.2">
      <c r="A37" s="1084"/>
      <c r="B37" s="1085"/>
      <c r="C37" s="1086"/>
      <c r="D37" s="1086"/>
      <c r="E37" s="1087"/>
      <c r="F37" s="1088"/>
      <c r="G37" s="1089"/>
      <c r="H37" s="1090"/>
      <c r="I37" s="1090"/>
    </row>
    <row r="38" spans="1:26" s="227" customFormat="1" ht="14.25" customHeight="1" x14ac:dyDescent="0.2">
      <c r="A38" s="1374" t="s">
        <v>1185</v>
      </c>
      <c r="B38" s="1374"/>
      <c r="C38" s="1374"/>
      <c r="D38" s="1374"/>
      <c r="E38" s="1374"/>
      <c r="F38" s="1374"/>
      <c r="G38" s="1374"/>
      <c r="H38" s="1374"/>
      <c r="I38" s="1374"/>
      <c r="J38" s="1374"/>
    </row>
    <row r="39" spans="1:26" s="227" customFormat="1" ht="27" customHeight="1" x14ac:dyDescent="0.2">
      <c r="A39" s="1053" t="s">
        <v>1169</v>
      </c>
      <c r="B39" s="1054" t="s">
        <v>1170</v>
      </c>
      <c r="C39" s="582" t="s">
        <v>1171</v>
      </c>
      <c r="D39" s="584" t="s">
        <v>1172</v>
      </c>
      <c r="E39" s="582" t="s">
        <v>1173</v>
      </c>
      <c r="F39" s="876" t="s">
        <v>1174</v>
      </c>
      <c r="G39" s="584" t="s">
        <v>1175</v>
      </c>
      <c r="H39" s="582" t="s">
        <v>1176</v>
      </c>
      <c r="I39" s="584" t="s">
        <v>1177</v>
      </c>
    </row>
    <row r="40" spans="1:26" s="227" customFormat="1" ht="22.35" customHeight="1" x14ac:dyDescent="0.2">
      <c r="A40" s="506" t="s">
        <v>1124</v>
      </c>
      <c r="B40" s="1055" t="s">
        <v>1178</v>
      </c>
      <c r="C40" s="1056">
        <v>99.837000000000003</v>
      </c>
      <c r="D40" s="1057">
        <v>0.17</v>
      </c>
      <c r="E40" s="1082">
        <v>99.9</v>
      </c>
      <c r="F40" s="1059">
        <v>0.26</v>
      </c>
      <c r="G40" s="1060">
        <v>2.06</v>
      </c>
      <c r="H40" s="1056">
        <v>6.3E-2</v>
      </c>
      <c r="I40" s="1062">
        <v>0.42099999999999999</v>
      </c>
    </row>
    <row r="41" spans="1:26" s="227" customFormat="1" ht="22.35" customHeight="1" x14ac:dyDescent="0.2">
      <c r="A41" s="1063" t="s">
        <v>1179</v>
      </c>
      <c r="B41" s="1064" t="s">
        <v>1180</v>
      </c>
      <c r="C41" s="1065">
        <v>99.472999999999999</v>
      </c>
      <c r="D41" s="1066">
        <v>0.16900000000000001</v>
      </c>
      <c r="E41" s="982">
        <v>99.41</v>
      </c>
      <c r="F41" s="1068">
        <v>0.67</v>
      </c>
      <c r="G41" s="1069">
        <v>2</v>
      </c>
      <c r="H41" s="1065">
        <v>-6.3E-2</v>
      </c>
      <c r="I41" s="1071">
        <v>0.751</v>
      </c>
    </row>
    <row r="42" spans="1:26" s="227" customFormat="1" ht="22.35" customHeight="1" x14ac:dyDescent="0.2">
      <c r="A42" s="1063" t="s">
        <v>1100</v>
      </c>
      <c r="B42" s="1064" t="s">
        <v>1181</v>
      </c>
      <c r="C42" s="1065">
        <v>100.682</v>
      </c>
      <c r="D42" s="1066">
        <v>0.17100000000000001</v>
      </c>
      <c r="E42" s="982">
        <v>100.78</v>
      </c>
      <c r="F42" s="1068">
        <v>0.56999999999999995</v>
      </c>
      <c r="G42" s="1072">
        <v>2.12</v>
      </c>
      <c r="H42" s="1065">
        <v>9.8000000000000004E-2</v>
      </c>
      <c r="I42" s="1071">
        <v>0.64100000000000001</v>
      </c>
    </row>
    <row r="43" spans="1:26" s="227" customFormat="1" ht="22.5" customHeight="1" x14ac:dyDescent="0.2">
      <c r="A43" s="1073" t="s">
        <v>1182</v>
      </c>
      <c r="B43" s="1074" t="s">
        <v>1183</v>
      </c>
      <c r="C43" s="1075">
        <v>99.111000000000004</v>
      </c>
      <c r="D43" s="1076">
        <v>0.16800000000000001</v>
      </c>
      <c r="E43" s="1083">
        <v>99.1</v>
      </c>
      <c r="F43" s="1078">
        <v>1</v>
      </c>
      <c r="G43" s="1079">
        <v>2</v>
      </c>
      <c r="H43" s="1075">
        <v>-1.0999999999999999E-2</v>
      </c>
      <c r="I43" s="1081">
        <v>1.0549999999999999</v>
      </c>
    </row>
    <row r="44" spans="1:26" ht="14.25" x14ac:dyDescent="0.2">
      <c r="H44" s="9"/>
      <c r="U44" s="152"/>
      <c r="V44" s="21"/>
      <c r="W44" s="21"/>
      <c r="X44" s="21"/>
      <c r="Y44" s="21"/>
      <c r="Z44" s="21"/>
    </row>
    <row r="45" spans="1:26" ht="14.25" x14ac:dyDescent="0.2">
      <c r="H45" s="9"/>
      <c r="U45" s="152"/>
      <c r="V45" s="21"/>
      <c r="W45" s="21"/>
      <c r="X45" s="21"/>
      <c r="Y45" s="21"/>
      <c r="Z45" s="21"/>
    </row>
    <row r="46" spans="1:26" ht="14.25" x14ac:dyDescent="0.2">
      <c r="H46" s="9"/>
      <c r="U46" s="152"/>
      <c r="V46" s="21"/>
      <c r="W46" s="21"/>
      <c r="X46" s="21"/>
      <c r="Y46" s="21"/>
      <c r="Z46" s="21"/>
    </row>
    <row r="47" spans="1:26" ht="14.25" x14ac:dyDescent="0.2">
      <c r="H47" s="9"/>
      <c r="U47" s="152"/>
      <c r="V47" s="21"/>
      <c r="W47" s="21"/>
      <c r="X47" s="21"/>
      <c r="Y47" s="21"/>
      <c r="Z47" s="21"/>
    </row>
    <row r="48" spans="1:26" ht="14.25" x14ac:dyDescent="0.2">
      <c r="H48" s="9"/>
      <c r="U48" s="152"/>
      <c r="V48" s="21"/>
      <c r="W48" s="21"/>
      <c r="X48" s="21"/>
      <c r="Y48" s="21"/>
      <c r="Z48" s="21"/>
    </row>
    <row r="49" spans="8:26" ht="14.25" x14ac:dyDescent="0.2">
      <c r="H49" s="9"/>
      <c r="U49" s="152"/>
      <c r="V49" s="21"/>
      <c r="W49" s="21"/>
      <c r="X49" s="21"/>
      <c r="Y49" s="21"/>
      <c r="Z49" s="21"/>
    </row>
    <row r="50" spans="8:26" ht="14.25" x14ac:dyDescent="0.2">
      <c r="H50" s="9"/>
      <c r="U50" s="152"/>
      <c r="V50" s="21"/>
      <c r="W50" s="21"/>
      <c r="X50" s="21"/>
      <c r="Y50" s="21"/>
      <c r="Z50" s="21"/>
    </row>
    <row r="51" spans="8:26" ht="14.25" x14ac:dyDescent="0.2">
      <c r="H51" s="9"/>
      <c r="U51" s="152"/>
      <c r="V51" s="21"/>
      <c r="W51" s="21"/>
      <c r="X51" s="21"/>
      <c r="Y51" s="21"/>
      <c r="Z51" s="21"/>
    </row>
    <row r="52" spans="8:26" ht="14.25" x14ac:dyDescent="0.2">
      <c r="H52" s="9"/>
      <c r="U52" s="152"/>
      <c r="V52" s="21"/>
      <c r="W52" s="21"/>
      <c r="X52" s="21"/>
      <c r="Y52" s="21"/>
      <c r="Z52" s="21"/>
    </row>
    <row r="53" spans="8:26" ht="14.25" x14ac:dyDescent="0.2">
      <c r="H53" s="9"/>
      <c r="U53" s="152"/>
      <c r="V53" s="21"/>
      <c r="W53" s="21"/>
      <c r="X53" s="21"/>
      <c r="Y53" s="21"/>
      <c r="Z53" s="21"/>
    </row>
    <row r="54" spans="8:26" ht="14.25" x14ac:dyDescent="0.2">
      <c r="H54" s="9"/>
      <c r="U54" s="152"/>
      <c r="V54" s="21"/>
      <c r="W54" s="21"/>
      <c r="X54" s="21"/>
      <c r="Y54" s="21"/>
      <c r="Z54" s="21"/>
    </row>
    <row r="55" spans="8:26" ht="14.25" x14ac:dyDescent="0.2">
      <c r="H55" s="9"/>
      <c r="U55" s="152"/>
      <c r="V55" s="21"/>
      <c r="W55" s="21"/>
      <c r="X55" s="21"/>
      <c r="Y55" s="21"/>
      <c r="Z55" s="21"/>
    </row>
    <row r="56" spans="8:26" ht="14.25" x14ac:dyDescent="0.2">
      <c r="H56" s="9"/>
      <c r="U56" s="152"/>
      <c r="V56" s="21"/>
      <c r="W56" s="21"/>
      <c r="X56" s="21"/>
      <c r="Y56" s="21"/>
      <c r="Z56" s="21"/>
    </row>
    <row r="57" spans="8:26" ht="14.25" x14ac:dyDescent="0.2">
      <c r="H57" s="9"/>
      <c r="U57" s="152"/>
      <c r="V57" s="21"/>
      <c r="W57" s="21"/>
      <c r="X57" s="21"/>
      <c r="Y57" s="21"/>
      <c r="Z57" s="21"/>
    </row>
    <row r="58" spans="8:26" ht="14.25" x14ac:dyDescent="0.2">
      <c r="H58" s="9"/>
      <c r="U58" s="152"/>
      <c r="V58" s="21"/>
      <c r="W58" s="21"/>
      <c r="X58" s="21"/>
      <c r="Y58" s="21"/>
      <c r="Z58" s="21"/>
    </row>
    <row r="59" spans="8:26" ht="14.25" x14ac:dyDescent="0.2">
      <c r="H59" s="9"/>
      <c r="U59" s="152"/>
      <c r="V59" s="21"/>
      <c r="W59" s="21"/>
      <c r="X59" s="21"/>
      <c r="Y59" s="21"/>
      <c r="Z59" s="21"/>
    </row>
    <row r="60" spans="8:26" ht="14.25" x14ac:dyDescent="0.2">
      <c r="H60" s="9"/>
      <c r="U60" s="152"/>
      <c r="V60" s="21"/>
      <c r="W60" s="21"/>
      <c r="X60" s="21"/>
      <c r="Y60" s="21"/>
      <c r="Z60" s="21"/>
    </row>
    <row r="61" spans="8:26" ht="14.25" x14ac:dyDescent="0.2">
      <c r="H61" s="9"/>
      <c r="U61" s="152"/>
      <c r="V61" s="21"/>
      <c r="W61" s="21"/>
      <c r="X61" s="21"/>
      <c r="Y61" s="21"/>
      <c r="Z61" s="21"/>
    </row>
    <row r="62" spans="8:26" ht="14.25" x14ac:dyDescent="0.2">
      <c r="U62" s="152"/>
      <c r="V62" s="21"/>
      <c r="W62" s="21"/>
      <c r="X62" s="21"/>
      <c r="Y62" s="21"/>
      <c r="Z62" s="21"/>
    </row>
    <row r="63" spans="8:26" ht="14.25" x14ac:dyDescent="0.2">
      <c r="H63" s="9"/>
      <c r="U63" s="152"/>
      <c r="V63" s="21"/>
      <c r="W63" s="21"/>
      <c r="X63" s="21"/>
      <c r="Y63" s="21"/>
      <c r="Z63" s="21"/>
    </row>
    <row r="64" spans="8:26" ht="14.25" x14ac:dyDescent="0.2">
      <c r="H64" s="9"/>
      <c r="U64" s="152"/>
      <c r="V64" s="21"/>
      <c r="W64" s="21"/>
      <c r="X64" s="21"/>
      <c r="Y64" s="21"/>
      <c r="Z64" s="21"/>
    </row>
    <row r="65" spans="1:26" ht="14.25" x14ac:dyDescent="0.2">
      <c r="H65" s="9"/>
      <c r="U65" s="152"/>
      <c r="V65" s="21"/>
      <c r="W65" s="21"/>
      <c r="X65" s="21"/>
      <c r="Y65" s="21"/>
      <c r="Z65" s="21"/>
    </row>
    <row r="66" spans="1:26" ht="14.25" x14ac:dyDescent="0.2">
      <c r="H66" s="9"/>
      <c r="U66" s="152"/>
      <c r="V66" s="21"/>
      <c r="W66" s="21"/>
      <c r="X66" s="21"/>
      <c r="Y66" s="21"/>
      <c r="Z66" s="21"/>
    </row>
    <row r="67" spans="1:26" ht="14.25" x14ac:dyDescent="0.2">
      <c r="H67" s="9"/>
      <c r="U67" s="152"/>
      <c r="V67" s="21"/>
      <c r="W67" s="21"/>
      <c r="X67" s="21"/>
      <c r="Y67" s="21"/>
      <c r="Z67" s="21"/>
    </row>
    <row r="68" spans="1:26" ht="14.25" x14ac:dyDescent="0.2">
      <c r="H68" s="9"/>
      <c r="U68" s="152"/>
      <c r="V68" s="21"/>
      <c r="W68" s="21"/>
      <c r="X68" s="21"/>
      <c r="Y68" s="21"/>
      <c r="Z68" s="21"/>
    </row>
    <row r="69" spans="1:26" ht="14.25" x14ac:dyDescent="0.2">
      <c r="U69" s="152"/>
      <c r="V69" s="21"/>
      <c r="W69" s="21"/>
      <c r="X69" s="21"/>
      <c r="Y69" s="21"/>
      <c r="Z69" s="21"/>
    </row>
    <row r="70" spans="1:26" ht="14.25" x14ac:dyDescent="0.2">
      <c r="U70" s="152"/>
      <c r="V70" s="21"/>
      <c r="W70" s="21"/>
      <c r="X70" s="21"/>
      <c r="Y70" s="21"/>
      <c r="Z70" s="21"/>
    </row>
    <row r="71" spans="1:26" ht="14.25" x14ac:dyDescent="0.2">
      <c r="U71" s="152"/>
      <c r="V71" s="21"/>
      <c r="W71" s="21"/>
      <c r="X71" s="21"/>
      <c r="Y71" s="21"/>
      <c r="Z71" s="21"/>
    </row>
    <row r="72" spans="1:26" ht="14.25" x14ac:dyDescent="0.2">
      <c r="U72" s="152"/>
      <c r="V72" s="21"/>
      <c r="W72" s="21"/>
      <c r="X72" s="21"/>
      <c r="Y72" s="21"/>
      <c r="Z72" s="21"/>
    </row>
    <row r="73" spans="1:26" ht="14.25" x14ac:dyDescent="0.2">
      <c r="U73" s="152"/>
      <c r="V73" s="21"/>
      <c r="W73" s="21"/>
      <c r="X73" s="21"/>
      <c r="Y73" s="21"/>
      <c r="Z73" s="21"/>
    </row>
    <row r="74" spans="1:26" ht="14.25" x14ac:dyDescent="0.2">
      <c r="U74" s="152"/>
      <c r="V74" s="21"/>
      <c r="W74" s="21"/>
      <c r="X74" s="21"/>
      <c r="Y74" s="21"/>
      <c r="Z74" s="21"/>
    </row>
    <row r="75" spans="1:26" ht="14.25" x14ac:dyDescent="0.2">
      <c r="A75" s="23"/>
      <c r="B75" s="23"/>
      <c r="C75" s="23"/>
      <c r="D75" s="23"/>
      <c r="T75" s="151"/>
      <c r="U75" s="152"/>
      <c r="V75" s="21"/>
      <c r="W75" s="21"/>
      <c r="X75" s="21"/>
      <c r="Y75" s="21"/>
      <c r="Z75" s="21"/>
    </row>
    <row r="76" spans="1:26" ht="14.25" x14ac:dyDescent="0.2">
      <c r="T76" s="151"/>
      <c r="U76" s="152"/>
      <c r="V76" s="21"/>
      <c r="W76" s="21"/>
      <c r="X76" s="21"/>
      <c r="Y76" s="21"/>
      <c r="Z76" s="21"/>
    </row>
    <row r="77" spans="1:26" ht="14.25" x14ac:dyDescent="0.2">
      <c r="T77" s="151"/>
      <c r="U77" s="152"/>
      <c r="V77" s="21"/>
      <c r="W77" s="21"/>
      <c r="X77" s="21"/>
      <c r="Y77" s="21"/>
      <c r="Z77" s="21"/>
    </row>
    <row r="78" spans="1:26" ht="14.25" x14ac:dyDescent="0.2">
      <c r="T78" s="151"/>
      <c r="U78" s="152"/>
      <c r="V78" s="21"/>
      <c r="W78" s="21"/>
      <c r="X78" s="21"/>
      <c r="Y78" s="21"/>
      <c r="Z78" s="21"/>
    </row>
    <row r="79" spans="1:26" ht="14.25" x14ac:dyDescent="0.2">
      <c r="T79" s="151"/>
      <c r="U79" s="152"/>
      <c r="V79" s="21"/>
      <c r="W79" s="21"/>
      <c r="X79" s="21"/>
      <c r="Y79" s="21"/>
      <c r="Z79" s="21"/>
    </row>
    <row r="80" spans="1:26" ht="14.25" x14ac:dyDescent="0.2">
      <c r="T80" s="151"/>
      <c r="U80" s="152"/>
      <c r="V80" s="21"/>
      <c r="W80" s="21"/>
      <c r="X80" s="21"/>
      <c r="Y80" s="21"/>
      <c r="Z80" s="21"/>
    </row>
    <row r="81" spans="1:26" ht="14.25" x14ac:dyDescent="0.2">
      <c r="T81" s="151"/>
      <c r="U81" s="152"/>
      <c r="V81" s="21"/>
      <c r="W81" s="21"/>
      <c r="X81" s="21"/>
      <c r="Y81" s="21"/>
      <c r="Z81" s="21"/>
    </row>
    <row r="82" spans="1:26" ht="14.25" x14ac:dyDescent="0.2">
      <c r="T82" s="151"/>
      <c r="U82" s="152"/>
      <c r="V82" s="21"/>
      <c r="W82" s="21"/>
      <c r="X82" s="21"/>
      <c r="Y82" s="21"/>
      <c r="Z82" s="21"/>
    </row>
    <row r="83" spans="1:26" ht="14.25" x14ac:dyDescent="0.2">
      <c r="T83" s="151"/>
      <c r="U83" s="152"/>
      <c r="V83" s="21"/>
      <c r="W83" s="21"/>
      <c r="X83" s="21"/>
      <c r="Y83" s="21"/>
      <c r="Z83" s="21"/>
    </row>
    <row r="84" spans="1:26" ht="14.25" x14ac:dyDescent="0.2">
      <c r="T84" s="151"/>
      <c r="U84" s="152"/>
      <c r="V84" s="21"/>
      <c r="W84" s="21"/>
      <c r="X84" s="21"/>
      <c r="Y84" s="21"/>
      <c r="Z84" s="21"/>
    </row>
    <row r="85" spans="1:26" ht="14.25" x14ac:dyDescent="0.2">
      <c r="T85" s="151"/>
      <c r="U85" s="152"/>
      <c r="V85" s="21"/>
      <c r="W85" s="21"/>
      <c r="X85" s="21"/>
      <c r="Y85" s="21"/>
      <c r="Z85" s="21"/>
    </row>
    <row r="86" spans="1:26" ht="14.25" x14ac:dyDescent="0.2">
      <c r="T86" s="151"/>
      <c r="U86" s="152"/>
      <c r="V86" s="21"/>
      <c r="W86" s="21"/>
      <c r="X86" s="21"/>
      <c r="Y86" s="21"/>
      <c r="Z86" s="21"/>
    </row>
    <row r="87" spans="1:26" ht="14.25" x14ac:dyDescent="0.2">
      <c r="T87" s="151"/>
      <c r="U87" s="152"/>
      <c r="V87" s="21"/>
      <c r="W87" s="21"/>
      <c r="X87" s="21"/>
      <c r="Y87" s="21"/>
      <c r="Z87" s="21"/>
    </row>
    <row r="88" spans="1:26" ht="14.25" x14ac:dyDescent="0.2">
      <c r="A88" s="23"/>
      <c r="B88" s="23"/>
      <c r="C88" s="23"/>
      <c r="D88" s="23"/>
      <c r="T88" s="151"/>
      <c r="U88" s="152"/>
      <c r="V88" s="21"/>
      <c r="W88" s="21"/>
      <c r="X88" s="21"/>
      <c r="Y88" s="21"/>
      <c r="Z88" s="21"/>
    </row>
    <row r="89" spans="1:26" ht="14.25" x14ac:dyDescent="0.2">
      <c r="A89" s="23"/>
      <c r="B89" s="23"/>
      <c r="C89" s="23"/>
      <c r="D89" s="23"/>
      <c r="T89" s="151"/>
      <c r="U89" s="152"/>
      <c r="V89" s="21"/>
      <c r="W89" s="21"/>
      <c r="X89" s="21"/>
      <c r="Y89" s="21"/>
      <c r="Z89" s="21"/>
    </row>
    <row r="90" spans="1:26" ht="14.25" x14ac:dyDescent="0.2">
      <c r="A90" s="23"/>
      <c r="B90" s="23"/>
      <c r="C90" s="23"/>
      <c r="D90" s="23"/>
      <c r="T90" s="151"/>
      <c r="U90" s="152"/>
      <c r="V90" s="21"/>
      <c r="W90" s="21"/>
      <c r="X90" s="21"/>
      <c r="Y90" s="21"/>
      <c r="Z90" s="21"/>
    </row>
    <row r="91" spans="1:26" ht="14.25" x14ac:dyDescent="0.2">
      <c r="A91" s="23"/>
      <c r="B91" s="23"/>
      <c r="C91" s="23"/>
      <c r="D91" s="23"/>
      <c r="T91" s="151"/>
      <c r="U91" s="152"/>
      <c r="V91" s="21"/>
      <c r="W91" s="21"/>
      <c r="X91" s="21"/>
      <c r="Y91" s="21"/>
      <c r="Z91" s="21"/>
    </row>
    <row r="92" spans="1:26" ht="14.25" x14ac:dyDescent="0.2">
      <c r="A92" s="23"/>
      <c r="B92" s="23"/>
      <c r="C92" s="23"/>
      <c r="D92" s="23"/>
      <c r="T92" s="151"/>
      <c r="U92" s="152"/>
      <c r="V92" s="21"/>
      <c r="W92" s="21"/>
      <c r="X92" s="21"/>
      <c r="Y92" s="21"/>
      <c r="Z92" s="21"/>
    </row>
    <row r="93" spans="1:26" ht="14.25" x14ac:dyDescent="0.2">
      <c r="A93" s="23"/>
      <c r="B93" s="23"/>
      <c r="C93" s="23"/>
      <c r="D93" s="23"/>
      <c r="T93" s="151"/>
      <c r="U93" s="152"/>
      <c r="V93" s="21"/>
      <c r="W93" s="21"/>
      <c r="X93" s="21"/>
      <c r="Y93" s="21"/>
      <c r="Z93" s="21"/>
    </row>
    <row r="94" spans="1:26" ht="14.25" x14ac:dyDescent="0.2">
      <c r="A94" s="23"/>
      <c r="B94" s="23"/>
      <c r="C94" s="23"/>
      <c r="D94" s="23"/>
      <c r="T94" s="151"/>
      <c r="U94" s="152"/>
      <c r="V94" s="21"/>
      <c r="W94" s="21"/>
      <c r="X94" s="21"/>
      <c r="Y94" s="21"/>
      <c r="Z94" s="21"/>
    </row>
    <row r="95" spans="1:26" ht="14.25" x14ac:dyDescent="0.2">
      <c r="A95" s="23"/>
      <c r="B95" s="23"/>
      <c r="C95" s="23"/>
      <c r="D95" s="23"/>
      <c r="T95" s="151"/>
      <c r="U95" s="152"/>
      <c r="V95" s="21"/>
      <c r="W95" s="21"/>
      <c r="X95" s="21"/>
      <c r="Y95" s="21"/>
      <c r="Z95" s="21"/>
    </row>
    <row r="96" spans="1:26" ht="14.25" x14ac:dyDescent="0.2">
      <c r="A96" s="23"/>
      <c r="B96" s="23"/>
      <c r="C96" s="23"/>
      <c r="D96" s="23"/>
      <c r="T96" s="151"/>
      <c r="U96" s="152"/>
      <c r="V96" s="21"/>
      <c r="W96" s="21"/>
      <c r="X96" s="21"/>
      <c r="Y96" s="21"/>
      <c r="Z96" s="21"/>
    </row>
    <row r="97" spans="1:26" ht="14.25" x14ac:dyDescent="0.2">
      <c r="A97" s="23"/>
      <c r="B97" s="23"/>
      <c r="C97" s="23"/>
      <c r="D97" s="23"/>
      <c r="T97" s="151"/>
      <c r="U97" s="152"/>
      <c r="V97" s="21"/>
      <c r="W97" s="21"/>
      <c r="X97" s="21"/>
      <c r="Y97" s="21"/>
      <c r="Z97" s="21"/>
    </row>
    <row r="98" spans="1:26" ht="14.25" x14ac:dyDescent="0.2">
      <c r="A98" s="23"/>
      <c r="B98" s="23"/>
      <c r="C98" s="23"/>
      <c r="D98" s="23"/>
      <c r="T98" s="151"/>
      <c r="U98" s="152"/>
      <c r="V98" s="21"/>
      <c r="W98" s="21"/>
      <c r="X98" s="21"/>
      <c r="Y98" s="21"/>
      <c r="Z98" s="21"/>
    </row>
    <row r="99" spans="1:26" ht="14.25" x14ac:dyDescent="0.2">
      <c r="A99" s="23"/>
      <c r="B99" s="23"/>
      <c r="C99" s="23"/>
      <c r="D99" s="23"/>
      <c r="T99" s="151"/>
      <c r="U99" s="152"/>
      <c r="V99" s="21"/>
      <c r="W99" s="21"/>
      <c r="X99" s="21"/>
      <c r="Y99" s="21"/>
      <c r="Z99" s="21"/>
    </row>
    <row r="100" spans="1:26" ht="14.25" x14ac:dyDescent="0.2">
      <c r="A100" s="23"/>
      <c r="B100" s="23"/>
      <c r="C100" s="23"/>
      <c r="D100" s="23"/>
      <c r="T100" s="151"/>
      <c r="U100" s="152"/>
      <c r="V100" s="21"/>
      <c r="W100" s="21"/>
      <c r="X100" s="21"/>
      <c r="Y100" s="21"/>
      <c r="Z100" s="21"/>
    </row>
    <row r="101" spans="1:26" ht="14.25" x14ac:dyDescent="0.2">
      <c r="A101" s="23"/>
      <c r="B101" s="23"/>
      <c r="C101" s="23"/>
      <c r="D101" s="23"/>
      <c r="T101" s="151"/>
      <c r="U101" s="152"/>
      <c r="V101" s="21"/>
      <c r="W101" s="21"/>
      <c r="X101" s="21"/>
      <c r="Y101" s="21"/>
      <c r="Z101" s="21"/>
    </row>
    <row r="102" spans="1:26" ht="13.5" x14ac:dyDescent="0.2">
      <c r="A102" s="24"/>
      <c r="B102" s="24"/>
      <c r="T102" s="153"/>
      <c r="V102" s="21"/>
      <c r="W102" s="21"/>
      <c r="X102" s="21"/>
      <c r="Y102" s="21"/>
      <c r="Z102" s="21"/>
    </row>
    <row r="116" spans="1:26" ht="16.899999999999999" customHeight="1" x14ac:dyDescent="0.2">
      <c r="A116" s="25"/>
    </row>
    <row r="117" spans="1:26" ht="12" customHeight="1" x14ac:dyDescent="0.2">
      <c r="A117" s="4"/>
    </row>
    <row r="118" spans="1:26" ht="13.15" customHeight="1" x14ac:dyDescent="0.2"/>
    <row r="119" spans="1:26" ht="13.15" customHeight="1" x14ac:dyDescent="0.2"/>
    <row r="120" spans="1:26" ht="13.15" customHeight="1" x14ac:dyDescent="0.2"/>
    <row r="121" spans="1:26" s="149" customFormat="1" ht="13.15" customHeight="1" x14ac:dyDescent="0.2">
      <c r="A121" s="1"/>
      <c r="B121" s="1"/>
      <c r="C121" s="1"/>
      <c r="D121" s="1"/>
      <c r="E121" s="1"/>
      <c r="F121" s="1"/>
      <c r="G121" s="1"/>
      <c r="H121" s="1"/>
      <c r="P121" s="1"/>
      <c r="Q121" s="1"/>
      <c r="T121" s="150"/>
      <c r="U121" s="150"/>
      <c r="V121" s="1"/>
      <c r="W121" s="1"/>
      <c r="X121" s="1"/>
      <c r="Y121" s="1"/>
      <c r="Z121" s="1"/>
    </row>
    <row r="122" spans="1:26" s="149" customFormat="1" ht="13.15" customHeight="1" x14ac:dyDescent="0.2">
      <c r="A122" s="1"/>
      <c r="B122" s="1"/>
      <c r="C122" s="1"/>
      <c r="D122" s="1"/>
      <c r="E122" s="1"/>
      <c r="F122" s="1"/>
      <c r="G122" s="1"/>
      <c r="H122" s="1"/>
      <c r="P122" s="1"/>
      <c r="Q122" s="1"/>
      <c r="T122" s="150"/>
      <c r="U122" s="150"/>
      <c r="V122" s="1"/>
      <c r="W122" s="1"/>
      <c r="X122" s="1"/>
      <c r="Y122" s="1"/>
      <c r="Z122" s="1"/>
    </row>
    <row r="123" spans="1:26" s="149" customFormat="1" ht="13.15" customHeight="1" x14ac:dyDescent="0.2">
      <c r="A123" s="1"/>
      <c r="B123" s="1"/>
      <c r="C123" s="1"/>
      <c r="D123" s="1"/>
      <c r="E123" s="1"/>
      <c r="F123" s="1"/>
      <c r="G123" s="1"/>
      <c r="H123" s="1"/>
      <c r="P123" s="1"/>
      <c r="Q123" s="1"/>
      <c r="T123" s="150"/>
      <c r="U123" s="150"/>
      <c r="V123" s="1"/>
      <c r="W123" s="1"/>
      <c r="X123" s="1"/>
      <c r="Y123" s="1"/>
      <c r="Z123" s="1"/>
    </row>
    <row r="124" spans="1:26" s="149" customFormat="1" ht="12" customHeight="1" x14ac:dyDescent="0.2">
      <c r="A124" s="1"/>
      <c r="B124" s="1"/>
      <c r="C124" s="1"/>
      <c r="D124" s="1"/>
      <c r="E124" s="1"/>
      <c r="F124" s="1"/>
      <c r="G124" s="1"/>
      <c r="H124" s="1"/>
      <c r="P124" s="1"/>
      <c r="Q124" s="1"/>
      <c r="T124" s="150"/>
      <c r="U124" s="150"/>
      <c r="V124" s="1"/>
      <c r="W124" s="1"/>
      <c r="X124" s="1"/>
      <c r="Y124" s="1"/>
      <c r="Z124" s="1"/>
    </row>
    <row r="125" spans="1:26" s="149" customFormat="1" ht="12" customHeight="1" x14ac:dyDescent="0.2">
      <c r="A125" s="1"/>
      <c r="B125" s="1"/>
      <c r="C125" s="1"/>
      <c r="D125" s="1"/>
      <c r="E125" s="1"/>
      <c r="F125" s="1"/>
      <c r="G125" s="1"/>
      <c r="H125" s="1"/>
      <c r="P125" s="1"/>
      <c r="Q125" s="1"/>
      <c r="T125" s="150"/>
      <c r="U125" s="150"/>
      <c r="V125" s="1"/>
      <c r="W125" s="1"/>
      <c r="X125" s="1"/>
      <c r="Y125" s="1"/>
      <c r="Z125" s="1"/>
    </row>
    <row r="126" spans="1:26" s="149" customFormat="1" ht="15" customHeight="1" x14ac:dyDescent="0.2">
      <c r="A126" s="1"/>
      <c r="B126" s="1"/>
      <c r="C126" s="1"/>
      <c r="D126" s="1"/>
      <c r="E126" s="1"/>
      <c r="F126" s="1"/>
      <c r="G126" s="1"/>
      <c r="H126" s="1"/>
      <c r="P126" s="1"/>
      <c r="Q126" s="1"/>
      <c r="T126" s="150"/>
      <c r="U126" s="150"/>
      <c r="V126" s="1"/>
      <c r="W126" s="1"/>
      <c r="X126" s="1"/>
      <c r="Y126" s="1"/>
      <c r="Z126" s="1"/>
    </row>
    <row r="127" spans="1:26" s="149" customFormat="1" ht="15" customHeight="1" x14ac:dyDescent="0.2">
      <c r="A127" s="1"/>
      <c r="B127" s="1"/>
      <c r="C127" s="1"/>
      <c r="D127" s="1"/>
      <c r="E127" s="1"/>
      <c r="F127" s="1"/>
      <c r="G127" s="1"/>
      <c r="H127" s="1"/>
      <c r="P127" s="1"/>
      <c r="Q127" s="1"/>
      <c r="T127" s="150"/>
      <c r="U127" s="150"/>
      <c r="V127" s="1"/>
      <c r="W127" s="1"/>
      <c r="X127" s="1"/>
      <c r="Y127" s="1"/>
      <c r="Z127" s="1"/>
    </row>
  </sheetData>
  <sheetProtection sheet="1" formatCells="0" formatColumns="0" formatRows="0"/>
  <mergeCells count="1">
    <mergeCell ref="A38:J38"/>
  </mergeCells>
  <phoneticPr fontId="4"/>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0D5BD-99E0-4090-AF45-154A57D852EC}">
  <dimension ref="A1:Z559"/>
  <sheetViews>
    <sheetView zoomScale="130" zoomScaleNormal="130" workbookViewId="0">
      <selection activeCell="R7" sqref="R7"/>
    </sheetView>
  </sheetViews>
  <sheetFormatPr defaultColWidth="9.33203125" defaultRowHeight="12.75" x14ac:dyDescent="0.2"/>
  <cols>
    <col min="1" max="1" width="9.33203125" style="1"/>
    <col min="2" max="2" width="13.33203125" style="1" customWidth="1"/>
    <col min="3" max="7" width="10.1640625" style="1" customWidth="1"/>
    <col min="8" max="8" width="10.33203125" style="1" bestFit="1" customWidth="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1379</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1068</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 customFormat="1" ht="28.5" customHeight="1" x14ac:dyDescent="0.2">
      <c r="A6" s="1377" t="s">
        <v>1069</v>
      </c>
      <c r="B6" s="1377"/>
      <c r="C6" s="1375" t="s">
        <v>1070</v>
      </c>
      <c r="D6" s="1375"/>
      <c r="E6" s="99"/>
      <c r="F6" s="99"/>
      <c r="G6" s="99"/>
      <c r="I6" s="113"/>
      <c r="J6" s="113"/>
      <c r="K6" s="113"/>
      <c r="L6" s="113"/>
      <c r="M6" s="113"/>
      <c r="N6" s="113"/>
      <c r="O6" s="113"/>
      <c r="R6" s="113"/>
      <c r="S6" s="113"/>
      <c r="T6" s="146"/>
      <c r="U6" s="146"/>
    </row>
    <row r="7" spans="1:25" s="2" customFormat="1" ht="14.25" customHeight="1" x14ac:dyDescent="0.2">
      <c r="A7" s="1376" t="s">
        <v>1071</v>
      </c>
      <c r="B7" s="1376"/>
      <c r="C7" s="1376" t="s">
        <v>1072</v>
      </c>
      <c r="D7" s="1376"/>
      <c r="E7" s="99"/>
      <c r="F7" s="99"/>
      <c r="G7" s="99"/>
      <c r="I7" s="113"/>
      <c r="J7" s="113"/>
      <c r="K7" s="113"/>
      <c r="L7" s="113"/>
      <c r="M7" s="113"/>
      <c r="N7" s="113"/>
      <c r="O7" s="113"/>
      <c r="R7" s="113"/>
      <c r="S7" s="113"/>
      <c r="T7" s="146"/>
      <c r="U7" s="146"/>
    </row>
    <row r="8" spans="1:25" s="2" customFormat="1" ht="14.25" customHeight="1" x14ac:dyDescent="0.2">
      <c r="A8" s="1376" t="s">
        <v>1073</v>
      </c>
      <c r="B8" s="1376"/>
      <c r="C8" s="1376" t="s">
        <v>1074</v>
      </c>
      <c r="D8" s="1376"/>
      <c r="E8" s="99"/>
      <c r="F8" s="99"/>
      <c r="G8" s="99"/>
      <c r="I8" s="113"/>
      <c r="J8" s="113"/>
      <c r="K8" s="113"/>
      <c r="L8" s="113"/>
      <c r="M8" s="113"/>
      <c r="N8" s="113"/>
      <c r="O8" s="113"/>
      <c r="R8" s="113"/>
      <c r="S8" s="113"/>
      <c r="T8" s="146"/>
      <c r="U8" s="146"/>
    </row>
    <row r="9" spans="1:25" s="2" customFormat="1" ht="14.25" customHeight="1" x14ac:dyDescent="0.2">
      <c r="A9" s="1376" t="s">
        <v>1075</v>
      </c>
      <c r="B9" s="1376"/>
      <c r="C9" s="1376" t="s">
        <v>1072</v>
      </c>
      <c r="D9" s="1376"/>
      <c r="E9" s="99"/>
      <c r="F9" s="99"/>
      <c r="G9" s="99"/>
      <c r="I9" s="113"/>
      <c r="J9" s="113"/>
      <c r="K9" s="113"/>
      <c r="L9" s="113"/>
      <c r="M9" s="113"/>
      <c r="N9" s="113"/>
      <c r="O9" s="113"/>
      <c r="R9" s="113"/>
      <c r="S9" s="113"/>
      <c r="T9" s="146"/>
      <c r="U9" s="146"/>
    </row>
    <row r="10" spans="1:25" ht="14.25" customHeight="1" x14ac:dyDescent="0.2">
      <c r="A10" s="1376" t="s">
        <v>1076</v>
      </c>
      <c r="B10" s="1376"/>
      <c r="C10" s="1376" t="s">
        <v>1074</v>
      </c>
      <c r="D10" s="1376"/>
      <c r="E10" s="97"/>
      <c r="F10" s="97"/>
      <c r="G10" s="97"/>
      <c r="I10" s="113"/>
      <c r="J10" s="113"/>
      <c r="K10" s="113"/>
      <c r="L10" s="113"/>
      <c r="M10" s="113"/>
      <c r="N10" s="113"/>
      <c r="O10" s="113"/>
      <c r="R10" s="113"/>
      <c r="S10" s="113"/>
      <c r="T10" s="146"/>
      <c r="U10" s="146"/>
    </row>
    <row r="11" spans="1:25" ht="14.25" customHeight="1" x14ac:dyDescent="0.2">
      <c r="A11" s="1375" t="s">
        <v>1077</v>
      </c>
      <c r="B11" s="1375"/>
      <c r="C11" s="1376" t="s">
        <v>1078</v>
      </c>
      <c r="D11" s="1376"/>
      <c r="E11" s="97"/>
      <c r="F11" s="97"/>
      <c r="G11" s="97"/>
      <c r="I11" s="113"/>
      <c r="J11" s="113"/>
      <c r="K11" s="113"/>
      <c r="L11" s="113"/>
      <c r="M11" s="113"/>
      <c r="N11" s="113"/>
      <c r="O11" s="113"/>
      <c r="R11" s="113"/>
      <c r="S11" s="113"/>
      <c r="T11" s="146"/>
      <c r="U11" s="146"/>
    </row>
    <row r="12" spans="1:25" ht="14.25" customHeight="1" x14ac:dyDescent="0.2">
      <c r="A12" s="1375" t="s">
        <v>1079</v>
      </c>
      <c r="B12" s="1375"/>
      <c r="C12" s="1376" t="s">
        <v>1078</v>
      </c>
      <c r="D12" s="1376"/>
      <c r="E12" s="97"/>
      <c r="F12" s="97"/>
      <c r="G12" s="97"/>
      <c r="I12" s="113"/>
      <c r="J12" s="113"/>
      <c r="K12" s="113"/>
      <c r="L12" s="113"/>
      <c r="M12" s="113"/>
      <c r="N12" s="113"/>
      <c r="O12" s="113"/>
      <c r="R12" s="113"/>
      <c r="S12" s="113"/>
      <c r="T12" s="146"/>
      <c r="U12" s="146"/>
    </row>
    <row r="13" spans="1:25" ht="14.25" customHeight="1" x14ac:dyDescent="0.2">
      <c r="A13" s="1376" t="s">
        <v>1080</v>
      </c>
      <c r="B13" s="1376"/>
      <c r="C13" s="1376" t="s">
        <v>1081</v>
      </c>
      <c r="D13" s="1376"/>
      <c r="E13" s="97"/>
      <c r="F13" s="97"/>
      <c r="G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tr">
        <f>A295</f>
        <v>Nitrogen, mixture I</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1057</v>
      </c>
      <c r="N16" s="104" t="s">
        <v>1058</v>
      </c>
      <c r="O16" s="104" t="s">
        <v>100</v>
      </c>
      <c r="P16" s="6" t="s">
        <v>105</v>
      </c>
      <c r="Q16" s="6" t="s">
        <v>106</v>
      </c>
      <c r="R16" s="104" t="s">
        <v>1051</v>
      </c>
      <c r="S16" s="104" t="s">
        <v>1052</v>
      </c>
      <c r="T16" s="147" t="s">
        <v>1053</v>
      </c>
      <c r="U16" s="147" t="s">
        <v>1054</v>
      </c>
      <c r="V16" s="5" t="s">
        <v>101</v>
      </c>
      <c r="W16" s="5" t="s">
        <v>102</v>
      </c>
      <c r="X16" s="112" t="s">
        <v>1055</v>
      </c>
      <c r="Y16" s="112" t="s">
        <v>1056</v>
      </c>
    </row>
    <row r="17" spans="1:25" x14ac:dyDescent="0.2">
      <c r="A17" s="213" t="str">
        <f>A297</f>
        <v>NPL</v>
      </c>
      <c r="B17" s="213" t="str">
        <f>B297</f>
        <v>VSL202748</v>
      </c>
      <c r="C17" s="219">
        <f t="shared" ref="C17:C32" si="0">C297*10000</f>
        <v>40103</v>
      </c>
      <c r="D17" s="219">
        <f t="shared" ref="D17:D32" si="1">F297*10000</f>
        <v>21.900000000000002</v>
      </c>
      <c r="E17" s="219">
        <f t="shared" ref="E17:E32" si="2">G297*10000</f>
        <v>40080</v>
      </c>
      <c r="F17" s="219">
        <f t="shared" ref="F17:F32" si="3">H297/I297*10000</f>
        <v>25</v>
      </c>
      <c r="G17" s="219">
        <f t="shared" ref="G17:G32" si="4">J297*10000</f>
        <v>-20</v>
      </c>
      <c r="H17" s="219">
        <f t="shared" ref="H17:H32" si="5">L297*10000</f>
        <v>70</v>
      </c>
      <c r="I17" s="155">
        <f t="shared" ref="I17:I32" si="6">IF(ABS(G17)&gt;ABS(H17), 1, 0)</f>
        <v>0</v>
      </c>
      <c r="J17" s="155">
        <f t="shared" ref="J17:J32" si="7">I17*ABS(C17-E17)</f>
        <v>0</v>
      </c>
      <c r="K17" s="155">
        <f t="shared" ref="K17:K32" si="8">SQRT(SUMSQ(F17,J17))*2</f>
        <v>50</v>
      </c>
      <c r="L17" s="155">
        <f t="shared" ref="L17:L32" si="9">IF(C17&lt;$K$2, C17, $K$1)</f>
        <v>10</v>
      </c>
      <c r="M17" s="156">
        <f t="shared" ref="M17:M32" si="10">IF(AND(C17&lt;$K$1,C17&gt; $K$2), K17/L17*100, K17/C17*100)</f>
        <v>0.12467895169937411</v>
      </c>
      <c r="N17" s="157">
        <f t="shared" ref="N17:N32" si="11">M17*L17/100</f>
        <v>1.2467895169937411E-2</v>
      </c>
      <c r="O17" s="155">
        <f t="shared" ref="O17:O32" si="12">N17/(M17*L17/100)*100</f>
        <v>100</v>
      </c>
      <c r="P17" s="250">
        <v>1</v>
      </c>
      <c r="Q17" s="250">
        <v>1000</v>
      </c>
      <c r="R17" s="148">
        <f>IF( IF(P17&lt;L17, M17*L17/P17, M17)&gt;100, "ERROR",  IF(P17&lt;L17, M17*L17/P17, M17))</f>
        <v>1.2467895169937411</v>
      </c>
      <c r="S17" s="148">
        <f>IF(IF(Q17&lt;L17, M17*L17/Q17, M17)&gt;100, "ERROR", IF(Q17&lt;L17, M17*L17/Q17, M17))</f>
        <v>0.12467895169937411</v>
      </c>
      <c r="T17" s="148">
        <f>R17*P17*0.01</f>
        <v>1.2467895169937411E-2</v>
      </c>
      <c r="U17" s="148">
        <f>S17*Q17*0.01</f>
        <v>1.2467895169937411</v>
      </c>
      <c r="V17" s="7">
        <f>P17*1000</f>
        <v>1000</v>
      </c>
      <c r="W17" s="7">
        <f>Q17*1000</f>
        <v>1000000</v>
      </c>
      <c r="X17" s="1345">
        <f>T17*1000</f>
        <v>12.46789516993741</v>
      </c>
      <c r="Y17" s="1345">
        <f>U17*1000</f>
        <v>1246.789516993741</v>
      </c>
    </row>
    <row r="18" spans="1:25" x14ac:dyDescent="0.2">
      <c r="A18" s="213" t="str">
        <f t="shared" ref="A18:B18" si="13">A298</f>
        <v>SMU</v>
      </c>
      <c r="B18" s="213" t="str">
        <f t="shared" si="13"/>
        <v>VSL100039</v>
      </c>
      <c r="C18" s="219">
        <f t="shared" si="0"/>
        <v>39977.9</v>
      </c>
      <c r="D18" s="219">
        <f t="shared" si="1"/>
        <v>21.7</v>
      </c>
      <c r="E18" s="219">
        <f t="shared" si="2"/>
        <v>39970</v>
      </c>
      <c r="F18" s="219">
        <f t="shared" si="3"/>
        <v>60</v>
      </c>
      <c r="G18" s="219">
        <f t="shared" si="4"/>
        <v>-10</v>
      </c>
      <c r="H18" s="219">
        <f t="shared" si="5"/>
        <v>130</v>
      </c>
      <c r="I18" s="155">
        <f t="shared" si="6"/>
        <v>0</v>
      </c>
      <c r="J18" s="155">
        <f t="shared" si="7"/>
        <v>0</v>
      </c>
      <c r="K18" s="155">
        <f t="shared" si="8"/>
        <v>120</v>
      </c>
      <c r="L18" s="155">
        <f t="shared" si="9"/>
        <v>10</v>
      </c>
      <c r="M18" s="156">
        <f t="shared" si="10"/>
        <v>0.30016584162749921</v>
      </c>
      <c r="N18" s="157">
        <f t="shared" si="11"/>
        <v>3.0016584162749924E-2</v>
      </c>
      <c r="O18" s="155">
        <f t="shared" si="12"/>
        <v>100</v>
      </c>
      <c r="P18" s="250">
        <v>1</v>
      </c>
      <c r="Q18" s="250">
        <v>1000</v>
      </c>
      <c r="R18" s="148">
        <f t="shared" ref="R18:R32" si="14">IF( IF(P18&lt;L18, M18*L18/P18, M18)&gt;100, "ERROR",  IF(P18&lt;L18, M18*L18/P18, M18))</f>
        <v>3.0016584162749922</v>
      </c>
      <c r="S18" s="148">
        <f t="shared" ref="S18:S32" si="15">IF(IF(Q18&lt;L18, M18*L18/Q18, M18)&gt;100, "ERROR", IF(Q18&lt;L18, M18*L18/Q18, M18))</f>
        <v>0.30016584162749921</v>
      </c>
      <c r="T18" s="148">
        <f t="shared" ref="T18:U32" si="16">R18*P18*0.01</f>
        <v>3.0016584162749924E-2</v>
      </c>
      <c r="U18" s="148">
        <f t="shared" si="16"/>
        <v>3.0016584162749922</v>
      </c>
      <c r="V18" s="7">
        <f t="shared" ref="V18:W32" si="17">P18*1000</f>
        <v>1000</v>
      </c>
      <c r="W18" s="7">
        <f t="shared" si="17"/>
        <v>1000000</v>
      </c>
      <c r="X18" s="1345">
        <f t="shared" ref="X18:Y32" si="18">T18*1000</f>
        <v>30.016584162749922</v>
      </c>
      <c r="Y18" s="1345">
        <f t="shared" si="18"/>
        <v>3001.6584162749923</v>
      </c>
    </row>
    <row r="19" spans="1:25" x14ac:dyDescent="0.2">
      <c r="A19" s="213" t="str">
        <f t="shared" ref="A19:B19" si="19">A299</f>
        <v>CMI</v>
      </c>
      <c r="B19" s="213" t="str">
        <f t="shared" si="19"/>
        <v>VSL100059</v>
      </c>
      <c r="C19" s="219">
        <f t="shared" si="0"/>
        <v>39897.300000000003</v>
      </c>
      <c r="D19" s="219">
        <f t="shared" si="1"/>
        <v>21.7</v>
      </c>
      <c r="E19" s="219">
        <f t="shared" si="2"/>
        <v>40340</v>
      </c>
      <c r="F19" s="219">
        <f t="shared" si="3"/>
        <v>375</v>
      </c>
      <c r="G19" s="219">
        <f t="shared" si="4"/>
        <v>440</v>
      </c>
      <c r="H19" s="219">
        <f t="shared" si="5"/>
        <v>750</v>
      </c>
      <c r="I19" s="155">
        <f t="shared" si="6"/>
        <v>0</v>
      </c>
      <c r="J19" s="155">
        <f t="shared" si="7"/>
        <v>0</v>
      </c>
      <c r="K19" s="155">
        <f t="shared" si="8"/>
        <v>750</v>
      </c>
      <c r="L19" s="155">
        <f t="shared" si="9"/>
        <v>10</v>
      </c>
      <c r="M19" s="156">
        <f t="shared" si="10"/>
        <v>1.8798264544217278</v>
      </c>
      <c r="N19" s="157">
        <f t="shared" si="11"/>
        <v>0.1879826454421728</v>
      </c>
      <c r="O19" s="155">
        <f t="shared" si="12"/>
        <v>100</v>
      </c>
      <c r="P19" s="250">
        <v>1</v>
      </c>
      <c r="Q19" s="250">
        <v>1000</v>
      </c>
      <c r="R19" s="148">
        <f t="shared" si="14"/>
        <v>18.798264544217279</v>
      </c>
      <c r="S19" s="148">
        <f t="shared" si="15"/>
        <v>1.8798264544217278</v>
      </c>
      <c r="T19" s="148">
        <f t="shared" si="16"/>
        <v>0.1879826454421728</v>
      </c>
      <c r="U19" s="148">
        <f t="shared" si="16"/>
        <v>18.798264544217279</v>
      </c>
      <c r="V19" s="7">
        <f t="shared" si="17"/>
        <v>1000</v>
      </c>
      <c r="W19" s="7">
        <f t="shared" si="17"/>
        <v>1000000</v>
      </c>
      <c r="X19" s="1345">
        <f t="shared" si="18"/>
        <v>187.98264544217281</v>
      </c>
      <c r="Y19" s="1345">
        <f t="shared" si="18"/>
        <v>18798.26454421728</v>
      </c>
    </row>
    <row r="20" spans="1:25" x14ac:dyDescent="0.2">
      <c r="A20" s="213" t="str">
        <f t="shared" ref="A20:B20" si="20">A300</f>
        <v>VNIIM</v>
      </c>
      <c r="B20" s="213" t="str">
        <f t="shared" si="20"/>
        <v>VSL126708</v>
      </c>
      <c r="C20" s="219">
        <f t="shared" si="0"/>
        <v>40156.400000000001</v>
      </c>
      <c r="D20" s="219">
        <f t="shared" si="1"/>
        <v>21.6</v>
      </c>
      <c r="E20" s="219">
        <f t="shared" si="2"/>
        <v>40080</v>
      </c>
      <c r="F20" s="219">
        <f t="shared" si="3"/>
        <v>30</v>
      </c>
      <c r="G20" s="219">
        <f t="shared" si="4"/>
        <v>-80</v>
      </c>
      <c r="H20" s="219">
        <f t="shared" si="5"/>
        <v>70</v>
      </c>
      <c r="I20" s="155">
        <f t="shared" si="6"/>
        <v>1</v>
      </c>
      <c r="J20" s="155">
        <f t="shared" si="7"/>
        <v>76.400000000001455</v>
      </c>
      <c r="K20" s="155">
        <f t="shared" si="8"/>
        <v>164.15797269703623</v>
      </c>
      <c r="L20" s="155">
        <f t="shared" si="9"/>
        <v>10</v>
      </c>
      <c r="M20" s="156">
        <f t="shared" si="10"/>
        <v>0.40879653728181869</v>
      </c>
      <c r="N20" s="157">
        <f t="shared" si="11"/>
        <v>4.0879653728181864E-2</v>
      </c>
      <c r="O20" s="155">
        <f t="shared" si="12"/>
        <v>100</v>
      </c>
      <c r="P20" s="250">
        <v>1</v>
      </c>
      <c r="Q20" s="250">
        <v>1000</v>
      </c>
      <c r="R20" s="148">
        <f t="shared" si="14"/>
        <v>4.0879653728181866</v>
      </c>
      <c r="S20" s="148">
        <f t="shared" si="15"/>
        <v>0.40879653728181869</v>
      </c>
      <c r="T20" s="148">
        <f t="shared" si="16"/>
        <v>4.0879653728181864E-2</v>
      </c>
      <c r="U20" s="148">
        <f t="shared" si="16"/>
        <v>4.0879653728181875</v>
      </c>
      <c r="V20" s="7">
        <f t="shared" si="17"/>
        <v>1000</v>
      </c>
      <c r="W20" s="7">
        <f t="shared" si="17"/>
        <v>1000000</v>
      </c>
      <c r="X20" s="1345">
        <f t="shared" si="18"/>
        <v>40.879653728181864</v>
      </c>
      <c r="Y20" s="1345">
        <f t="shared" si="18"/>
        <v>4087.9653728181875</v>
      </c>
    </row>
    <row r="21" spans="1:25" x14ac:dyDescent="0.2">
      <c r="A21" s="213" t="str">
        <f t="shared" ref="A21:B21" si="21">A301</f>
        <v>OMH</v>
      </c>
      <c r="B21" s="213" t="str">
        <f t="shared" si="21"/>
        <v>VSL100051</v>
      </c>
      <c r="C21" s="219">
        <f t="shared" si="0"/>
        <v>40016.400000000001</v>
      </c>
      <c r="D21" s="219">
        <f t="shared" si="1"/>
        <v>21.7</v>
      </c>
      <c r="E21" s="219">
        <f t="shared" si="2"/>
        <v>39979</v>
      </c>
      <c r="F21" s="219">
        <f t="shared" si="3"/>
        <v>32.921810699588477</v>
      </c>
      <c r="G21" s="219">
        <f t="shared" si="4"/>
        <v>-40</v>
      </c>
      <c r="H21" s="219">
        <f t="shared" si="5"/>
        <v>80</v>
      </c>
      <c r="I21" s="155">
        <f t="shared" si="6"/>
        <v>0</v>
      </c>
      <c r="J21" s="155">
        <f t="shared" si="7"/>
        <v>0</v>
      </c>
      <c r="K21" s="155">
        <f t="shared" si="8"/>
        <v>65.843621399176953</v>
      </c>
      <c r="L21" s="155">
        <f t="shared" si="9"/>
        <v>10</v>
      </c>
      <c r="M21" s="156">
        <f t="shared" si="10"/>
        <v>0.16454159144544975</v>
      </c>
      <c r="N21" s="157">
        <f t="shared" si="11"/>
        <v>1.6454159144544976E-2</v>
      </c>
      <c r="O21" s="155">
        <f t="shared" si="12"/>
        <v>100</v>
      </c>
      <c r="P21" s="250">
        <v>1</v>
      </c>
      <c r="Q21" s="250">
        <v>1000</v>
      </c>
      <c r="R21" s="148">
        <f t="shared" si="14"/>
        <v>1.6454159144544975</v>
      </c>
      <c r="S21" s="148">
        <f t="shared" si="15"/>
        <v>0.16454159144544975</v>
      </c>
      <c r="T21" s="148">
        <f t="shared" si="16"/>
        <v>1.6454159144544976E-2</v>
      </c>
      <c r="U21" s="148">
        <f t="shared" si="16"/>
        <v>1.6454159144544975</v>
      </c>
      <c r="V21" s="7">
        <f t="shared" si="17"/>
        <v>1000</v>
      </c>
      <c r="W21" s="7">
        <f t="shared" si="17"/>
        <v>1000000</v>
      </c>
      <c r="X21" s="1345">
        <f t="shared" si="18"/>
        <v>16.454159144544978</v>
      </c>
      <c r="Y21" s="1345">
        <f t="shared" si="18"/>
        <v>1645.4159144544976</v>
      </c>
    </row>
    <row r="22" spans="1:25" x14ac:dyDescent="0.2">
      <c r="A22" s="213" t="str">
        <f t="shared" ref="A22:B22" si="22">A302</f>
        <v>LNE</v>
      </c>
      <c r="B22" s="213" t="str">
        <f t="shared" si="22"/>
        <v>VSL124466</v>
      </c>
      <c r="C22" s="219">
        <f t="shared" si="0"/>
        <v>39707.5</v>
      </c>
      <c r="D22" s="219">
        <f t="shared" si="1"/>
        <v>21.7</v>
      </c>
      <c r="E22" s="219">
        <f t="shared" si="2"/>
        <v>39730</v>
      </c>
      <c r="F22" s="219">
        <f t="shared" si="3"/>
        <v>145</v>
      </c>
      <c r="G22" s="219">
        <f t="shared" si="4"/>
        <v>20</v>
      </c>
      <c r="H22" s="219">
        <f t="shared" si="5"/>
        <v>290</v>
      </c>
      <c r="I22" s="155">
        <f t="shared" si="6"/>
        <v>0</v>
      </c>
      <c r="J22" s="155">
        <f t="shared" si="7"/>
        <v>0</v>
      </c>
      <c r="K22" s="155">
        <f t="shared" si="8"/>
        <v>290</v>
      </c>
      <c r="L22" s="155">
        <f t="shared" si="9"/>
        <v>10</v>
      </c>
      <c r="M22" s="156">
        <f t="shared" si="10"/>
        <v>0.73034061575269149</v>
      </c>
      <c r="N22" s="157">
        <f t="shared" si="11"/>
        <v>7.3034061575269149E-2</v>
      </c>
      <c r="O22" s="155">
        <f t="shared" si="12"/>
        <v>100</v>
      </c>
      <c r="P22" s="250">
        <v>1</v>
      </c>
      <c r="Q22" s="250">
        <v>1000</v>
      </c>
      <c r="R22" s="148">
        <f t="shared" si="14"/>
        <v>7.3034061575269149</v>
      </c>
      <c r="S22" s="148">
        <f t="shared" si="15"/>
        <v>0.73034061575269149</v>
      </c>
      <c r="T22" s="148">
        <f t="shared" si="16"/>
        <v>7.3034061575269149E-2</v>
      </c>
      <c r="U22" s="148">
        <f t="shared" si="16"/>
        <v>7.3034061575269149</v>
      </c>
      <c r="V22" s="7">
        <f t="shared" si="17"/>
        <v>1000</v>
      </c>
      <c r="W22" s="7">
        <f t="shared" si="17"/>
        <v>1000000</v>
      </c>
      <c r="X22" s="1345">
        <f t="shared" si="18"/>
        <v>73.034061575269149</v>
      </c>
      <c r="Y22" s="1345">
        <f t="shared" si="18"/>
        <v>7303.4061575269152</v>
      </c>
    </row>
    <row r="23" spans="1:25" x14ac:dyDescent="0.2">
      <c r="A23" s="213" t="str">
        <f t="shared" ref="A23:B23" si="23">A303</f>
        <v>NMi VSL</v>
      </c>
      <c r="B23" s="213" t="str">
        <f t="shared" si="23"/>
        <v>VSL226686</v>
      </c>
      <c r="C23" s="219">
        <f t="shared" si="0"/>
        <v>40557.199999999997</v>
      </c>
      <c r="D23" s="219">
        <f t="shared" si="1"/>
        <v>21.900000000000002</v>
      </c>
      <c r="E23" s="219">
        <f t="shared" si="2"/>
        <v>40530</v>
      </c>
      <c r="F23" s="219">
        <f t="shared" si="3"/>
        <v>35</v>
      </c>
      <c r="G23" s="219">
        <f t="shared" si="4"/>
        <v>-30</v>
      </c>
      <c r="H23" s="219">
        <f t="shared" si="5"/>
        <v>80</v>
      </c>
      <c r="I23" s="155">
        <f t="shared" si="6"/>
        <v>0</v>
      </c>
      <c r="J23" s="155">
        <f t="shared" si="7"/>
        <v>0</v>
      </c>
      <c r="K23" s="155">
        <f t="shared" si="8"/>
        <v>70</v>
      </c>
      <c r="L23" s="155">
        <f t="shared" si="9"/>
        <v>10</v>
      </c>
      <c r="M23" s="156">
        <f t="shared" si="10"/>
        <v>0.17259574132336553</v>
      </c>
      <c r="N23" s="157">
        <f t="shared" si="11"/>
        <v>1.7259574132336551E-2</v>
      </c>
      <c r="O23" s="155">
        <f t="shared" si="12"/>
        <v>100</v>
      </c>
      <c r="P23" s="250">
        <v>1</v>
      </c>
      <c r="Q23" s="250">
        <v>1000</v>
      </c>
      <c r="R23" s="148">
        <f t="shared" si="14"/>
        <v>1.7259574132336553</v>
      </c>
      <c r="S23" s="148">
        <f t="shared" si="15"/>
        <v>0.17259574132336553</v>
      </c>
      <c r="T23" s="148">
        <f t="shared" si="16"/>
        <v>1.7259574132336555E-2</v>
      </c>
      <c r="U23" s="148">
        <f t="shared" si="16"/>
        <v>1.7259574132336553</v>
      </c>
      <c r="V23" s="7">
        <f t="shared" si="17"/>
        <v>1000</v>
      </c>
      <c r="W23" s="7">
        <f t="shared" si="17"/>
        <v>1000000</v>
      </c>
      <c r="X23" s="1345">
        <f t="shared" si="18"/>
        <v>17.259574132336553</v>
      </c>
      <c r="Y23" s="1345">
        <f t="shared" si="18"/>
        <v>1725.9574132336552</v>
      </c>
    </row>
    <row r="24" spans="1:25" x14ac:dyDescent="0.2">
      <c r="A24" s="213" t="str">
        <f t="shared" ref="A24:B24" si="24">A304</f>
        <v>CENAM</v>
      </c>
      <c r="B24" s="213" t="str">
        <f t="shared" si="24"/>
        <v>VSL126717</v>
      </c>
      <c r="C24" s="219">
        <f t="shared" si="0"/>
        <v>40240.400000000001</v>
      </c>
      <c r="D24" s="219">
        <f t="shared" si="1"/>
        <v>21.7</v>
      </c>
      <c r="E24" s="219">
        <f t="shared" si="2"/>
        <v>40300</v>
      </c>
      <c r="F24" s="219">
        <f t="shared" si="3"/>
        <v>230</v>
      </c>
      <c r="G24" s="219">
        <f t="shared" si="4"/>
        <v>60</v>
      </c>
      <c r="H24" s="219">
        <f t="shared" si="5"/>
        <v>460</v>
      </c>
      <c r="I24" s="155">
        <f t="shared" si="6"/>
        <v>0</v>
      </c>
      <c r="J24" s="155">
        <f t="shared" si="7"/>
        <v>0</v>
      </c>
      <c r="K24" s="155">
        <f t="shared" si="8"/>
        <v>460</v>
      </c>
      <c r="L24" s="155">
        <f t="shared" si="9"/>
        <v>10</v>
      </c>
      <c r="M24" s="156">
        <f t="shared" si="10"/>
        <v>1.1431297899623263</v>
      </c>
      <c r="N24" s="157">
        <f t="shared" si="11"/>
        <v>0.11431297899623263</v>
      </c>
      <c r="O24" s="155">
        <f t="shared" si="12"/>
        <v>100</v>
      </c>
      <c r="P24" s="250">
        <v>1</v>
      </c>
      <c r="Q24" s="250">
        <v>1000</v>
      </c>
      <c r="R24" s="148">
        <f t="shared" si="14"/>
        <v>11.431297899623264</v>
      </c>
      <c r="S24" s="148">
        <f t="shared" si="15"/>
        <v>1.1431297899623263</v>
      </c>
      <c r="T24" s="148">
        <f t="shared" si="16"/>
        <v>0.11431297899623263</v>
      </c>
      <c r="U24" s="148">
        <f t="shared" si="16"/>
        <v>11.431297899623262</v>
      </c>
      <c r="V24" s="7">
        <f t="shared" si="17"/>
        <v>1000</v>
      </c>
      <c r="W24" s="7">
        <f t="shared" si="17"/>
        <v>1000000</v>
      </c>
      <c r="X24" s="1345">
        <f t="shared" si="18"/>
        <v>114.31297899623263</v>
      </c>
      <c r="Y24" s="1345">
        <f t="shared" si="18"/>
        <v>11431.297899623261</v>
      </c>
    </row>
    <row r="25" spans="1:25" x14ac:dyDescent="0.2">
      <c r="A25" s="213" t="str">
        <f t="shared" ref="A25:B25" si="25">A305</f>
        <v>CEM</v>
      </c>
      <c r="B25" s="213" t="str">
        <f t="shared" si="25"/>
        <v>VSL100066</v>
      </c>
      <c r="C25" s="219">
        <f t="shared" si="0"/>
        <v>40351.199999999997</v>
      </c>
      <c r="D25" s="219">
        <f t="shared" si="1"/>
        <v>21.7</v>
      </c>
      <c r="E25" s="219">
        <f t="shared" si="2"/>
        <v>40313</v>
      </c>
      <c r="F25" s="219">
        <f t="shared" si="3"/>
        <v>254.99999999999997</v>
      </c>
      <c r="G25" s="219">
        <f t="shared" si="4"/>
        <v>-40</v>
      </c>
      <c r="H25" s="219">
        <f t="shared" si="5"/>
        <v>509.99999999999994</v>
      </c>
      <c r="I25" s="155">
        <f t="shared" si="6"/>
        <v>0</v>
      </c>
      <c r="J25" s="155">
        <f t="shared" si="7"/>
        <v>0</v>
      </c>
      <c r="K25" s="155">
        <f t="shared" si="8"/>
        <v>509.99999999999994</v>
      </c>
      <c r="L25" s="155">
        <f t="shared" si="9"/>
        <v>10</v>
      </c>
      <c r="M25" s="156">
        <f t="shared" si="10"/>
        <v>1.2639029322548028</v>
      </c>
      <c r="N25" s="157">
        <f t="shared" si="11"/>
        <v>0.12639029322548029</v>
      </c>
      <c r="O25" s="155">
        <f t="shared" si="12"/>
        <v>100</v>
      </c>
      <c r="P25" s="250">
        <v>1</v>
      </c>
      <c r="Q25" s="250">
        <v>1000</v>
      </c>
      <c r="R25" s="148">
        <f t="shared" si="14"/>
        <v>12.639029322548028</v>
      </c>
      <c r="S25" s="148">
        <f t="shared" si="15"/>
        <v>1.2639029322548028</v>
      </c>
      <c r="T25" s="148">
        <f t="shared" si="16"/>
        <v>0.12639029322548029</v>
      </c>
      <c r="U25" s="148">
        <f t="shared" si="16"/>
        <v>12.639029322548028</v>
      </c>
      <c r="V25" s="7">
        <f t="shared" si="17"/>
        <v>1000</v>
      </c>
      <c r="W25" s="7">
        <f t="shared" si="17"/>
        <v>1000000</v>
      </c>
      <c r="X25" s="1345">
        <f t="shared" si="18"/>
        <v>126.39029322548029</v>
      </c>
      <c r="Y25" s="1345">
        <f t="shared" si="18"/>
        <v>12639.029322548027</v>
      </c>
    </row>
    <row r="26" spans="1:25" x14ac:dyDescent="0.2">
      <c r="A26" s="213" t="str">
        <f t="shared" ref="A26:B26" si="26">A306</f>
        <v>BAM</v>
      </c>
      <c r="B26" s="213" t="str">
        <f t="shared" si="26"/>
        <v>VSL100042</v>
      </c>
      <c r="C26" s="219">
        <f t="shared" si="0"/>
        <v>40217.799999999996</v>
      </c>
      <c r="D26" s="219">
        <f t="shared" si="1"/>
        <v>21.7</v>
      </c>
      <c r="E26" s="219">
        <f t="shared" si="2"/>
        <v>40221</v>
      </c>
      <c r="F26" s="219">
        <f t="shared" si="3"/>
        <v>60</v>
      </c>
      <c r="G26" s="219">
        <f t="shared" si="4"/>
        <v>0</v>
      </c>
      <c r="H26" s="219">
        <f t="shared" si="5"/>
        <v>130</v>
      </c>
      <c r="I26" s="155">
        <f t="shared" si="6"/>
        <v>0</v>
      </c>
      <c r="J26" s="155">
        <f t="shared" si="7"/>
        <v>0</v>
      </c>
      <c r="K26" s="155">
        <f t="shared" si="8"/>
        <v>120</v>
      </c>
      <c r="L26" s="155">
        <f t="shared" si="9"/>
        <v>10</v>
      </c>
      <c r="M26" s="156">
        <f t="shared" si="10"/>
        <v>0.29837534623972473</v>
      </c>
      <c r="N26" s="157">
        <f t="shared" si="11"/>
        <v>2.9837534623972473E-2</v>
      </c>
      <c r="O26" s="155">
        <f t="shared" si="12"/>
        <v>100</v>
      </c>
      <c r="P26" s="250">
        <v>1</v>
      </c>
      <c r="Q26" s="250">
        <v>1000</v>
      </c>
      <c r="R26" s="148">
        <f t="shared" si="14"/>
        <v>2.9837534623972473</v>
      </c>
      <c r="S26" s="148">
        <f t="shared" si="15"/>
        <v>0.29837534623972473</v>
      </c>
      <c r="T26" s="148">
        <f t="shared" si="16"/>
        <v>2.9837534623972473E-2</v>
      </c>
      <c r="U26" s="148">
        <f t="shared" si="16"/>
        <v>2.9837534623972473</v>
      </c>
      <c r="V26" s="7">
        <f t="shared" si="17"/>
        <v>1000</v>
      </c>
      <c r="W26" s="7">
        <f t="shared" si="17"/>
        <v>1000000</v>
      </c>
      <c r="X26" s="1345">
        <f t="shared" si="18"/>
        <v>29.837534623972473</v>
      </c>
      <c r="Y26" s="1345">
        <f t="shared" si="18"/>
        <v>2983.7534623972474</v>
      </c>
    </row>
    <row r="27" spans="1:25" x14ac:dyDescent="0.2">
      <c r="A27" s="213" t="str">
        <f t="shared" ref="A27:B27" si="27">A307</f>
        <v>NMIA</v>
      </c>
      <c r="B27" s="213" t="str">
        <f t="shared" si="27"/>
        <v>VSL126712</v>
      </c>
      <c r="C27" s="219">
        <f t="shared" si="0"/>
        <v>40158.5</v>
      </c>
      <c r="D27" s="219">
        <f t="shared" si="1"/>
        <v>21.7</v>
      </c>
      <c r="E27" s="219">
        <f t="shared" si="2"/>
        <v>40130</v>
      </c>
      <c r="F27" s="219">
        <f t="shared" si="3"/>
        <v>22.935779816513758</v>
      </c>
      <c r="G27" s="219">
        <f t="shared" si="4"/>
        <v>-30</v>
      </c>
      <c r="H27" s="219">
        <f t="shared" si="5"/>
        <v>60</v>
      </c>
      <c r="I27" s="155">
        <f t="shared" si="6"/>
        <v>0</v>
      </c>
      <c r="J27" s="155">
        <f t="shared" si="7"/>
        <v>0</v>
      </c>
      <c r="K27" s="155">
        <f t="shared" si="8"/>
        <v>45.871559633027516</v>
      </c>
      <c r="L27" s="155">
        <f t="shared" si="9"/>
        <v>10</v>
      </c>
      <c r="M27" s="156">
        <f t="shared" si="10"/>
        <v>0.1142262774581409</v>
      </c>
      <c r="N27" s="157">
        <f t="shared" si="11"/>
        <v>1.1422627745814089E-2</v>
      </c>
      <c r="O27" s="155">
        <f t="shared" si="12"/>
        <v>100</v>
      </c>
      <c r="P27" s="250">
        <v>1</v>
      </c>
      <c r="Q27" s="250">
        <v>1000</v>
      </c>
      <c r="R27" s="148">
        <f t="shared" si="14"/>
        <v>1.1422627745814089</v>
      </c>
      <c r="S27" s="148">
        <f t="shared" si="15"/>
        <v>0.1142262774581409</v>
      </c>
      <c r="T27" s="148">
        <f t="shared" si="16"/>
        <v>1.1422627745814089E-2</v>
      </c>
      <c r="U27" s="148">
        <f t="shared" si="16"/>
        <v>1.1422627745814091</v>
      </c>
      <c r="V27" s="7">
        <f t="shared" si="17"/>
        <v>1000</v>
      </c>
      <c r="W27" s="7">
        <f t="shared" si="17"/>
        <v>1000000</v>
      </c>
      <c r="X27" s="1345">
        <f t="shared" si="18"/>
        <v>11.422627745814088</v>
      </c>
      <c r="Y27" s="1345">
        <f t="shared" si="18"/>
        <v>1142.2627745814091</v>
      </c>
    </row>
    <row r="28" spans="1:25" x14ac:dyDescent="0.2">
      <c r="A28" s="213" t="str">
        <f t="shared" ref="A28:B28" si="28">A308</f>
        <v>IPQ</v>
      </c>
      <c r="B28" s="213" t="str">
        <f t="shared" si="28"/>
        <v>VSL100038</v>
      </c>
      <c r="C28" s="219">
        <f t="shared" si="0"/>
        <v>39952.5</v>
      </c>
      <c r="D28" s="219">
        <f t="shared" si="1"/>
        <v>21.7</v>
      </c>
      <c r="E28" s="219">
        <f t="shared" si="2"/>
        <v>39960</v>
      </c>
      <c r="F28" s="219">
        <f t="shared" si="3"/>
        <v>85</v>
      </c>
      <c r="G28" s="219">
        <f t="shared" si="4"/>
        <v>10</v>
      </c>
      <c r="H28" s="219">
        <f t="shared" si="5"/>
        <v>180</v>
      </c>
      <c r="I28" s="155">
        <f t="shared" si="6"/>
        <v>0</v>
      </c>
      <c r="J28" s="155">
        <f t="shared" si="7"/>
        <v>0</v>
      </c>
      <c r="K28" s="155">
        <f t="shared" si="8"/>
        <v>170</v>
      </c>
      <c r="L28" s="155">
        <f t="shared" si="9"/>
        <v>10</v>
      </c>
      <c r="M28" s="156">
        <f t="shared" si="10"/>
        <v>0.42550528752894068</v>
      </c>
      <c r="N28" s="157">
        <f t="shared" si="11"/>
        <v>4.2550528752894064E-2</v>
      </c>
      <c r="O28" s="155">
        <f t="shared" si="12"/>
        <v>100</v>
      </c>
      <c r="P28" s="250">
        <v>1</v>
      </c>
      <c r="Q28" s="250">
        <v>1000</v>
      </c>
      <c r="R28" s="148">
        <f t="shared" si="14"/>
        <v>4.2550528752894063</v>
      </c>
      <c r="S28" s="148">
        <f t="shared" si="15"/>
        <v>0.42550528752894068</v>
      </c>
      <c r="T28" s="148">
        <f t="shared" si="16"/>
        <v>4.2550528752894064E-2</v>
      </c>
      <c r="U28" s="148">
        <f t="shared" si="16"/>
        <v>4.2550528752894072</v>
      </c>
      <c r="V28" s="7">
        <f t="shared" si="17"/>
        <v>1000</v>
      </c>
      <c r="W28" s="7">
        <f t="shared" si="17"/>
        <v>1000000</v>
      </c>
      <c r="X28" s="1345">
        <f t="shared" si="18"/>
        <v>42.550528752894067</v>
      </c>
      <c r="Y28" s="1345">
        <f t="shared" si="18"/>
        <v>4255.052875289407</v>
      </c>
    </row>
    <row r="29" spans="1:25" x14ac:dyDescent="0.2">
      <c r="A29" s="213" t="str">
        <f t="shared" ref="A29:B29" si="29">A309</f>
        <v>INMETRO</v>
      </c>
      <c r="B29" s="213" t="str">
        <f t="shared" si="29"/>
        <v>VSL100041</v>
      </c>
      <c r="C29" s="219">
        <f t="shared" si="0"/>
        <v>40252.699999999997</v>
      </c>
      <c r="D29" s="219">
        <f t="shared" si="1"/>
        <v>21.7</v>
      </c>
      <c r="E29" s="219">
        <f t="shared" si="2"/>
        <v>40650.000000000007</v>
      </c>
      <c r="F29" s="219">
        <f t="shared" si="3"/>
        <v>235</v>
      </c>
      <c r="G29" s="219">
        <f t="shared" si="4"/>
        <v>400</v>
      </c>
      <c r="H29" s="219">
        <f t="shared" si="5"/>
        <v>470</v>
      </c>
      <c r="I29" s="155">
        <f t="shared" si="6"/>
        <v>0</v>
      </c>
      <c r="J29" s="155">
        <f t="shared" si="7"/>
        <v>0</v>
      </c>
      <c r="K29" s="155">
        <f t="shared" si="8"/>
        <v>470</v>
      </c>
      <c r="L29" s="155">
        <f t="shared" si="9"/>
        <v>10</v>
      </c>
      <c r="M29" s="156">
        <f t="shared" si="10"/>
        <v>1.1676235382968101</v>
      </c>
      <c r="N29" s="157">
        <f t="shared" si="11"/>
        <v>0.11676235382968102</v>
      </c>
      <c r="O29" s="155">
        <f t="shared" si="12"/>
        <v>100</v>
      </c>
      <c r="P29" s="250">
        <v>1</v>
      </c>
      <c r="Q29" s="250">
        <v>1000</v>
      </c>
      <c r="R29" s="148">
        <f t="shared" si="14"/>
        <v>11.676235382968102</v>
      </c>
      <c r="S29" s="148">
        <f t="shared" si="15"/>
        <v>1.1676235382968101</v>
      </c>
      <c r="T29" s="148">
        <f t="shared" si="16"/>
        <v>0.11676235382968102</v>
      </c>
      <c r="U29" s="148">
        <f t="shared" si="16"/>
        <v>11.6762353829681</v>
      </c>
      <c r="V29" s="7">
        <f t="shared" si="17"/>
        <v>1000</v>
      </c>
      <c r="W29" s="7">
        <f t="shared" si="17"/>
        <v>1000000</v>
      </c>
      <c r="X29" s="1345">
        <f t="shared" si="18"/>
        <v>116.76235382968102</v>
      </c>
      <c r="Y29" s="1345">
        <f t="shared" si="18"/>
        <v>11676.2353829681</v>
      </c>
    </row>
    <row r="30" spans="1:25" x14ac:dyDescent="0.2">
      <c r="A30" s="213" t="str">
        <f t="shared" ref="A30:B30" si="30">A310</f>
        <v>GUM</v>
      </c>
      <c r="B30" s="213" t="str">
        <f t="shared" si="30"/>
        <v>VSL100044</v>
      </c>
      <c r="C30" s="219">
        <f t="shared" si="0"/>
        <v>39988.800000000003</v>
      </c>
      <c r="D30" s="219">
        <f t="shared" si="1"/>
        <v>21.7</v>
      </c>
      <c r="E30" s="219">
        <f t="shared" si="2"/>
        <v>39910</v>
      </c>
      <c r="F30" s="219">
        <f t="shared" si="3"/>
        <v>200</v>
      </c>
      <c r="G30" s="219">
        <f t="shared" si="4"/>
        <v>-80</v>
      </c>
      <c r="H30" s="219">
        <f t="shared" si="5"/>
        <v>400</v>
      </c>
      <c r="I30" s="155">
        <f t="shared" si="6"/>
        <v>0</v>
      </c>
      <c r="J30" s="155">
        <f t="shared" si="7"/>
        <v>0</v>
      </c>
      <c r="K30" s="155">
        <f t="shared" si="8"/>
        <v>400</v>
      </c>
      <c r="L30" s="155">
        <f t="shared" si="9"/>
        <v>10</v>
      </c>
      <c r="M30" s="156">
        <f t="shared" si="10"/>
        <v>1.0002800784219581</v>
      </c>
      <c r="N30" s="157">
        <f t="shared" si="11"/>
        <v>0.1000280078421958</v>
      </c>
      <c r="O30" s="155">
        <f t="shared" si="12"/>
        <v>100</v>
      </c>
      <c r="P30" s="250">
        <v>1</v>
      </c>
      <c r="Q30" s="250">
        <v>1000</v>
      </c>
      <c r="R30" s="148">
        <f t="shared" si="14"/>
        <v>10.002800784219581</v>
      </c>
      <c r="S30" s="148">
        <f t="shared" si="15"/>
        <v>1.0002800784219581</v>
      </c>
      <c r="T30" s="148">
        <f t="shared" si="16"/>
        <v>0.1000280078421958</v>
      </c>
      <c r="U30" s="148">
        <f t="shared" si="16"/>
        <v>10.002800784219582</v>
      </c>
      <c r="V30" s="7">
        <f t="shared" si="17"/>
        <v>1000</v>
      </c>
      <c r="W30" s="7">
        <f t="shared" si="17"/>
        <v>1000000</v>
      </c>
      <c r="X30" s="1345">
        <f t="shared" si="18"/>
        <v>100.02800784219581</v>
      </c>
      <c r="Y30" s="1345">
        <f t="shared" si="18"/>
        <v>10002.800784219582</v>
      </c>
    </row>
    <row r="31" spans="1:25" x14ac:dyDescent="0.2">
      <c r="A31" s="213" t="str">
        <f t="shared" ref="A31:B31" si="31">A311</f>
        <v>NRCCRM</v>
      </c>
      <c r="B31" s="213" t="str">
        <f t="shared" si="31"/>
        <v>VSL126730</v>
      </c>
      <c r="C31" s="219">
        <f t="shared" si="0"/>
        <v>40272</v>
      </c>
      <c r="D31" s="219">
        <f t="shared" si="1"/>
        <v>21.7</v>
      </c>
      <c r="E31" s="219">
        <f t="shared" si="2"/>
        <v>40270</v>
      </c>
      <c r="F31" s="219">
        <f t="shared" si="3"/>
        <v>300</v>
      </c>
      <c r="G31" s="219">
        <f t="shared" si="4"/>
        <v>0</v>
      </c>
      <c r="H31" s="219">
        <f t="shared" si="5"/>
        <v>610</v>
      </c>
      <c r="I31" s="155">
        <f t="shared" si="6"/>
        <v>0</v>
      </c>
      <c r="J31" s="155">
        <f t="shared" si="7"/>
        <v>0</v>
      </c>
      <c r="K31" s="155">
        <f t="shared" si="8"/>
        <v>600</v>
      </c>
      <c r="L31" s="155">
        <f t="shared" si="9"/>
        <v>10</v>
      </c>
      <c r="M31" s="156">
        <f t="shared" si="10"/>
        <v>1.4898688915375446</v>
      </c>
      <c r="N31" s="157">
        <f t="shared" si="11"/>
        <v>0.14898688915375446</v>
      </c>
      <c r="O31" s="155">
        <f t="shared" si="12"/>
        <v>100</v>
      </c>
      <c r="P31" s="250">
        <v>1</v>
      </c>
      <c r="Q31" s="250">
        <v>1000</v>
      </c>
      <c r="R31" s="148">
        <f t="shared" si="14"/>
        <v>14.898688915375446</v>
      </c>
      <c r="S31" s="148">
        <f t="shared" si="15"/>
        <v>1.4898688915375446</v>
      </c>
      <c r="T31" s="148">
        <f t="shared" si="16"/>
        <v>0.14898688915375446</v>
      </c>
      <c r="U31" s="148">
        <f t="shared" si="16"/>
        <v>14.898688915375446</v>
      </c>
      <c r="V31" s="7">
        <f t="shared" si="17"/>
        <v>1000</v>
      </c>
      <c r="W31" s="7">
        <f t="shared" si="17"/>
        <v>1000000</v>
      </c>
      <c r="X31" s="1345">
        <f t="shared" si="18"/>
        <v>148.98688915375448</v>
      </c>
      <c r="Y31" s="1345">
        <f t="shared" si="18"/>
        <v>14898.688915375447</v>
      </c>
    </row>
    <row r="32" spans="1:25" x14ac:dyDescent="0.2">
      <c r="A32" s="213" t="str">
        <f t="shared" ref="A32:B32" si="32">A312</f>
        <v>KRISS</v>
      </c>
      <c r="B32" s="213" t="str">
        <f t="shared" si="32"/>
        <v>VSL126709</v>
      </c>
      <c r="C32" s="219">
        <f t="shared" si="0"/>
        <v>39747.300000000003</v>
      </c>
      <c r="D32" s="219">
        <f t="shared" si="1"/>
        <v>21.8</v>
      </c>
      <c r="E32" s="219">
        <f t="shared" si="2"/>
        <v>39796</v>
      </c>
      <c r="F32" s="219">
        <f t="shared" si="3"/>
        <v>46.499999999999993</v>
      </c>
      <c r="G32" s="219">
        <f t="shared" si="4"/>
        <v>50</v>
      </c>
      <c r="H32" s="219">
        <f t="shared" si="5"/>
        <v>100</v>
      </c>
      <c r="I32" s="155">
        <f t="shared" si="6"/>
        <v>0</v>
      </c>
      <c r="J32" s="155">
        <f t="shared" si="7"/>
        <v>0</v>
      </c>
      <c r="K32" s="155">
        <f t="shared" si="8"/>
        <v>92.999999999999986</v>
      </c>
      <c r="L32" s="155">
        <f t="shared" si="9"/>
        <v>10</v>
      </c>
      <c r="M32" s="156">
        <f t="shared" si="10"/>
        <v>0.23397815700689101</v>
      </c>
      <c r="N32" s="157">
        <f t="shared" si="11"/>
        <v>2.3397815700689103E-2</v>
      </c>
      <c r="O32" s="155">
        <f t="shared" si="12"/>
        <v>100</v>
      </c>
      <c r="P32" s="250">
        <v>1</v>
      </c>
      <c r="Q32" s="250">
        <v>1000</v>
      </c>
      <c r="R32" s="148">
        <f t="shared" si="14"/>
        <v>2.3397815700689102</v>
      </c>
      <c r="S32" s="148">
        <f t="shared" si="15"/>
        <v>0.23397815700689101</v>
      </c>
      <c r="T32" s="148">
        <f t="shared" si="16"/>
        <v>2.3397815700689103E-2</v>
      </c>
      <c r="U32" s="148">
        <f t="shared" si="16"/>
        <v>2.3397815700689102</v>
      </c>
      <c r="V32" s="7">
        <f t="shared" si="17"/>
        <v>1000</v>
      </c>
      <c r="W32" s="7">
        <f t="shared" si="17"/>
        <v>1000000</v>
      </c>
      <c r="X32" s="1345">
        <f t="shared" si="18"/>
        <v>23.397815700689105</v>
      </c>
      <c r="Y32" s="1345">
        <f t="shared" si="18"/>
        <v>2339.7815700689102</v>
      </c>
    </row>
    <row r="33" spans="1:26" ht="14.25" x14ac:dyDescent="0.2">
      <c r="H33" s="9"/>
      <c r="U33" s="152"/>
      <c r="V33" s="21"/>
      <c r="W33" s="21"/>
      <c r="X33" s="21"/>
      <c r="Y33" s="21"/>
      <c r="Z33" s="21"/>
    </row>
    <row r="34" spans="1:26" ht="15.75" x14ac:dyDescent="0.2">
      <c r="A34" s="103" t="str">
        <f>A314</f>
        <v>Nitrogen, mixture  III</v>
      </c>
      <c r="B34" s="97"/>
      <c r="C34" s="97"/>
      <c r="D34" s="97"/>
      <c r="E34" s="97"/>
      <c r="F34" s="97"/>
      <c r="G34" s="97"/>
      <c r="H34" s="97"/>
      <c r="I34" s="113"/>
      <c r="J34" s="113"/>
      <c r="K34" s="113"/>
      <c r="L34" s="113"/>
      <c r="M34" s="113"/>
      <c r="N34" s="113"/>
      <c r="O34" s="113"/>
      <c r="R34" s="113"/>
      <c r="S34" s="113"/>
      <c r="T34" s="146"/>
      <c r="U34" s="146"/>
    </row>
    <row r="35" spans="1:26" ht="102" x14ac:dyDescent="0.2">
      <c r="A35" s="211" t="s">
        <v>0</v>
      </c>
      <c r="B35" s="212" t="s">
        <v>1</v>
      </c>
      <c r="C35" s="212" t="s">
        <v>133</v>
      </c>
      <c r="D35" s="212" t="s">
        <v>199</v>
      </c>
      <c r="E35" s="212" t="s">
        <v>135</v>
      </c>
      <c r="F35" s="212" t="s">
        <v>200</v>
      </c>
      <c r="G35" s="212" t="s">
        <v>137</v>
      </c>
      <c r="H35" s="212" t="s">
        <v>201</v>
      </c>
      <c r="I35" s="104" t="s">
        <v>8</v>
      </c>
      <c r="J35" s="104" t="s">
        <v>9</v>
      </c>
      <c r="K35" s="104" t="s">
        <v>107</v>
      </c>
      <c r="L35" s="104" t="s">
        <v>14</v>
      </c>
      <c r="M35" s="104" t="s">
        <v>1057</v>
      </c>
      <c r="N35" s="104" t="s">
        <v>1058</v>
      </c>
      <c r="O35" s="104" t="s">
        <v>100</v>
      </c>
      <c r="P35" s="6" t="s">
        <v>105</v>
      </c>
      <c r="Q35" s="6" t="s">
        <v>106</v>
      </c>
      <c r="R35" s="104" t="s">
        <v>1051</v>
      </c>
      <c r="S35" s="104" t="s">
        <v>1052</v>
      </c>
      <c r="T35" s="147" t="s">
        <v>1053</v>
      </c>
      <c r="U35" s="147" t="s">
        <v>1054</v>
      </c>
      <c r="V35" s="5" t="s">
        <v>101</v>
      </c>
      <c r="W35" s="5" t="s">
        <v>102</v>
      </c>
      <c r="X35" s="112" t="s">
        <v>1055</v>
      </c>
      <c r="Y35" s="112" t="s">
        <v>1056</v>
      </c>
    </row>
    <row r="36" spans="1:26" x14ac:dyDescent="0.2">
      <c r="A36" s="213" t="str">
        <f>A316</f>
        <v>NPL</v>
      </c>
      <c r="B36" s="213" t="str">
        <f>B316</f>
        <v>VSL206333</v>
      </c>
      <c r="C36" s="219">
        <f t="shared" ref="C36:C51" si="33">C316*10000</f>
        <v>135019.20000000001</v>
      </c>
      <c r="D36" s="219">
        <f t="shared" ref="D36:D51" si="34">F316*10000</f>
        <v>68.599999999999994</v>
      </c>
      <c r="E36" s="219">
        <f t="shared" ref="E36:E51" si="35">G316*10000</f>
        <v>135020</v>
      </c>
      <c r="F36" s="219">
        <f t="shared" ref="F36:F51" si="36">H316/I316*10000</f>
        <v>60</v>
      </c>
      <c r="G36" s="219">
        <f t="shared" ref="G36:G51" si="37">J316*10000</f>
        <v>0</v>
      </c>
      <c r="H36" s="219">
        <f t="shared" ref="H36:H51" si="38">L316*10000</f>
        <v>180</v>
      </c>
      <c r="I36" s="155">
        <f t="shared" ref="I36:I51" si="39">IF(ABS(G36)&gt;ABS(H36), 1, 0)</f>
        <v>0</v>
      </c>
      <c r="J36" s="155">
        <f t="shared" ref="J36:J51" si="40">I36*ABS(C36-E36)</f>
        <v>0</v>
      </c>
      <c r="K36" s="155">
        <f t="shared" ref="K36:K51" si="41">SQRT(SUMSQ(F36,J36))*2</f>
        <v>120</v>
      </c>
      <c r="L36" s="155">
        <f t="shared" ref="L36:L51" si="42">IF(C36&lt;$K$2, C36, $K$1)</f>
        <v>10</v>
      </c>
      <c r="M36" s="156">
        <f t="shared" ref="M36:M51" si="43">IF(AND(C36&lt;$K$1,C36&gt; $K$2), K36/L36*100, K36/C36*100)</f>
        <v>8.8876248711294376E-2</v>
      </c>
      <c r="N36" s="157">
        <f t="shared" ref="N36:N51" si="44">M36*L36/100</f>
        <v>8.8876248711294379E-3</v>
      </c>
      <c r="O36" s="155">
        <f t="shared" ref="O36:O51" si="45">N36/(M36*L36/100)*100</f>
        <v>100</v>
      </c>
      <c r="P36" s="250">
        <v>1</v>
      </c>
      <c r="Q36" s="250">
        <v>1000</v>
      </c>
      <c r="R36" s="148">
        <f>IF( IF(P36&lt;L36, M36*L36/P36, M36)&gt;100, "ERROR",  IF(P36&lt;L36, M36*L36/P36, M36))</f>
        <v>0.88876248711294381</v>
      </c>
      <c r="S36" s="148">
        <f>IF(IF(Q36&lt;L36, M36*L36/Q36, M36)&gt;100, "ERROR", IF(Q36&lt;L36, M36*L36/Q36, M36))</f>
        <v>8.8876248711294376E-2</v>
      </c>
      <c r="T36" s="148">
        <f>R36*P36*0.01</f>
        <v>8.8876248711294379E-3</v>
      </c>
      <c r="U36" s="148">
        <f>S36*Q36*0.01</f>
        <v>0.88876248711294381</v>
      </c>
      <c r="V36" s="7">
        <f>P36*1000</f>
        <v>1000</v>
      </c>
      <c r="W36" s="7">
        <f>Q36*1000</f>
        <v>1000000</v>
      </c>
      <c r="X36" s="1345">
        <f>T36*1000</f>
        <v>8.8876248711294377</v>
      </c>
      <c r="Y36" s="1345">
        <f>U36*1000</f>
        <v>888.76248711294386</v>
      </c>
    </row>
    <row r="37" spans="1:26" x14ac:dyDescent="0.2">
      <c r="A37" s="213" t="str">
        <f t="shared" ref="A37:B37" si="46">A317</f>
        <v>SMU</v>
      </c>
      <c r="B37" s="213" t="str">
        <f t="shared" si="46"/>
        <v>VSL202622</v>
      </c>
      <c r="C37" s="219">
        <f t="shared" si="33"/>
        <v>135049.5</v>
      </c>
      <c r="D37" s="219">
        <f t="shared" si="34"/>
        <v>23.3</v>
      </c>
      <c r="E37" s="219">
        <f t="shared" si="35"/>
        <v>135230</v>
      </c>
      <c r="F37" s="219">
        <f t="shared" si="36"/>
        <v>270</v>
      </c>
      <c r="G37" s="219">
        <f t="shared" si="37"/>
        <v>180</v>
      </c>
      <c r="H37" s="219">
        <f t="shared" si="38"/>
        <v>540</v>
      </c>
      <c r="I37" s="155">
        <f t="shared" si="39"/>
        <v>0</v>
      </c>
      <c r="J37" s="155">
        <f t="shared" si="40"/>
        <v>0</v>
      </c>
      <c r="K37" s="155">
        <f t="shared" si="41"/>
        <v>540</v>
      </c>
      <c r="L37" s="155">
        <f t="shared" si="42"/>
        <v>10</v>
      </c>
      <c r="M37" s="156">
        <f t="shared" si="43"/>
        <v>0.39985338709139984</v>
      </c>
      <c r="N37" s="157">
        <f t="shared" si="44"/>
        <v>3.9985338709139985E-2</v>
      </c>
      <c r="O37" s="155">
        <f t="shared" si="45"/>
        <v>100</v>
      </c>
      <c r="P37" s="250">
        <v>1</v>
      </c>
      <c r="Q37" s="250">
        <v>1000</v>
      </c>
      <c r="R37" s="148">
        <f t="shared" ref="R37:R51" si="47">IF( IF(P37&lt;L37, M37*L37/P37, M37)&gt;100, "ERROR",  IF(P37&lt;L37, M37*L37/P37, M37))</f>
        <v>3.9985338709139984</v>
      </c>
      <c r="S37" s="148">
        <f t="shared" ref="S37:S51" si="48">IF(IF(Q37&lt;L37, M37*L37/Q37, M37)&gt;100, "ERROR", IF(Q37&lt;L37, M37*L37/Q37, M37))</f>
        <v>0.39985338709139984</v>
      </c>
      <c r="T37" s="148">
        <f t="shared" ref="T37:T51" si="49">R37*P37*0.01</f>
        <v>3.9985338709139985E-2</v>
      </c>
      <c r="U37" s="148">
        <f t="shared" ref="U37:U51" si="50">S37*Q37*0.01</f>
        <v>3.9985338709139984</v>
      </c>
      <c r="V37" s="7">
        <f t="shared" ref="V37:V51" si="51">P37*1000</f>
        <v>1000</v>
      </c>
      <c r="W37" s="7">
        <f t="shared" ref="W37:W51" si="52">Q37*1000</f>
        <v>1000000</v>
      </c>
      <c r="X37" s="1345">
        <f t="shared" ref="X37:X51" si="53">T37*1000</f>
        <v>39.985338709139988</v>
      </c>
      <c r="Y37" s="1345">
        <f t="shared" ref="Y37:Y51" si="54">U37*1000</f>
        <v>3998.5338709139983</v>
      </c>
    </row>
    <row r="38" spans="1:26" x14ac:dyDescent="0.2">
      <c r="A38" s="213" t="str">
        <f t="shared" ref="A38:B38" si="55">A318</f>
        <v>CMI</v>
      </c>
      <c r="B38" s="213" t="str">
        <f t="shared" si="55"/>
        <v>VSL205133</v>
      </c>
      <c r="C38" s="219">
        <f t="shared" si="33"/>
        <v>134858.4</v>
      </c>
      <c r="D38" s="219">
        <f t="shared" si="34"/>
        <v>23.3</v>
      </c>
      <c r="E38" s="219">
        <f t="shared" si="35"/>
        <v>131990</v>
      </c>
      <c r="F38" s="219">
        <f t="shared" si="36"/>
        <v>2315</v>
      </c>
      <c r="G38" s="219">
        <f t="shared" si="37"/>
        <v>-2870</v>
      </c>
      <c r="H38" s="219">
        <f t="shared" si="38"/>
        <v>4630</v>
      </c>
      <c r="I38" s="155">
        <f t="shared" si="39"/>
        <v>0</v>
      </c>
      <c r="J38" s="155">
        <f t="shared" si="40"/>
        <v>0</v>
      </c>
      <c r="K38" s="155">
        <f t="shared" si="41"/>
        <v>4630</v>
      </c>
      <c r="L38" s="155">
        <f t="shared" si="42"/>
        <v>10</v>
      </c>
      <c r="M38" s="156">
        <f t="shared" si="43"/>
        <v>3.4332307071713739</v>
      </c>
      <c r="N38" s="157">
        <f t="shared" si="44"/>
        <v>0.34332307071713741</v>
      </c>
      <c r="O38" s="155">
        <f t="shared" si="45"/>
        <v>100</v>
      </c>
      <c r="P38" s="250">
        <v>1</v>
      </c>
      <c r="Q38" s="250">
        <v>1000</v>
      </c>
      <c r="R38" s="148">
        <f t="shared" si="47"/>
        <v>34.332307071713743</v>
      </c>
      <c r="S38" s="148">
        <f t="shared" si="48"/>
        <v>3.4332307071713739</v>
      </c>
      <c r="T38" s="148">
        <f t="shared" si="49"/>
        <v>0.34332307071713741</v>
      </c>
      <c r="U38" s="148">
        <f t="shared" si="50"/>
        <v>34.332307071713743</v>
      </c>
      <c r="V38" s="7">
        <f t="shared" si="51"/>
        <v>1000</v>
      </c>
      <c r="W38" s="7">
        <f t="shared" si="52"/>
        <v>1000000</v>
      </c>
      <c r="X38" s="1345">
        <f t="shared" si="53"/>
        <v>343.3230707171374</v>
      </c>
      <c r="Y38" s="1345">
        <f t="shared" si="54"/>
        <v>34332.307071713745</v>
      </c>
    </row>
    <row r="39" spans="1:26" x14ac:dyDescent="0.2">
      <c r="A39" s="213" t="str">
        <f t="shared" ref="A39:B39" si="56">A319</f>
        <v>VNIIM</v>
      </c>
      <c r="B39" s="213" t="str">
        <f t="shared" si="56"/>
        <v>VSL202624</v>
      </c>
      <c r="C39" s="219">
        <f t="shared" si="33"/>
        <v>135163.29999999999</v>
      </c>
      <c r="D39" s="219">
        <f t="shared" si="34"/>
        <v>23.400000000000002</v>
      </c>
      <c r="E39" s="219">
        <f t="shared" si="35"/>
        <v>135100</v>
      </c>
      <c r="F39" s="219">
        <f t="shared" si="36"/>
        <v>250</v>
      </c>
      <c r="G39" s="219">
        <f t="shared" si="37"/>
        <v>-60</v>
      </c>
      <c r="H39" s="219">
        <f t="shared" si="38"/>
        <v>500</v>
      </c>
      <c r="I39" s="155">
        <f t="shared" si="39"/>
        <v>0</v>
      </c>
      <c r="J39" s="155">
        <f t="shared" si="40"/>
        <v>0</v>
      </c>
      <c r="K39" s="155">
        <f t="shared" si="41"/>
        <v>500</v>
      </c>
      <c r="L39" s="155">
        <f t="shared" si="42"/>
        <v>10</v>
      </c>
      <c r="M39" s="156">
        <f t="shared" si="43"/>
        <v>0.3699229006690426</v>
      </c>
      <c r="N39" s="157">
        <f t="shared" si="44"/>
        <v>3.6992290066904257E-2</v>
      </c>
      <c r="O39" s="155">
        <f t="shared" si="45"/>
        <v>100</v>
      </c>
      <c r="P39" s="250">
        <v>1</v>
      </c>
      <c r="Q39" s="250">
        <v>1000</v>
      </c>
      <c r="R39" s="148">
        <f t="shared" si="47"/>
        <v>3.6992290066904259</v>
      </c>
      <c r="S39" s="148">
        <f t="shared" si="48"/>
        <v>0.3699229006690426</v>
      </c>
      <c r="T39" s="148">
        <f t="shared" si="49"/>
        <v>3.6992290066904257E-2</v>
      </c>
      <c r="U39" s="148">
        <f t="shared" si="50"/>
        <v>3.6992290066904259</v>
      </c>
      <c r="V39" s="7">
        <f t="shared" si="51"/>
        <v>1000</v>
      </c>
      <c r="W39" s="7">
        <f t="shared" si="52"/>
        <v>1000000</v>
      </c>
      <c r="X39" s="1345">
        <f t="shared" si="53"/>
        <v>36.99229006690426</v>
      </c>
      <c r="Y39" s="1345">
        <f t="shared" si="54"/>
        <v>3699.2290066904256</v>
      </c>
    </row>
    <row r="40" spans="1:26" x14ac:dyDescent="0.2">
      <c r="A40" s="213" t="str">
        <f t="shared" ref="A40:B40" si="57">A320</f>
        <v>OMH</v>
      </c>
      <c r="B40" s="213" t="str">
        <f t="shared" si="57"/>
        <v>VSL206344</v>
      </c>
      <c r="C40" s="219">
        <f t="shared" si="33"/>
        <v>134971.79999999999</v>
      </c>
      <c r="D40" s="219">
        <f t="shared" si="34"/>
        <v>23.3</v>
      </c>
      <c r="E40" s="219">
        <f t="shared" si="35"/>
        <v>134650</v>
      </c>
      <c r="F40" s="219">
        <f t="shared" si="36"/>
        <v>74.074074074074062</v>
      </c>
      <c r="G40" s="219">
        <f t="shared" si="37"/>
        <v>-320</v>
      </c>
      <c r="H40" s="219">
        <f t="shared" si="38"/>
        <v>160</v>
      </c>
      <c r="I40" s="155">
        <f t="shared" si="39"/>
        <v>1</v>
      </c>
      <c r="J40" s="155">
        <f t="shared" si="40"/>
        <v>321.79999999998836</v>
      </c>
      <c r="K40" s="155">
        <f t="shared" si="41"/>
        <v>660.43079410313362</v>
      </c>
      <c r="L40" s="155">
        <f t="shared" si="42"/>
        <v>10</v>
      </c>
      <c r="M40" s="156">
        <f t="shared" si="43"/>
        <v>0.4893102070974335</v>
      </c>
      <c r="N40" s="157">
        <f t="shared" si="44"/>
        <v>4.8931020709743346E-2</v>
      </c>
      <c r="O40" s="155">
        <f t="shared" si="45"/>
        <v>100</v>
      </c>
      <c r="P40" s="250">
        <v>1</v>
      </c>
      <c r="Q40" s="250">
        <v>1000</v>
      </c>
      <c r="R40" s="148">
        <f t="shared" si="47"/>
        <v>4.8931020709743347</v>
      </c>
      <c r="S40" s="148">
        <f t="shared" si="48"/>
        <v>0.4893102070974335</v>
      </c>
      <c r="T40" s="148">
        <f t="shared" si="49"/>
        <v>4.8931020709743346E-2</v>
      </c>
      <c r="U40" s="148">
        <f t="shared" si="50"/>
        <v>4.8931020709743347</v>
      </c>
      <c r="V40" s="7">
        <f t="shared" si="51"/>
        <v>1000</v>
      </c>
      <c r="W40" s="7">
        <f t="shared" si="52"/>
        <v>1000000</v>
      </c>
      <c r="X40" s="1345">
        <f t="shared" si="53"/>
        <v>48.931020709743343</v>
      </c>
      <c r="Y40" s="1345">
        <f t="shared" si="54"/>
        <v>4893.1020709743343</v>
      </c>
    </row>
    <row r="41" spans="1:26" x14ac:dyDescent="0.2">
      <c r="A41" s="213" t="str">
        <f t="shared" ref="A41:B41" si="58">A321</f>
        <v>LNE</v>
      </c>
      <c r="B41" s="213" t="str">
        <f t="shared" si="58"/>
        <v>VSL202614</v>
      </c>
      <c r="C41" s="219">
        <f t="shared" si="33"/>
        <v>134653</v>
      </c>
      <c r="D41" s="219">
        <f t="shared" si="34"/>
        <v>23.400000000000002</v>
      </c>
      <c r="E41" s="219">
        <f t="shared" si="35"/>
        <v>134750</v>
      </c>
      <c r="F41" s="219">
        <f t="shared" si="36"/>
        <v>315</v>
      </c>
      <c r="G41" s="219">
        <f t="shared" si="37"/>
        <v>100</v>
      </c>
      <c r="H41" s="219">
        <f t="shared" si="38"/>
        <v>630</v>
      </c>
      <c r="I41" s="155">
        <f t="shared" si="39"/>
        <v>0</v>
      </c>
      <c r="J41" s="155">
        <f t="shared" si="40"/>
        <v>0</v>
      </c>
      <c r="K41" s="155">
        <f t="shared" si="41"/>
        <v>630</v>
      </c>
      <c r="L41" s="155">
        <f t="shared" si="42"/>
        <v>10</v>
      </c>
      <c r="M41" s="156">
        <f t="shared" si="43"/>
        <v>0.46786926395995632</v>
      </c>
      <c r="N41" s="157">
        <f t="shared" si="44"/>
        <v>4.6786926395995632E-2</v>
      </c>
      <c r="O41" s="155">
        <f t="shared" si="45"/>
        <v>100</v>
      </c>
      <c r="P41" s="250">
        <v>1</v>
      </c>
      <c r="Q41" s="250">
        <v>1000</v>
      </c>
      <c r="R41" s="148">
        <f t="shared" si="47"/>
        <v>4.6786926395995634</v>
      </c>
      <c r="S41" s="148">
        <f t="shared" si="48"/>
        <v>0.46786926395995632</v>
      </c>
      <c r="T41" s="148">
        <f t="shared" si="49"/>
        <v>4.6786926395995632E-2</v>
      </c>
      <c r="U41" s="148">
        <f t="shared" si="50"/>
        <v>4.6786926395995634</v>
      </c>
      <c r="V41" s="7">
        <f t="shared" si="51"/>
        <v>1000</v>
      </c>
      <c r="W41" s="7">
        <f t="shared" si="52"/>
        <v>1000000</v>
      </c>
      <c r="X41" s="1345">
        <f t="shared" si="53"/>
        <v>46.786926395995629</v>
      </c>
      <c r="Y41" s="1345">
        <f t="shared" si="54"/>
        <v>4678.6926395995633</v>
      </c>
    </row>
    <row r="42" spans="1:26" x14ac:dyDescent="0.2">
      <c r="A42" s="213" t="str">
        <f t="shared" ref="A42:B42" si="59">A322</f>
        <v>NMi VSL</v>
      </c>
      <c r="B42" s="213" t="str">
        <f t="shared" si="59"/>
        <v>VSL300636</v>
      </c>
      <c r="C42" s="219">
        <f t="shared" si="33"/>
        <v>134881.20000000001</v>
      </c>
      <c r="D42" s="219">
        <f t="shared" si="34"/>
        <v>23.400000000000002</v>
      </c>
      <c r="E42" s="219">
        <f t="shared" si="35"/>
        <v>134760</v>
      </c>
      <c r="F42" s="219">
        <f t="shared" si="36"/>
        <v>85</v>
      </c>
      <c r="G42" s="219">
        <f t="shared" si="37"/>
        <v>-120</v>
      </c>
      <c r="H42" s="219">
        <f t="shared" si="38"/>
        <v>180</v>
      </c>
      <c r="I42" s="155">
        <f t="shared" si="39"/>
        <v>0</v>
      </c>
      <c r="J42" s="155">
        <f t="shared" si="40"/>
        <v>0</v>
      </c>
      <c r="K42" s="155">
        <f t="shared" si="41"/>
        <v>170</v>
      </c>
      <c r="L42" s="155">
        <f t="shared" si="42"/>
        <v>10</v>
      </c>
      <c r="M42" s="156">
        <f t="shared" si="43"/>
        <v>0.12603683834366836</v>
      </c>
      <c r="N42" s="157">
        <f t="shared" si="44"/>
        <v>1.2603683834366835E-2</v>
      </c>
      <c r="O42" s="155">
        <f t="shared" si="45"/>
        <v>100</v>
      </c>
      <c r="P42" s="250">
        <v>1</v>
      </c>
      <c r="Q42" s="250">
        <v>1000</v>
      </c>
      <c r="R42" s="148">
        <f t="shared" si="47"/>
        <v>1.2603683834366834</v>
      </c>
      <c r="S42" s="148">
        <f t="shared" si="48"/>
        <v>0.12603683834366836</v>
      </c>
      <c r="T42" s="148">
        <f t="shared" si="49"/>
        <v>1.2603683834366835E-2</v>
      </c>
      <c r="U42" s="148">
        <f t="shared" si="50"/>
        <v>1.2603683834366834</v>
      </c>
      <c r="V42" s="7">
        <f t="shared" si="51"/>
        <v>1000</v>
      </c>
      <c r="W42" s="7">
        <f t="shared" si="52"/>
        <v>1000000</v>
      </c>
      <c r="X42" s="1345">
        <f t="shared" si="53"/>
        <v>12.603683834366835</v>
      </c>
      <c r="Y42" s="1345">
        <f t="shared" si="54"/>
        <v>1260.3683834366834</v>
      </c>
    </row>
    <row r="43" spans="1:26" x14ac:dyDescent="0.2">
      <c r="A43" s="213" t="str">
        <f t="shared" ref="A43:B43" si="60">A323</f>
        <v>CENAM</v>
      </c>
      <c r="B43" s="213" t="str">
        <f t="shared" si="60"/>
        <v>VSL160258</v>
      </c>
      <c r="C43" s="219">
        <f t="shared" si="33"/>
        <v>135085.20000000001</v>
      </c>
      <c r="D43" s="219">
        <f t="shared" si="34"/>
        <v>23.400000000000002</v>
      </c>
      <c r="E43" s="219">
        <f t="shared" si="35"/>
        <v>135100</v>
      </c>
      <c r="F43" s="219">
        <f t="shared" si="36"/>
        <v>650</v>
      </c>
      <c r="G43" s="219">
        <f t="shared" si="37"/>
        <v>10</v>
      </c>
      <c r="H43" s="219">
        <f t="shared" si="38"/>
        <v>1300</v>
      </c>
      <c r="I43" s="155">
        <f t="shared" si="39"/>
        <v>0</v>
      </c>
      <c r="J43" s="155">
        <f t="shared" si="40"/>
        <v>0</v>
      </c>
      <c r="K43" s="155">
        <f t="shared" si="41"/>
        <v>1300</v>
      </c>
      <c r="L43" s="155">
        <f t="shared" si="42"/>
        <v>10</v>
      </c>
      <c r="M43" s="156">
        <f t="shared" si="43"/>
        <v>0.96235560964487588</v>
      </c>
      <c r="N43" s="157">
        <f t="shared" si="44"/>
        <v>9.6235560964487585E-2</v>
      </c>
      <c r="O43" s="155">
        <f t="shared" si="45"/>
        <v>100</v>
      </c>
      <c r="P43" s="250">
        <v>1</v>
      </c>
      <c r="Q43" s="250">
        <v>1000</v>
      </c>
      <c r="R43" s="148">
        <f t="shared" si="47"/>
        <v>9.623556096448759</v>
      </c>
      <c r="S43" s="148">
        <f t="shared" si="48"/>
        <v>0.96235560964487588</v>
      </c>
      <c r="T43" s="148">
        <f t="shared" si="49"/>
        <v>9.6235560964487599E-2</v>
      </c>
      <c r="U43" s="148">
        <f t="shared" si="50"/>
        <v>9.623556096448759</v>
      </c>
      <c r="V43" s="7">
        <f t="shared" si="51"/>
        <v>1000</v>
      </c>
      <c r="W43" s="7">
        <f t="shared" si="52"/>
        <v>1000000</v>
      </c>
      <c r="X43" s="1345">
        <f t="shared" si="53"/>
        <v>96.235560964487604</v>
      </c>
      <c r="Y43" s="1345">
        <f t="shared" si="54"/>
        <v>9623.5560964487595</v>
      </c>
    </row>
    <row r="44" spans="1:26" x14ac:dyDescent="0.2">
      <c r="A44" s="213" t="str">
        <f t="shared" ref="A44:B44" si="61">A324</f>
        <v>CEM</v>
      </c>
      <c r="B44" s="213" t="str">
        <f t="shared" si="61"/>
        <v>VSL202677</v>
      </c>
      <c r="C44" s="219">
        <f t="shared" si="33"/>
        <v>135184.30000000002</v>
      </c>
      <c r="D44" s="219">
        <f t="shared" si="34"/>
        <v>23.400000000000002</v>
      </c>
      <c r="E44" s="219">
        <f t="shared" si="35"/>
        <v>134720</v>
      </c>
      <c r="F44" s="219">
        <f t="shared" si="36"/>
        <v>550</v>
      </c>
      <c r="G44" s="219">
        <f t="shared" si="37"/>
        <v>-460</v>
      </c>
      <c r="H44" s="219">
        <f t="shared" si="38"/>
        <v>1100</v>
      </c>
      <c r="I44" s="155">
        <f t="shared" si="39"/>
        <v>0</v>
      </c>
      <c r="J44" s="155">
        <f t="shared" si="40"/>
        <v>0</v>
      </c>
      <c r="K44" s="155">
        <f t="shared" si="41"/>
        <v>1100</v>
      </c>
      <c r="L44" s="155">
        <f t="shared" si="42"/>
        <v>10</v>
      </c>
      <c r="M44" s="156">
        <f t="shared" si="43"/>
        <v>0.81370395822591823</v>
      </c>
      <c r="N44" s="157">
        <f t="shared" si="44"/>
        <v>8.1370395822591826E-2</v>
      </c>
      <c r="O44" s="155">
        <f t="shared" si="45"/>
        <v>100</v>
      </c>
      <c r="P44" s="250">
        <v>1</v>
      </c>
      <c r="Q44" s="250">
        <v>1000</v>
      </c>
      <c r="R44" s="148">
        <f t="shared" si="47"/>
        <v>8.1370395822591828</v>
      </c>
      <c r="S44" s="148">
        <f t="shared" si="48"/>
        <v>0.81370395822591823</v>
      </c>
      <c r="T44" s="148">
        <f t="shared" si="49"/>
        <v>8.1370395822591826E-2</v>
      </c>
      <c r="U44" s="148">
        <f t="shared" si="50"/>
        <v>8.1370395822591828</v>
      </c>
      <c r="V44" s="7">
        <f t="shared" si="51"/>
        <v>1000</v>
      </c>
      <c r="W44" s="7">
        <f t="shared" si="52"/>
        <v>1000000</v>
      </c>
      <c r="X44" s="1345">
        <f t="shared" si="53"/>
        <v>81.370395822591831</v>
      </c>
      <c r="Y44" s="1345">
        <f t="shared" si="54"/>
        <v>8137.0395822591827</v>
      </c>
    </row>
    <row r="45" spans="1:26" x14ac:dyDescent="0.2">
      <c r="A45" s="213" t="str">
        <f t="shared" ref="A45:B45" si="62">A325</f>
        <v>BAM</v>
      </c>
      <c r="B45" s="213" t="str">
        <f t="shared" si="62"/>
        <v>VSL205189</v>
      </c>
      <c r="C45" s="219">
        <f t="shared" si="33"/>
        <v>135093.29999999999</v>
      </c>
      <c r="D45" s="219">
        <f t="shared" si="34"/>
        <v>23.400000000000002</v>
      </c>
      <c r="E45" s="219">
        <f t="shared" si="35"/>
        <v>134840</v>
      </c>
      <c r="F45" s="219">
        <f t="shared" si="36"/>
        <v>200</v>
      </c>
      <c r="G45" s="219">
        <f t="shared" si="37"/>
        <v>-260</v>
      </c>
      <c r="H45" s="219">
        <f t="shared" si="38"/>
        <v>410</v>
      </c>
      <c r="I45" s="155">
        <f t="shared" si="39"/>
        <v>0</v>
      </c>
      <c r="J45" s="155">
        <f t="shared" si="40"/>
        <v>0</v>
      </c>
      <c r="K45" s="155">
        <f t="shared" si="41"/>
        <v>400</v>
      </c>
      <c r="L45" s="155">
        <f t="shared" si="42"/>
        <v>10</v>
      </c>
      <c r="M45" s="156">
        <f t="shared" si="43"/>
        <v>0.29609166405735893</v>
      </c>
      <c r="N45" s="157">
        <f t="shared" si="44"/>
        <v>2.9609166405735896E-2</v>
      </c>
      <c r="O45" s="155">
        <f t="shared" si="45"/>
        <v>100</v>
      </c>
      <c r="P45" s="250">
        <v>1</v>
      </c>
      <c r="Q45" s="250">
        <v>1000</v>
      </c>
      <c r="R45" s="148">
        <f t="shared" si="47"/>
        <v>2.9609166405735894</v>
      </c>
      <c r="S45" s="148">
        <f t="shared" si="48"/>
        <v>0.29609166405735893</v>
      </c>
      <c r="T45" s="148">
        <f t="shared" si="49"/>
        <v>2.9609166405735896E-2</v>
      </c>
      <c r="U45" s="148">
        <f t="shared" si="50"/>
        <v>2.9609166405735894</v>
      </c>
      <c r="V45" s="7">
        <f t="shared" si="51"/>
        <v>1000</v>
      </c>
      <c r="W45" s="7">
        <f t="shared" si="52"/>
        <v>1000000</v>
      </c>
      <c r="X45" s="1345">
        <f t="shared" si="53"/>
        <v>29.609166405735895</v>
      </c>
      <c r="Y45" s="1345">
        <f t="shared" si="54"/>
        <v>2960.9166405735896</v>
      </c>
    </row>
    <row r="46" spans="1:26" x14ac:dyDescent="0.2">
      <c r="A46" s="213" t="str">
        <f t="shared" ref="A46:B46" si="63">A326</f>
        <v>NMIA</v>
      </c>
      <c r="B46" s="213" t="str">
        <f t="shared" si="63"/>
        <v>VSL228583</v>
      </c>
      <c r="C46" s="219">
        <f t="shared" si="33"/>
        <v>135061.9</v>
      </c>
      <c r="D46" s="219">
        <f t="shared" si="34"/>
        <v>23.400000000000002</v>
      </c>
      <c r="E46" s="219">
        <f t="shared" si="35"/>
        <v>135000</v>
      </c>
      <c r="F46" s="219">
        <f t="shared" si="36"/>
        <v>137.61467889908255</v>
      </c>
      <c r="G46" s="219">
        <f t="shared" si="37"/>
        <v>-60</v>
      </c>
      <c r="H46" s="219">
        <f t="shared" si="38"/>
        <v>280</v>
      </c>
      <c r="I46" s="155">
        <f t="shared" si="39"/>
        <v>0</v>
      </c>
      <c r="J46" s="155">
        <f t="shared" si="40"/>
        <v>0</v>
      </c>
      <c r="K46" s="155">
        <f t="shared" si="41"/>
        <v>275.2293577981651</v>
      </c>
      <c r="L46" s="155">
        <f t="shared" si="42"/>
        <v>10</v>
      </c>
      <c r="M46" s="156">
        <f t="shared" si="43"/>
        <v>0.20378016139130659</v>
      </c>
      <c r="N46" s="157">
        <f t="shared" si="44"/>
        <v>2.0378016139130657E-2</v>
      </c>
      <c r="O46" s="155">
        <f t="shared" si="45"/>
        <v>100</v>
      </c>
      <c r="P46" s="250">
        <v>1</v>
      </c>
      <c r="Q46" s="250">
        <v>1000</v>
      </c>
      <c r="R46" s="148">
        <f t="shared" si="47"/>
        <v>2.0378016139130657</v>
      </c>
      <c r="S46" s="148">
        <f t="shared" si="48"/>
        <v>0.20378016139130659</v>
      </c>
      <c r="T46" s="148">
        <f t="shared" si="49"/>
        <v>2.0378016139130657E-2</v>
      </c>
      <c r="U46" s="148">
        <f t="shared" si="50"/>
        <v>2.0378016139130661</v>
      </c>
      <c r="V46" s="7">
        <f t="shared" si="51"/>
        <v>1000</v>
      </c>
      <c r="W46" s="7">
        <f t="shared" si="52"/>
        <v>1000000</v>
      </c>
      <c r="X46" s="1345">
        <f t="shared" si="53"/>
        <v>20.378016139130658</v>
      </c>
      <c r="Y46" s="1345">
        <f t="shared" si="54"/>
        <v>2037.8016139130661</v>
      </c>
    </row>
    <row r="47" spans="1:26" x14ac:dyDescent="0.2">
      <c r="A47" s="213" t="str">
        <f t="shared" ref="A47:B47" si="64">A327</f>
        <v>IPQ</v>
      </c>
      <c r="B47" s="213" t="str">
        <f t="shared" si="64"/>
        <v>VSL220210</v>
      </c>
      <c r="C47" s="219">
        <f t="shared" si="33"/>
        <v>134852.20000000001</v>
      </c>
      <c r="D47" s="219">
        <f t="shared" si="34"/>
        <v>23.3</v>
      </c>
      <c r="E47" s="219">
        <f t="shared" si="35"/>
        <v>134800</v>
      </c>
      <c r="F47" s="219">
        <f t="shared" si="36"/>
        <v>315</v>
      </c>
      <c r="G47" s="219">
        <f t="shared" si="37"/>
        <v>-50</v>
      </c>
      <c r="H47" s="219">
        <f t="shared" si="38"/>
        <v>630</v>
      </c>
      <c r="I47" s="155">
        <f t="shared" si="39"/>
        <v>0</v>
      </c>
      <c r="J47" s="155">
        <f t="shared" si="40"/>
        <v>0</v>
      </c>
      <c r="K47" s="155">
        <f t="shared" si="41"/>
        <v>630</v>
      </c>
      <c r="L47" s="155">
        <f t="shared" si="42"/>
        <v>10</v>
      </c>
      <c r="M47" s="156">
        <f t="shared" si="43"/>
        <v>0.46717814021573245</v>
      </c>
      <c r="N47" s="157">
        <f t="shared" si="44"/>
        <v>4.6717814021573247E-2</v>
      </c>
      <c r="O47" s="155">
        <f t="shared" si="45"/>
        <v>100</v>
      </c>
      <c r="P47" s="250">
        <v>1</v>
      </c>
      <c r="Q47" s="250">
        <v>1000</v>
      </c>
      <c r="R47" s="148">
        <f t="shared" si="47"/>
        <v>4.6717814021573245</v>
      </c>
      <c r="S47" s="148">
        <f t="shared" si="48"/>
        <v>0.46717814021573245</v>
      </c>
      <c r="T47" s="148">
        <f t="shared" si="49"/>
        <v>4.6717814021573247E-2</v>
      </c>
      <c r="U47" s="148">
        <f t="shared" si="50"/>
        <v>4.6717814021573245</v>
      </c>
      <c r="V47" s="7">
        <f t="shared" si="51"/>
        <v>1000</v>
      </c>
      <c r="W47" s="7">
        <f t="shared" si="52"/>
        <v>1000000</v>
      </c>
      <c r="X47" s="1345">
        <f t="shared" si="53"/>
        <v>46.717814021573247</v>
      </c>
      <c r="Y47" s="1345">
        <f t="shared" si="54"/>
        <v>4671.7814021573249</v>
      </c>
    </row>
    <row r="48" spans="1:26" x14ac:dyDescent="0.2">
      <c r="A48" s="213" t="str">
        <f t="shared" ref="A48:B48" si="65">A328</f>
        <v>INMETRO</v>
      </c>
      <c r="B48" s="213" t="str">
        <f t="shared" si="65"/>
        <v>VSL202750</v>
      </c>
      <c r="C48" s="219">
        <f t="shared" si="33"/>
        <v>134938.19999999998</v>
      </c>
      <c r="D48" s="219">
        <f t="shared" si="34"/>
        <v>23.3</v>
      </c>
      <c r="E48" s="219">
        <f t="shared" si="35"/>
        <v>133000</v>
      </c>
      <c r="F48" s="219">
        <f t="shared" si="36"/>
        <v>600</v>
      </c>
      <c r="G48" s="219">
        <f t="shared" si="37"/>
        <v>-1940</v>
      </c>
      <c r="H48" s="219">
        <f t="shared" si="38"/>
        <v>1200</v>
      </c>
      <c r="I48" s="155">
        <f t="shared" si="39"/>
        <v>1</v>
      </c>
      <c r="J48" s="155">
        <f t="shared" si="40"/>
        <v>1938.1999999999825</v>
      </c>
      <c r="K48" s="155">
        <f t="shared" si="41"/>
        <v>4057.890703308768</v>
      </c>
      <c r="L48" s="155">
        <f t="shared" si="42"/>
        <v>10</v>
      </c>
      <c r="M48" s="156">
        <f t="shared" si="43"/>
        <v>3.0072216046373588</v>
      </c>
      <c r="N48" s="157">
        <f t="shared" si="44"/>
        <v>0.30072216046373584</v>
      </c>
      <c r="O48" s="155">
        <f t="shared" si="45"/>
        <v>100</v>
      </c>
      <c r="P48" s="250">
        <v>1</v>
      </c>
      <c r="Q48" s="250">
        <v>1000</v>
      </c>
      <c r="R48" s="148">
        <f t="shared" si="47"/>
        <v>30.072216046373587</v>
      </c>
      <c r="S48" s="148">
        <f t="shared" si="48"/>
        <v>3.0072216046373588</v>
      </c>
      <c r="T48" s="148">
        <f t="shared" si="49"/>
        <v>0.3007221604637359</v>
      </c>
      <c r="U48" s="148">
        <f t="shared" si="50"/>
        <v>30.072216046373587</v>
      </c>
      <c r="V48" s="7">
        <f t="shared" si="51"/>
        <v>1000</v>
      </c>
      <c r="W48" s="7">
        <f t="shared" si="52"/>
        <v>1000000</v>
      </c>
      <c r="X48" s="1345">
        <f t="shared" si="53"/>
        <v>300.72216046373592</v>
      </c>
      <c r="Y48" s="1345">
        <f t="shared" si="54"/>
        <v>30072.216046373585</v>
      </c>
    </row>
    <row r="49" spans="1:26" x14ac:dyDescent="0.2">
      <c r="A49" s="213" t="str">
        <f t="shared" ref="A49:B49" si="66">A329</f>
        <v>GUM</v>
      </c>
      <c r="B49" s="213" t="str">
        <f t="shared" si="66"/>
        <v>VSL223562</v>
      </c>
      <c r="C49" s="219">
        <f t="shared" si="33"/>
        <v>135631.1</v>
      </c>
      <c r="D49" s="219">
        <f t="shared" si="34"/>
        <v>23.3</v>
      </c>
      <c r="E49" s="219">
        <f t="shared" si="35"/>
        <v>135640</v>
      </c>
      <c r="F49" s="219">
        <f t="shared" si="36"/>
        <v>400</v>
      </c>
      <c r="G49" s="219">
        <f t="shared" si="37"/>
        <v>10</v>
      </c>
      <c r="H49" s="219">
        <f t="shared" si="38"/>
        <v>800</v>
      </c>
      <c r="I49" s="155">
        <f t="shared" si="39"/>
        <v>0</v>
      </c>
      <c r="J49" s="155">
        <f t="shared" si="40"/>
        <v>0</v>
      </c>
      <c r="K49" s="155">
        <f t="shared" si="41"/>
        <v>800</v>
      </c>
      <c r="L49" s="155">
        <f t="shared" si="42"/>
        <v>10</v>
      </c>
      <c r="M49" s="156">
        <f t="shared" si="43"/>
        <v>0.58983522215774997</v>
      </c>
      <c r="N49" s="157">
        <f t="shared" si="44"/>
        <v>5.8983522215774992E-2</v>
      </c>
      <c r="O49" s="155">
        <f t="shared" si="45"/>
        <v>100</v>
      </c>
      <c r="P49" s="250">
        <v>1</v>
      </c>
      <c r="Q49" s="250">
        <v>1000</v>
      </c>
      <c r="R49" s="148">
        <f t="shared" si="47"/>
        <v>5.8983522215774995</v>
      </c>
      <c r="S49" s="148">
        <f t="shared" si="48"/>
        <v>0.58983522215774997</v>
      </c>
      <c r="T49" s="148">
        <f t="shared" si="49"/>
        <v>5.8983522215774999E-2</v>
      </c>
      <c r="U49" s="148">
        <f t="shared" si="50"/>
        <v>5.8983522215774995</v>
      </c>
      <c r="V49" s="7">
        <f t="shared" si="51"/>
        <v>1000</v>
      </c>
      <c r="W49" s="7">
        <f t="shared" si="52"/>
        <v>1000000</v>
      </c>
      <c r="X49" s="1345">
        <f t="shared" si="53"/>
        <v>58.983522215774997</v>
      </c>
      <c r="Y49" s="1345">
        <f t="shared" si="54"/>
        <v>5898.3522215774992</v>
      </c>
    </row>
    <row r="50" spans="1:26" x14ac:dyDescent="0.2">
      <c r="A50" s="213" t="str">
        <f t="shared" ref="A50:B50" si="67">A330</f>
        <v>NRCCRM</v>
      </c>
      <c r="B50" s="213" t="str">
        <f t="shared" si="67"/>
        <v>VSL228668</v>
      </c>
      <c r="C50" s="219">
        <f t="shared" si="33"/>
        <v>135140</v>
      </c>
      <c r="D50" s="219">
        <f t="shared" si="34"/>
        <v>23.400000000000002</v>
      </c>
      <c r="E50" s="219">
        <f t="shared" si="35"/>
        <v>135000</v>
      </c>
      <c r="F50" s="219">
        <f t="shared" si="36"/>
        <v>1015.0000000000001</v>
      </c>
      <c r="G50" s="219">
        <f t="shared" si="37"/>
        <v>-140</v>
      </c>
      <c r="H50" s="219">
        <f t="shared" si="38"/>
        <v>2030.0000000000002</v>
      </c>
      <c r="I50" s="155">
        <f t="shared" si="39"/>
        <v>0</v>
      </c>
      <c r="J50" s="155">
        <f t="shared" si="40"/>
        <v>0</v>
      </c>
      <c r="K50" s="155">
        <f t="shared" si="41"/>
        <v>2030.0000000000002</v>
      </c>
      <c r="L50" s="155">
        <f t="shared" si="42"/>
        <v>10</v>
      </c>
      <c r="M50" s="156">
        <f t="shared" si="43"/>
        <v>1.5021459227467813</v>
      </c>
      <c r="N50" s="157">
        <f t="shared" si="44"/>
        <v>0.15021459227467812</v>
      </c>
      <c r="O50" s="155">
        <f t="shared" si="45"/>
        <v>100</v>
      </c>
      <c r="P50" s="250">
        <v>1</v>
      </c>
      <c r="Q50" s="250">
        <v>1000</v>
      </c>
      <c r="R50" s="148">
        <f t="shared" si="47"/>
        <v>15.021459227467812</v>
      </c>
      <c r="S50" s="148">
        <f t="shared" si="48"/>
        <v>1.5021459227467813</v>
      </c>
      <c r="T50" s="148">
        <f t="shared" si="49"/>
        <v>0.15021459227467812</v>
      </c>
      <c r="U50" s="148">
        <f t="shared" si="50"/>
        <v>15.021459227467814</v>
      </c>
      <c r="V50" s="7">
        <f t="shared" si="51"/>
        <v>1000</v>
      </c>
      <c r="W50" s="7">
        <f t="shared" si="52"/>
        <v>1000000</v>
      </c>
      <c r="X50" s="1345">
        <f t="shared" si="53"/>
        <v>150.21459227467813</v>
      </c>
      <c r="Y50" s="1345">
        <f t="shared" si="54"/>
        <v>15021.459227467814</v>
      </c>
    </row>
    <row r="51" spans="1:26" x14ac:dyDescent="0.2">
      <c r="A51" s="213" t="str">
        <f t="shared" ref="A51:B51" si="68">A331</f>
        <v>KRISS</v>
      </c>
      <c r="B51" s="213" t="str">
        <f t="shared" si="68"/>
        <v>VSL229332</v>
      </c>
      <c r="C51" s="219">
        <f t="shared" si="33"/>
        <v>135001.9</v>
      </c>
      <c r="D51" s="219">
        <f t="shared" si="34"/>
        <v>23.5</v>
      </c>
      <c r="E51" s="219">
        <f t="shared" si="35"/>
        <v>135010</v>
      </c>
      <c r="F51" s="219">
        <f t="shared" si="36"/>
        <v>65</v>
      </c>
      <c r="G51" s="219">
        <f t="shared" si="37"/>
        <v>10</v>
      </c>
      <c r="H51" s="219">
        <f t="shared" si="38"/>
        <v>140</v>
      </c>
      <c r="I51" s="155">
        <f t="shared" si="39"/>
        <v>0</v>
      </c>
      <c r="J51" s="155">
        <f t="shared" si="40"/>
        <v>0</v>
      </c>
      <c r="K51" s="155">
        <f t="shared" si="41"/>
        <v>130</v>
      </c>
      <c r="L51" s="155">
        <f t="shared" si="42"/>
        <v>10</v>
      </c>
      <c r="M51" s="156">
        <f t="shared" si="43"/>
        <v>9.6294941034163223E-2</v>
      </c>
      <c r="N51" s="157">
        <f t="shared" si="44"/>
        <v>9.629494103416323E-3</v>
      </c>
      <c r="O51" s="155">
        <f t="shared" si="45"/>
        <v>100</v>
      </c>
      <c r="P51" s="250">
        <v>1</v>
      </c>
      <c r="Q51" s="250">
        <v>1000</v>
      </c>
      <c r="R51" s="148">
        <f t="shared" si="47"/>
        <v>0.96294941034163228</v>
      </c>
      <c r="S51" s="148">
        <f t="shared" si="48"/>
        <v>9.6294941034163223E-2</v>
      </c>
      <c r="T51" s="148">
        <f t="shared" si="49"/>
        <v>9.629494103416323E-3</v>
      </c>
      <c r="U51" s="148">
        <f t="shared" si="50"/>
        <v>0.96294941034163217</v>
      </c>
      <c r="V51" s="7">
        <f t="shared" si="51"/>
        <v>1000</v>
      </c>
      <c r="W51" s="7">
        <f t="shared" si="52"/>
        <v>1000000</v>
      </c>
      <c r="X51" s="1345">
        <f t="shared" si="53"/>
        <v>9.6294941034163237</v>
      </c>
      <c r="Y51" s="1345">
        <f t="shared" si="54"/>
        <v>962.94941034163219</v>
      </c>
    </row>
    <row r="52" spans="1:26" ht="14.25" x14ac:dyDescent="0.2">
      <c r="H52" s="9"/>
      <c r="U52" s="152"/>
      <c r="V52" s="21"/>
      <c r="W52" s="21"/>
      <c r="X52" s="21"/>
      <c r="Y52" s="21"/>
      <c r="Z52" s="21"/>
    </row>
    <row r="53" spans="1:26" ht="15.75" x14ac:dyDescent="0.2">
      <c r="A53" s="103" t="str">
        <f>A333</f>
        <v>Carbon dioxide, mixture I</v>
      </c>
      <c r="B53" s="97"/>
      <c r="C53" s="97"/>
      <c r="D53" s="97"/>
      <c r="E53" s="97"/>
      <c r="F53" s="97"/>
      <c r="G53" s="97"/>
      <c r="H53" s="97"/>
      <c r="I53" s="113"/>
      <c r="J53" s="113"/>
      <c r="K53" s="113"/>
      <c r="L53" s="113"/>
      <c r="M53" s="113"/>
      <c r="N53" s="113"/>
      <c r="O53" s="113"/>
      <c r="R53" s="113"/>
      <c r="S53" s="113"/>
      <c r="T53" s="146"/>
      <c r="U53" s="146"/>
    </row>
    <row r="54" spans="1:26" ht="102" x14ac:dyDescent="0.2">
      <c r="A54" s="211" t="s">
        <v>0</v>
      </c>
      <c r="B54" s="212" t="s">
        <v>1</v>
      </c>
      <c r="C54" s="212" t="s">
        <v>133</v>
      </c>
      <c r="D54" s="212" t="s">
        <v>199</v>
      </c>
      <c r="E54" s="212" t="s">
        <v>135</v>
      </c>
      <c r="F54" s="212" t="s">
        <v>200</v>
      </c>
      <c r="G54" s="212" t="s">
        <v>137</v>
      </c>
      <c r="H54" s="212" t="s">
        <v>201</v>
      </c>
      <c r="I54" s="104" t="s">
        <v>8</v>
      </c>
      <c r="J54" s="104" t="s">
        <v>9</v>
      </c>
      <c r="K54" s="104" t="s">
        <v>107</v>
      </c>
      <c r="L54" s="104" t="s">
        <v>14</v>
      </c>
      <c r="M54" s="104" t="s">
        <v>1057</v>
      </c>
      <c r="N54" s="104" t="s">
        <v>1058</v>
      </c>
      <c r="O54" s="104" t="s">
        <v>100</v>
      </c>
      <c r="P54" s="6" t="s">
        <v>105</v>
      </c>
      <c r="Q54" s="6" t="s">
        <v>106</v>
      </c>
      <c r="R54" s="104" t="s">
        <v>1051</v>
      </c>
      <c r="S54" s="104" t="s">
        <v>1052</v>
      </c>
      <c r="T54" s="147" t="s">
        <v>1053</v>
      </c>
      <c r="U54" s="147" t="s">
        <v>1054</v>
      </c>
      <c r="V54" s="5" t="s">
        <v>101</v>
      </c>
      <c r="W54" s="5" t="s">
        <v>102</v>
      </c>
      <c r="X54" s="112" t="s">
        <v>1055</v>
      </c>
      <c r="Y54" s="112" t="s">
        <v>1056</v>
      </c>
    </row>
    <row r="55" spans="1:26" x14ac:dyDescent="0.2">
      <c r="A55" s="213" t="str">
        <f>A335</f>
        <v>NPL</v>
      </c>
      <c r="B55" s="213" t="str">
        <f>B335</f>
        <v>VSL202748</v>
      </c>
      <c r="C55" s="219">
        <f t="shared" ref="C55:C70" si="69">C335*10000</f>
        <v>10010.200000000001</v>
      </c>
      <c r="D55" s="219">
        <f t="shared" ref="D55:D70" si="70">F335*10000</f>
        <v>8.1999999999999993</v>
      </c>
      <c r="E55" s="219">
        <f t="shared" ref="E55:E70" si="71">G335*10000</f>
        <v>10007</v>
      </c>
      <c r="F55" s="219">
        <f t="shared" ref="F55:F70" si="72">H335/I335*10000</f>
        <v>7.5</v>
      </c>
      <c r="G55" s="219">
        <f t="shared" ref="G55:G70" si="73">J335*10000</f>
        <v>-2.9999999999999996</v>
      </c>
      <c r="H55" s="219">
        <f t="shared" ref="H55:H70" si="74">L335*10000</f>
        <v>22</v>
      </c>
      <c r="I55" s="155">
        <f t="shared" ref="I55:I70" si="75">IF(ABS(G55)&gt;ABS(H55), 1, 0)</f>
        <v>0</v>
      </c>
      <c r="J55" s="155">
        <f t="shared" ref="J55:J70" si="76">I55*ABS(C55-E55)</f>
        <v>0</v>
      </c>
      <c r="K55" s="155">
        <f t="shared" ref="K55:K70" si="77">SQRT(SUMSQ(F55,J55))*2</f>
        <v>15</v>
      </c>
      <c r="L55" s="155">
        <f t="shared" ref="L55:L70" si="78">IF(C55&lt;$K$2, C55, $K$1)</f>
        <v>10</v>
      </c>
      <c r="M55" s="156">
        <f t="shared" ref="M55:M70" si="79">IF(AND(C55&lt;$K$1,C55&gt; $K$2), K55/L55*100, K55/C55*100)</f>
        <v>0.14984715590098099</v>
      </c>
      <c r="N55" s="157">
        <f t="shared" ref="N55:N70" si="80">M55*L55/100</f>
        <v>1.4984715590098098E-2</v>
      </c>
      <c r="O55" s="155">
        <f t="shared" ref="O55:O70" si="81">N55/(M55*L55/100)*100</f>
        <v>100</v>
      </c>
      <c r="P55" s="250">
        <v>1</v>
      </c>
      <c r="Q55" s="250">
        <v>1000</v>
      </c>
      <c r="R55" s="148">
        <f>IF( IF(P55&lt;L55, M55*L55/P55, M55)&gt;100, "ERROR",  IF(P55&lt;L55, M55*L55/P55, M55))</f>
        <v>1.4984715590098099</v>
      </c>
      <c r="S55" s="148">
        <f>IF(IF(Q55&lt;L55, M55*L55/Q55, M55)&gt;100, "ERROR", IF(Q55&lt;L55, M55*L55/Q55, M55))</f>
        <v>0.14984715590098099</v>
      </c>
      <c r="T55" s="148">
        <f>R55*P55*0.01</f>
        <v>1.49847155900981E-2</v>
      </c>
      <c r="U55" s="148">
        <f>S55*Q55*0.01</f>
        <v>1.4984715590098099</v>
      </c>
      <c r="V55" s="7">
        <f>P55*1000</f>
        <v>1000</v>
      </c>
      <c r="W55" s="7">
        <f>Q55*1000</f>
        <v>1000000</v>
      </c>
      <c r="X55" s="1345">
        <f>T55*1000</f>
        <v>14.9847155900981</v>
      </c>
      <c r="Y55" s="1345">
        <f>U55*1000</f>
        <v>1498.4715590098099</v>
      </c>
    </row>
    <row r="56" spans="1:26" x14ac:dyDescent="0.2">
      <c r="A56" s="213" t="str">
        <f t="shared" ref="A56:B56" si="82">A336</f>
        <v>SMU</v>
      </c>
      <c r="B56" s="213" t="str">
        <f t="shared" si="82"/>
        <v>VSL100039</v>
      </c>
      <c r="C56" s="219">
        <f t="shared" si="69"/>
        <v>9979.7000000000007</v>
      </c>
      <c r="D56" s="219">
        <f t="shared" si="70"/>
        <v>5.1000000000000005</v>
      </c>
      <c r="E56" s="219">
        <f t="shared" si="71"/>
        <v>9981</v>
      </c>
      <c r="F56" s="219">
        <f t="shared" si="72"/>
        <v>25</v>
      </c>
      <c r="G56" s="219">
        <f t="shared" si="73"/>
        <v>1</v>
      </c>
      <c r="H56" s="219">
        <f t="shared" si="74"/>
        <v>51.000000000000007</v>
      </c>
      <c r="I56" s="155">
        <f t="shared" si="75"/>
        <v>0</v>
      </c>
      <c r="J56" s="155">
        <f t="shared" si="76"/>
        <v>0</v>
      </c>
      <c r="K56" s="155">
        <f t="shared" si="77"/>
        <v>50</v>
      </c>
      <c r="L56" s="155">
        <f t="shared" si="78"/>
        <v>10</v>
      </c>
      <c r="M56" s="156">
        <f t="shared" si="79"/>
        <v>0.50101706464122164</v>
      </c>
      <c r="N56" s="157">
        <f t="shared" si="80"/>
        <v>5.0101706464122167E-2</v>
      </c>
      <c r="O56" s="155">
        <f t="shared" si="81"/>
        <v>100</v>
      </c>
      <c r="P56" s="250">
        <v>1</v>
      </c>
      <c r="Q56" s="250">
        <v>1000</v>
      </c>
      <c r="R56" s="148">
        <f t="shared" ref="R56:R70" si="83">IF( IF(P56&lt;L56, M56*L56/P56, M56)&gt;100, "ERROR",  IF(P56&lt;L56, M56*L56/P56, M56))</f>
        <v>5.0101706464122167</v>
      </c>
      <c r="S56" s="148">
        <f t="shared" ref="S56:S70" si="84">IF(IF(Q56&lt;L56, M56*L56/Q56, M56)&gt;100, "ERROR", IF(Q56&lt;L56, M56*L56/Q56, M56))</f>
        <v>0.50101706464122164</v>
      </c>
      <c r="T56" s="148">
        <f t="shared" ref="T56:T70" si="85">R56*P56*0.01</f>
        <v>5.0101706464122167E-2</v>
      </c>
      <c r="U56" s="148">
        <f t="shared" ref="U56:U70" si="86">S56*Q56*0.01</f>
        <v>5.0101706464122167</v>
      </c>
      <c r="V56" s="7">
        <f t="shared" ref="V56:V70" si="87">P56*1000</f>
        <v>1000</v>
      </c>
      <c r="W56" s="7">
        <f t="shared" ref="W56:W70" si="88">Q56*1000</f>
        <v>1000000</v>
      </c>
      <c r="X56" s="1345">
        <f t="shared" ref="X56:X70" si="89">T56*1000</f>
        <v>50.101706464122167</v>
      </c>
      <c r="Y56" s="1345">
        <f t="shared" ref="Y56:Y70" si="90">U56*1000</f>
        <v>5010.1706464122162</v>
      </c>
    </row>
    <row r="57" spans="1:26" x14ac:dyDescent="0.2">
      <c r="A57" s="213" t="str">
        <f t="shared" ref="A57:B57" si="91">A337</f>
        <v>CMI</v>
      </c>
      <c r="B57" s="213" t="str">
        <f t="shared" si="91"/>
        <v>VSL100059</v>
      </c>
      <c r="C57" s="219">
        <f t="shared" si="69"/>
        <v>10013</v>
      </c>
      <c r="D57" s="219">
        <f t="shared" si="70"/>
        <v>5.1999999999999993</v>
      </c>
      <c r="E57" s="219">
        <f t="shared" si="71"/>
        <v>10020</v>
      </c>
      <c r="F57" s="219">
        <f t="shared" si="72"/>
        <v>35</v>
      </c>
      <c r="G57" s="219">
        <f t="shared" si="73"/>
        <v>7</v>
      </c>
      <c r="H57" s="219">
        <f t="shared" si="74"/>
        <v>71</v>
      </c>
      <c r="I57" s="155">
        <f t="shared" si="75"/>
        <v>0</v>
      </c>
      <c r="J57" s="155">
        <f t="shared" si="76"/>
        <v>0</v>
      </c>
      <c r="K57" s="155">
        <f t="shared" si="77"/>
        <v>70</v>
      </c>
      <c r="L57" s="155">
        <f t="shared" si="78"/>
        <v>10</v>
      </c>
      <c r="M57" s="156">
        <f t="shared" si="79"/>
        <v>0.69909118146409666</v>
      </c>
      <c r="N57" s="157">
        <f t="shared" si="80"/>
        <v>6.9909118146409668E-2</v>
      </c>
      <c r="O57" s="155">
        <f t="shared" si="81"/>
        <v>100</v>
      </c>
      <c r="P57" s="250">
        <v>1</v>
      </c>
      <c r="Q57" s="250">
        <v>1000</v>
      </c>
      <c r="R57" s="148">
        <f t="shared" si="83"/>
        <v>6.9909118146409668</v>
      </c>
      <c r="S57" s="148">
        <f t="shared" si="84"/>
        <v>0.69909118146409666</v>
      </c>
      <c r="T57" s="148">
        <f t="shared" si="85"/>
        <v>6.9909118146409668E-2</v>
      </c>
      <c r="U57" s="148">
        <f t="shared" si="86"/>
        <v>6.9909118146409668</v>
      </c>
      <c r="V57" s="7">
        <f t="shared" si="87"/>
        <v>1000</v>
      </c>
      <c r="W57" s="7">
        <f t="shared" si="88"/>
        <v>1000000</v>
      </c>
      <c r="X57" s="1345">
        <f t="shared" si="89"/>
        <v>69.909118146409668</v>
      </c>
      <c r="Y57" s="1345">
        <f t="shared" si="90"/>
        <v>6990.9118146409664</v>
      </c>
    </row>
    <row r="58" spans="1:26" x14ac:dyDescent="0.2">
      <c r="A58" s="213" t="str">
        <f t="shared" ref="A58:B58" si="92">A338</f>
        <v>VNIIM</v>
      </c>
      <c r="B58" s="213" t="str">
        <f t="shared" si="92"/>
        <v>VSL126708</v>
      </c>
      <c r="C58" s="219">
        <f t="shared" si="69"/>
        <v>10012.5</v>
      </c>
      <c r="D58" s="219">
        <f t="shared" si="70"/>
        <v>5.1000000000000005</v>
      </c>
      <c r="E58" s="219">
        <f t="shared" si="71"/>
        <v>9990</v>
      </c>
      <c r="F58" s="219">
        <f t="shared" si="72"/>
        <v>30</v>
      </c>
      <c r="G58" s="219">
        <f t="shared" si="73"/>
        <v>-23</v>
      </c>
      <c r="H58" s="219">
        <f t="shared" si="74"/>
        <v>61.000000000000007</v>
      </c>
      <c r="I58" s="155">
        <f t="shared" si="75"/>
        <v>0</v>
      </c>
      <c r="J58" s="155">
        <f t="shared" si="76"/>
        <v>0</v>
      </c>
      <c r="K58" s="155">
        <f t="shared" si="77"/>
        <v>60</v>
      </c>
      <c r="L58" s="155">
        <f t="shared" si="78"/>
        <v>10</v>
      </c>
      <c r="M58" s="156">
        <f t="shared" si="79"/>
        <v>0.59925093632958804</v>
      </c>
      <c r="N58" s="157">
        <f t="shared" si="80"/>
        <v>5.9925093632958809E-2</v>
      </c>
      <c r="O58" s="155">
        <f t="shared" si="81"/>
        <v>100</v>
      </c>
      <c r="P58" s="250">
        <v>1</v>
      </c>
      <c r="Q58" s="250">
        <v>1000</v>
      </c>
      <c r="R58" s="148">
        <f t="shared" si="83"/>
        <v>5.9925093632958806</v>
      </c>
      <c r="S58" s="148">
        <f t="shared" si="84"/>
        <v>0.59925093632958804</v>
      </c>
      <c r="T58" s="148">
        <f t="shared" si="85"/>
        <v>5.9925093632958809E-2</v>
      </c>
      <c r="U58" s="148">
        <f t="shared" si="86"/>
        <v>5.9925093632958806</v>
      </c>
      <c r="V58" s="7">
        <f t="shared" si="87"/>
        <v>1000</v>
      </c>
      <c r="W58" s="7">
        <f t="shared" si="88"/>
        <v>1000000</v>
      </c>
      <c r="X58" s="1345">
        <f t="shared" si="89"/>
        <v>59.925093632958806</v>
      </c>
      <c r="Y58" s="1345">
        <f t="shared" si="90"/>
        <v>5992.5093632958806</v>
      </c>
    </row>
    <row r="59" spans="1:26" x14ac:dyDescent="0.2">
      <c r="A59" s="213" t="str">
        <f t="shared" ref="A59:B59" si="93">A339</f>
        <v>OMH</v>
      </c>
      <c r="B59" s="213" t="str">
        <f t="shared" si="93"/>
        <v>VSL100051</v>
      </c>
      <c r="C59" s="219">
        <f t="shared" si="69"/>
        <v>9993.8000000000011</v>
      </c>
      <c r="D59" s="219">
        <f t="shared" si="70"/>
        <v>5.1000000000000005</v>
      </c>
      <c r="E59" s="219">
        <f t="shared" si="71"/>
        <v>9983</v>
      </c>
      <c r="F59" s="219">
        <f t="shared" si="72"/>
        <v>12.658227848101266</v>
      </c>
      <c r="G59" s="219">
        <f t="shared" si="73"/>
        <v>-11</v>
      </c>
      <c r="H59" s="219">
        <f t="shared" si="74"/>
        <v>27</v>
      </c>
      <c r="I59" s="155">
        <f t="shared" si="75"/>
        <v>0</v>
      </c>
      <c r="J59" s="155">
        <f t="shared" si="76"/>
        <v>0</v>
      </c>
      <c r="K59" s="155">
        <f t="shared" si="77"/>
        <v>25.316455696202532</v>
      </c>
      <c r="L59" s="155">
        <f t="shared" si="78"/>
        <v>10</v>
      </c>
      <c r="M59" s="156">
        <f t="shared" si="79"/>
        <v>0.25332161636417111</v>
      </c>
      <c r="N59" s="157">
        <f t="shared" si="80"/>
        <v>2.5332161636417112E-2</v>
      </c>
      <c r="O59" s="155">
        <f t="shared" si="81"/>
        <v>100</v>
      </c>
      <c r="P59" s="250">
        <v>1</v>
      </c>
      <c r="Q59" s="250">
        <v>1000</v>
      </c>
      <c r="R59" s="148">
        <f t="shared" si="83"/>
        <v>2.5332161636417112</v>
      </c>
      <c r="S59" s="148">
        <f t="shared" si="84"/>
        <v>0.25332161636417111</v>
      </c>
      <c r="T59" s="148">
        <f t="shared" si="85"/>
        <v>2.5332161636417112E-2</v>
      </c>
      <c r="U59" s="148">
        <f t="shared" si="86"/>
        <v>2.5332161636417112</v>
      </c>
      <c r="V59" s="7">
        <f t="shared" si="87"/>
        <v>1000</v>
      </c>
      <c r="W59" s="7">
        <f t="shared" si="88"/>
        <v>1000000</v>
      </c>
      <c r="X59" s="1345">
        <f t="shared" si="89"/>
        <v>25.332161636417112</v>
      </c>
      <c r="Y59" s="1345">
        <f t="shared" si="90"/>
        <v>2533.2161636417113</v>
      </c>
    </row>
    <row r="60" spans="1:26" x14ac:dyDescent="0.2">
      <c r="A60" s="213" t="str">
        <f t="shared" ref="A60:B60" si="94">A340</f>
        <v>LNE</v>
      </c>
      <c r="B60" s="213" t="str">
        <f t="shared" si="94"/>
        <v>VSL124466</v>
      </c>
      <c r="C60" s="219">
        <f t="shared" si="69"/>
        <v>9984.4</v>
      </c>
      <c r="D60" s="219">
        <f t="shared" si="70"/>
        <v>5.1000000000000005</v>
      </c>
      <c r="E60" s="219">
        <f t="shared" si="71"/>
        <v>9981</v>
      </c>
      <c r="F60" s="219">
        <f t="shared" si="72"/>
        <v>11.999999999999998</v>
      </c>
      <c r="G60" s="219">
        <f t="shared" si="73"/>
        <v>-2.9999999999999996</v>
      </c>
      <c r="H60" s="219">
        <f t="shared" si="74"/>
        <v>26</v>
      </c>
      <c r="I60" s="155">
        <f t="shared" si="75"/>
        <v>0</v>
      </c>
      <c r="J60" s="155">
        <f t="shared" si="76"/>
        <v>0</v>
      </c>
      <c r="K60" s="155">
        <f t="shared" si="77"/>
        <v>23.999999999999996</v>
      </c>
      <c r="L60" s="155">
        <f t="shared" si="78"/>
        <v>10</v>
      </c>
      <c r="M60" s="156">
        <f t="shared" si="79"/>
        <v>0.24037498497656343</v>
      </c>
      <c r="N60" s="157">
        <f t="shared" si="80"/>
        <v>2.4037498497656341E-2</v>
      </c>
      <c r="O60" s="155">
        <f t="shared" si="81"/>
        <v>100</v>
      </c>
      <c r="P60" s="250">
        <v>1</v>
      </c>
      <c r="Q60" s="250">
        <v>1000</v>
      </c>
      <c r="R60" s="148">
        <f t="shared" si="83"/>
        <v>2.4037498497656342</v>
      </c>
      <c r="S60" s="148">
        <f t="shared" si="84"/>
        <v>0.24037498497656343</v>
      </c>
      <c r="T60" s="148">
        <f t="shared" si="85"/>
        <v>2.4037498497656344E-2</v>
      </c>
      <c r="U60" s="148">
        <f t="shared" si="86"/>
        <v>2.4037498497656347</v>
      </c>
      <c r="V60" s="7">
        <f t="shared" si="87"/>
        <v>1000</v>
      </c>
      <c r="W60" s="7">
        <f t="shared" si="88"/>
        <v>1000000</v>
      </c>
      <c r="X60" s="1345">
        <f t="shared" si="89"/>
        <v>24.037498497656344</v>
      </c>
      <c r="Y60" s="1345">
        <f t="shared" si="90"/>
        <v>2403.7498497656347</v>
      </c>
    </row>
    <row r="61" spans="1:26" x14ac:dyDescent="0.2">
      <c r="A61" s="213" t="str">
        <f t="shared" ref="A61:B61" si="95">A341</f>
        <v>NMi VSL</v>
      </c>
      <c r="B61" s="213" t="str">
        <f t="shared" si="95"/>
        <v>VSL226686</v>
      </c>
      <c r="C61" s="219">
        <f t="shared" si="69"/>
        <v>9993.3000000000011</v>
      </c>
      <c r="D61" s="219">
        <f t="shared" si="70"/>
        <v>8.1999999999999993</v>
      </c>
      <c r="E61" s="219">
        <f t="shared" si="71"/>
        <v>9999</v>
      </c>
      <c r="F61" s="219">
        <f t="shared" si="72"/>
        <v>13.5</v>
      </c>
      <c r="G61" s="219">
        <f t="shared" si="73"/>
        <v>5.9999999999999991</v>
      </c>
      <c r="H61" s="219">
        <f t="shared" si="74"/>
        <v>32</v>
      </c>
      <c r="I61" s="155">
        <f t="shared" si="75"/>
        <v>0</v>
      </c>
      <c r="J61" s="155">
        <f t="shared" si="76"/>
        <v>0</v>
      </c>
      <c r="K61" s="155">
        <f t="shared" si="77"/>
        <v>27</v>
      </c>
      <c r="L61" s="155">
        <f t="shared" si="78"/>
        <v>10</v>
      </c>
      <c r="M61" s="156">
        <f t="shared" si="79"/>
        <v>0.27018102128426047</v>
      </c>
      <c r="N61" s="157">
        <f t="shared" si="80"/>
        <v>2.701810212842605E-2</v>
      </c>
      <c r="O61" s="155">
        <f t="shared" si="81"/>
        <v>100</v>
      </c>
      <c r="P61" s="250">
        <v>1</v>
      </c>
      <c r="Q61" s="250">
        <v>1000</v>
      </c>
      <c r="R61" s="148">
        <f t="shared" si="83"/>
        <v>2.7018102128426049</v>
      </c>
      <c r="S61" s="148">
        <f t="shared" si="84"/>
        <v>0.27018102128426047</v>
      </c>
      <c r="T61" s="148">
        <f t="shared" si="85"/>
        <v>2.701810212842605E-2</v>
      </c>
      <c r="U61" s="148">
        <f t="shared" si="86"/>
        <v>2.7018102128426045</v>
      </c>
      <c r="V61" s="7">
        <f t="shared" si="87"/>
        <v>1000</v>
      </c>
      <c r="W61" s="7">
        <f t="shared" si="88"/>
        <v>1000000</v>
      </c>
      <c r="X61" s="1345">
        <f t="shared" si="89"/>
        <v>27.018102128426051</v>
      </c>
      <c r="Y61" s="1345">
        <f t="shared" si="90"/>
        <v>2701.8102128426044</v>
      </c>
    </row>
    <row r="62" spans="1:26" x14ac:dyDescent="0.2">
      <c r="A62" s="213" t="str">
        <f t="shared" ref="A62:B62" si="96">A342</f>
        <v>CENAM</v>
      </c>
      <c r="B62" s="213" t="str">
        <f t="shared" si="96"/>
        <v>VSL126717</v>
      </c>
      <c r="C62" s="219">
        <f t="shared" si="69"/>
        <v>10009.5</v>
      </c>
      <c r="D62" s="219">
        <f t="shared" si="70"/>
        <v>5.1000000000000005</v>
      </c>
      <c r="E62" s="219">
        <f t="shared" si="71"/>
        <v>10009.999999999998</v>
      </c>
      <c r="F62" s="219">
        <f t="shared" si="72"/>
        <v>32.5</v>
      </c>
      <c r="G62" s="219">
        <f t="shared" si="73"/>
        <v>0</v>
      </c>
      <c r="H62" s="219">
        <f t="shared" si="74"/>
        <v>66</v>
      </c>
      <c r="I62" s="155">
        <f t="shared" si="75"/>
        <v>0</v>
      </c>
      <c r="J62" s="155">
        <f t="shared" si="76"/>
        <v>0</v>
      </c>
      <c r="K62" s="155">
        <f t="shared" si="77"/>
        <v>65</v>
      </c>
      <c r="L62" s="155">
        <f t="shared" si="78"/>
        <v>10</v>
      </c>
      <c r="M62" s="156">
        <f t="shared" si="79"/>
        <v>0.64938308606823514</v>
      </c>
      <c r="N62" s="157">
        <f t="shared" si="80"/>
        <v>6.4938308606823508E-2</v>
      </c>
      <c r="O62" s="155">
        <f t="shared" si="81"/>
        <v>100</v>
      </c>
      <c r="P62" s="250">
        <v>1</v>
      </c>
      <c r="Q62" s="250">
        <v>1000</v>
      </c>
      <c r="R62" s="148">
        <f t="shared" si="83"/>
        <v>6.4938308606823512</v>
      </c>
      <c r="S62" s="148">
        <f t="shared" si="84"/>
        <v>0.64938308606823514</v>
      </c>
      <c r="T62" s="148">
        <f t="shared" si="85"/>
        <v>6.4938308606823508E-2</v>
      </c>
      <c r="U62" s="148">
        <f t="shared" si="86"/>
        <v>6.4938308606823512</v>
      </c>
      <c r="V62" s="7">
        <f t="shared" si="87"/>
        <v>1000</v>
      </c>
      <c r="W62" s="7">
        <f t="shared" si="88"/>
        <v>1000000</v>
      </c>
      <c r="X62" s="1345">
        <f t="shared" si="89"/>
        <v>64.938308606823512</v>
      </c>
      <c r="Y62" s="1345">
        <f t="shared" si="90"/>
        <v>6493.8308606823512</v>
      </c>
    </row>
    <row r="63" spans="1:26" x14ac:dyDescent="0.2">
      <c r="A63" s="213" t="str">
        <f t="shared" ref="A63:B63" si="97">A343</f>
        <v>CEM</v>
      </c>
      <c r="B63" s="213" t="str">
        <f t="shared" si="97"/>
        <v>VSL100066</v>
      </c>
      <c r="C63" s="219">
        <f t="shared" si="69"/>
        <v>9975.9</v>
      </c>
      <c r="D63" s="219">
        <f t="shared" si="70"/>
        <v>5.1000000000000005</v>
      </c>
      <c r="E63" s="219">
        <f t="shared" si="71"/>
        <v>9963</v>
      </c>
      <c r="F63" s="219">
        <f t="shared" si="72"/>
        <v>32</v>
      </c>
      <c r="G63" s="219">
        <f t="shared" si="73"/>
        <v>-13</v>
      </c>
      <c r="H63" s="219">
        <f t="shared" si="74"/>
        <v>65</v>
      </c>
      <c r="I63" s="155">
        <f t="shared" si="75"/>
        <v>0</v>
      </c>
      <c r="J63" s="155">
        <f t="shared" si="76"/>
        <v>0</v>
      </c>
      <c r="K63" s="155">
        <f t="shared" si="77"/>
        <v>64</v>
      </c>
      <c r="L63" s="155">
        <f t="shared" si="78"/>
        <v>10</v>
      </c>
      <c r="M63" s="156">
        <f t="shared" si="79"/>
        <v>0.64154612616405537</v>
      </c>
      <c r="N63" s="157">
        <f t="shared" si="80"/>
        <v>6.4154612616405537E-2</v>
      </c>
      <c r="O63" s="155">
        <f t="shared" si="81"/>
        <v>100</v>
      </c>
      <c r="P63" s="250">
        <v>1</v>
      </c>
      <c r="Q63" s="250">
        <v>1000</v>
      </c>
      <c r="R63" s="148">
        <f t="shared" si="83"/>
        <v>6.4154612616405533</v>
      </c>
      <c r="S63" s="148">
        <f t="shared" si="84"/>
        <v>0.64154612616405537</v>
      </c>
      <c r="T63" s="148">
        <f t="shared" si="85"/>
        <v>6.4154612616405537E-2</v>
      </c>
      <c r="U63" s="148">
        <f t="shared" si="86"/>
        <v>6.4154612616405542</v>
      </c>
      <c r="V63" s="7">
        <f t="shared" si="87"/>
        <v>1000</v>
      </c>
      <c r="W63" s="7">
        <f t="shared" si="88"/>
        <v>1000000</v>
      </c>
      <c r="X63" s="1345">
        <f t="shared" si="89"/>
        <v>64.154612616405544</v>
      </c>
      <c r="Y63" s="1345">
        <f t="shared" si="90"/>
        <v>6415.4612616405539</v>
      </c>
    </row>
    <row r="64" spans="1:26" x14ac:dyDescent="0.2">
      <c r="A64" s="213" t="str">
        <f t="shared" ref="A64:B64" si="98">A344</f>
        <v>BAM</v>
      </c>
      <c r="B64" s="213" t="str">
        <f t="shared" si="98"/>
        <v>VSL100042</v>
      </c>
      <c r="C64" s="219">
        <f t="shared" si="69"/>
        <v>9984.6999999999989</v>
      </c>
      <c r="D64" s="219">
        <f t="shared" si="70"/>
        <v>5.1000000000000005</v>
      </c>
      <c r="E64" s="219">
        <f t="shared" si="71"/>
        <v>9999</v>
      </c>
      <c r="F64" s="219">
        <f t="shared" si="72"/>
        <v>25</v>
      </c>
      <c r="G64" s="219">
        <f t="shared" si="73"/>
        <v>14</v>
      </c>
      <c r="H64" s="219">
        <f t="shared" si="74"/>
        <v>51.000000000000007</v>
      </c>
      <c r="I64" s="155">
        <f t="shared" si="75"/>
        <v>0</v>
      </c>
      <c r="J64" s="155">
        <f t="shared" si="76"/>
        <v>0</v>
      </c>
      <c r="K64" s="155">
        <f t="shared" si="77"/>
        <v>50</v>
      </c>
      <c r="L64" s="155">
        <f t="shared" si="78"/>
        <v>10</v>
      </c>
      <c r="M64" s="156">
        <f t="shared" si="79"/>
        <v>0.5007661722435327</v>
      </c>
      <c r="N64" s="157">
        <f t="shared" si="80"/>
        <v>5.0076617224353276E-2</v>
      </c>
      <c r="O64" s="155">
        <f t="shared" si="81"/>
        <v>100</v>
      </c>
      <c r="P64" s="250">
        <v>1</v>
      </c>
      <c r="Q64" s="250">
        <v>1000</v>
      </c>
      <c r="R64" s="148">
        <f t="shared" si="83"/>
        <v>5.0076617224353273</v>
      </c>
      <c r="S64" s="148">
        <f t="shared" si="84"/>
        <v>0.5007661722435327</v>
      </c>
      <c r="T64" s="148">
        <f t="shared" si="85"/>
        <v>5.0076617224353276E-2</v>
      </c>
      <c r="U64" s="148">
        <f t="shared" si="86"/>
        <v>5.0076617224353273</v>
      </c>
      <c r="V64" s="7">
        <f t="shared" si="87"/>
        <v>1000</v>
      </c>
      <c r="W64" s="7">
        <f t="shared" si="88"/>
        <v>1000000</v>
      </c>
      <c r="X64" s="1345">
        <f t="shared" si="89"/>
        <v>50.076617224353278</v>
      </c>
      <c r="Y64" s="1345">
        <f t="shared" si="90"/>
        <v>5007.6617224353276</v>
      </c>
    </row>
    <row r="65" spans="1:26" x14ac:dyDescent="0.2">
      <c r="A65" s="213" t="str">
        <f t="shared" ref="A65:B65" si="99">A345</f>
        <v>NMIA</v>
      </c>
      <c r="B65" s="213" t="str">
        <f t="shared" si="99"/>
        <v>VSL126712</v>
      </c>
      <c r="C65" s="219">
        <f t="shared" si="69"/>
        <v>10004.299999999999</v>
      </c>
      <c r="D65" s="219">
        <f t="shared" si="70"/>
        <v>5.1000000000000005</v>
      </c>
      <c r="E65" s="219">
        <f t="shared" si="71"/>
        <v>10000</v>
      </c>
      <c r="F65" s="219">
        <f t="shared" si="72"/>
        <v>9.1743119266055047</v>
      </c>
      <c r="G65" s="219">
        <f t="shared" si="73"/>
        <v>-4</v>
      </c>
      <c r="H65" s="219">
        <f t="shared" si="74"/>
        <v>21</v>
      </c>
      <c r="I65" s="155">
        <f t="shared" si="75"/>
        <v>0</v>
      </c>
      <c r="J65" s="155">
        <f t="shared" si="76"/>
        <v>0</v>
      </c>
      <c r="K65" s="155">
        <f t="shared" si="77"/>
        <v>18.348623853211009</v>
      </c>
      <c r="L65" s="155">
        <f t="shared" si="78"/>
        <v>10</v>
      </c>
      <c r="M65" s="156">
        <f t="shared" si="79"/>
        <v>0.18340737336156465</v>
      </c>
      <c r="N65" s="157">
        <f t="shared" si="80"/>
        <v>1.8340737336156467E-2</v>
      </c>
      <c r="O65" s="155">
        <f t="shared" si="81"/>
        <v>100</v>
      </c>
      <c r="P65" s="250">
        <v>1</v>
      </c>
      <c r="Q65" s="250">
        <v>1000</v>
      </c>
      <c r="R65" s="148">
        <f t="shared" si="83"/>
        <v>1.8340737336156465</v>
      </c>
      <c r="S65" s="148">
        <f t="shared" si="84"/>
        <v>0.18340737336156465</v>
      </c>
      <c r="T65" s="148">
        <f t="shared" si="85"/>
        <v>1.8340737336156467E-2</v>
      </c>
      <c r="U65" s="148">
        <f t="shared" si="86"/>
        <v>1.8340737336156465</v>
      </c>
      <c r="V65" s="7">
        <f t="shared" si="87"/>
        <v>1000</v>
      </c>
      <c r="W65" s="7">
        <f t="shared" si="88"/>
        <v>1000000</v>
      </c>
      <c r="X65" s="1345">
        <f t="shared" si="89"/>
        <v>18.340737336156465</v>
      </c>
      <c r="Y65" s="1345">
        <f t="shared" si="90"/>
        <v>1834.0737336156465</v>
      </c>
    </row>
    <row r="66" spans="1:26" x14ac:dyDescent="0.2">
      <c r="A66" s="213" t="str">
        <f t="shared" ref="A66:B66" si="100">A346</f>
        <v>IPQ</v>
      </c>
      <c r="B66" s="213" t="str">
        <f t="shared" si="100"/>
        <v>VSL100038</v>
      </c>
      <c r="C66" s="219">
        <f t="shared" si="69"/>
        <v>9992.9</v>
      </c>
      <c r="D66" s="219">
        <f t="shared" si="70"/>
        <v>5.1000000000000005</v>
      </c>
      <c r="E66" s="219">
        <f t="shared" si="71"/>
        <v>10100</v>
      </c>
      <c r="F66" s="219">
        <f t="shared" si="72"/>
        <v>50</v>
      </c>
      <c r="G66" s="219">
        <f t="shared" si="73"/>
        <v>107</v>
      </c>
      <c r="H66" s="219">
        <f t="shared" si="74"/>
        <v>101</v>
      </c>
      <c r="I66" s="155">
        <f t="shared" si="75"/>
        <v>1</v>
      </c>
      <c r="J66" s="155">
        <f t="shared" si="76"/>
        <v>107.10000000000036</v>
      </c>
      <c r="K66" s="155">
        <f t="shared" si="77"/>
        <v>236.39297789909139</v>
      </c>
      <c r="L66" s="155">
        <f t="shared" si="78"/>
        <v>10</v>
      </c>
      <c r="M66" s="156">
        <f t="shared" si="79"/>
        <v>2.3656093616376768</v>
      </c>
      <c r="N66" s="157">
        <f t="shared" si="80"/>
        <v>0.23656093616376769</v>
      </c>
      <c r="O66" s="155">
        <f t="shared" si="81"/>
        <v>100</v>
      </c>
      <c r="P66" s="250">
        <v>1</v>
      </c>
      <c r="Q66" s="250">
        <v>1000</v>
      </c>
      <c r="R66" s="148">
        <f t="shared" si="83"/>
        <v>23.656093616376769</v>
      </c>
      <c r="S66" s="148">
        <f t="shared" si="84"/>
        <v>2.3656093616376768</v>
      </c>
      <c r="T66" s="148">
        <f t="shared" si="85"/>
        <v>0.23656093616376769</v>
      </c>
      <c r="U66" s="148">
        <f t="shared" si="86"/>
        <v>23.656093616376765</v>
      </c>
      <c r="V66" s="7">
        <f t="shared" si="87"/>
        <v>1000</v>
      </c>
      <c r="W66" s="7">
        <f t="shared" si="88"/>
        <v>1000000</v>
      </c>
      <c r="X66" s="1345">
        <f t="shared" si="89"/>
        <v>236.56093616376771</v>
      </c>
      <c r="Y66" s="1345">
        <f t="shared" si="90"/>
        <v>23656.093616376766</v>
      </c>
    </row>
    <row r="67" spans="1:26" x14ac:dyDescent="0.2">
      <c r="A67" s="213" t="str">
        <f t="shared" ref="A67:B67" si="101">A347</f>
        <v>INMETRO</v>
      </c>
      <c r="B67" s="213" t="str">
        <f t="shared" si="101"/>
        <v>VSL100041</v>
      </c>
      <c r="C67" s="219">
        <f t="shared" si="69"/>
        <v>9975.1999999999989</v>
      </c>
      <c r="D67" s="219">
        <f t="shared" si="70"/>
        <v>5.1000000000000005</v>
      </c>
      <c r="E67" s="219">
        <f t="shared" si="71"/>
        <v>10089.999999999998</v>
      </c>
      <c r="F67" s="219">
        <f t="shared" si="72"/>
        <v>85</v>
      </c>
      <c r="G67" s="219">
        <f t="shared" si="73"/>
        <v>115</v>
      </c>
      <c r="H67" s="219">
        <f t="shared" si="74"/>
        <v>170</v>
      </c>
      <c r="I67" s="155">
        <f t="shared" si="75"/>
        <v>0</v>
      </c>
      <c r="J67" s="155">
        <f t="shared" si="76"/>
        <v>0</v>
      </c>
      <c r="K67" s="155">
        <f t="shared" si="77"/>
        <v>170</v>
      </c>
      <c r="L67" s="155">
        <f t="shared" si="78"/>
        <v>10</v>
      </c>
      <c r="M67" s="156">
        <f t="shared" si="79"/>
        <v>1.7042264816745529</v>
      </c>
      <c r="N67" s="157">
        <f t="shared" si="80"/>
        <v>0.17042264816745528</v>
      </c>
      <c r="O67" s="155">
        <f t="shared" si="81"/>
        <v>100</v>
      </c>
      <c r="P67" s="250">
        <v>1</v>
      </c>
      <c r="Q67" s="250">
        <v>1000</v>
      </c>
      <c r="R67" s="148">
        <f t="shared" si="83"/>
        <v>17.042264816745529</v>
      </c>
      <c r="S67" s="148">
        <f t="shared" si="84"/>
        <v>1.7042264816745529</v>
      </c>
      <c r="T67" s="148">
        <f t="shared" si="85"/>
        <v>0.17042264816745531</v>
      </c>
      <c r="U67" s="148">
        <f t="shared" si="86"/>
        <v>17.042264816745529</v>
      </c>
      <c r="V67" s="7">
        <f t="shared" si="87"/>
        <v>1000</v>
      </c>
      <c r="W67" s="7">
        <f t="shared" si="88"/>
        <v>1000000</v>
      </c>
      <c r="X67" s="1345">
        <f t="shared" si="89"/>
        <v>170.42264816745532</v>
      </c>
      <c r="Y67" s="1345">
        <f t="shared" si="90"/>
        <v>17042.26481674553</v>
      </c>
    </row>
    <row r="68" spans="1:26" x14ac:dyDescent="0.2">
      <c r="A68" s="213" t="str">
        <f t="shared" ref="A68:B68" si="102">A348</f>
        <v>GUM</v>
      </c>
      <c r="B68" s="213" t="str">
        <f t="shared" si="102"/>
        <v>VSL100044</v>
      </c>
      <c r="C68" s="219">
        <f t="shared" si="69"/>
        <v>9992.4</v>
      </c>
      <c r="D68" s="219">
        <f t="shared" si="70"/>
        <v>5.1000000000000005</v>
      </c>
      <c r="E68" s="219">
        <f t="shared" si="71"/>
        <v>9996</v>
      </c>
      <c r="F68" s="219">
        <f t="shared" si="72"/>
        <v>25</v>
      </c>
      <c r="G68" s="219">
        <f t="shared" si="73"/>
        <v>4</v>
      </c>
      <c r="H68" s="219">
        <f t="shared" si="74"/>
        <v>51.000000000000007</v>
      </c>
      <c r="I68" s="155">
        <f t="shared" si="75"/>
        <v>0</v>
      </c>
      <c r="J68" s="155">
        <f t="shared" si="76"/>
        <v>0</v>
      </c>
      <c r="K68" s="155">
        <f t="shared" si="77"/>
        <v>50</v>
      </c>
      <c r="L68" s="155">
        <f t="shared" si="78"/>
        <v>10</v>
      </c>
      <c r="M68" s="156">
        <f t="shared" si="79"/>
        <v>0.50038028901965492</v>
      </c>
      <c r="N68" s="157">
        <f t="shared" si="80"/>
        <v>5.0038028901965494E-2</v>
      </c>
      <c r="O68" s="155">
        <f t="shared" si="81"/>
        <v>100</v>
      </c>
      <c r="P68" s="250">
        <v>1</v>
      </c>
      <c r="Q68" s="250">
        <v>1000</v>
      </c>
      <c r="R68" s="148">
        <f t="shared" si="83"/>
        <v>5.0038028901965497</v>
      </c>
      <c r="S68" s="148">
        <f t="shared" si="84"/>
        <v>0.50038028901965492</v>
      </c>
      <c r="T68" s="148">
        <f t="shared" si="85"/>
        <v>5.0038028901965501E-2</v>
      </c>
      <c r="U68" s="148">
        <f t="shared" si="86"/>
        <v>5.0038028901965497</v>
      </c>
      <c r="V68" s="7">
        <f t="shared" si="87"/>
        <v>1000</v>
      </c>
      <c r="W68" s="7">
        <f t="shared" si="88"/>
        <v>1000000</v>
      </c>
      <c r="X68" s="1345">
        <f t="shared" si="89"/>
        <v>50.038028901965504</v>
      </c>
      <c r="Y68" s="1345">
        <f t="shared" si="90"/>
        <v>5003.8028901965499</v>
      </c>
    </row>
    <row r="69" spans="1:26" x14ac:dyDescent="0.2">
      <c r="A69" s="213" t="str">
        <f t="shared" ref="A69:B69" si="103">A349</f>
        <v>NRCCRM</v>
      </c>
      <c r="B69" s="213" t="str">
        <f t="shared" si="103"/>
        <v>VSL126730</v>
      </c>
      <c r="C69" s="219">
        <f t="shared" si="69"/>
        <v>10044.1</v>
      </c>
      <c r="D69" s="219">
        <f t="shared" si="70"/>
        <v>5.1999999999999993</v>
      </c>
      <c r="E69" s="219">
        <f t="shared" si="71"/>
        <v>10049.999999999998</v>
      </c>
      <c r="F69" s="219">
        <f t="shared" si="72"/>
        <v>75.5</v>
      </c>
      <c r="G69" s="219">
        <f t="shared" si="73"/>
        <v>5.9999999999999991</v>
      </c>
      <c r="H69" s="219">
        <f t="shared" si="74"/>
        <v>151</v>
      </c>
      <c r="I69" s="155">
        <f t="shared" si="75"/>
        <v>0</v>
      </c>
      <c r="J69" s="155">
        <f t="shared" si="76"/>
        <v>0</v>
      </c>
      <c r="K69" s="155">
        <f t="shared" si="77"/>
        <v>151</v>
      </c>
      <c r="L69" s="155">
        <f t="shared" si="78"/>
        <v>10</v>
      </c>
      <c r="M69" s="156">
        <f t="shared" si="79"/>
        <v>1.5033701376927748</v>
      </c>
      <c r="N69" s="157">
        <f t="shared" si="80"/>
        <v>0.15033701376927749</v>
      </c>
      <c r="O69" s="155">
        <f t="shared" si="81"/>
        <v>100</v>
      </c>
      <c r="P69" s="250">
        <v>1</v>
      </c>
      <c r="Q69" s="250">
        <v>1000</v>
      </c>
      <c r="R69" s="148">
        <f t="shared" si="83"/>
        <v>15.033701376927748</v>
      </c>
      <c r="S69" s="148">
        <f t="shared" si="84"/>
        <v>1.5033701376927748</v>
      </c>
      <c r="T69" s="148">
        <f t="shared" si="85"/>
        <v>0.15033701376927749</v>
      </c>
      <c r="U69" s="148">
        <f t="shared" si="86"/>
        <v>15.033701376927748</v>
      </c>
      <c r="V69" s="7">
        <f t="shared" si="87"/>
        <v>1000</v>
      </c>
      <c r="W69" s="7">
        <f t="shared" si="88"/>
        <v>1000000</v>
      </c>
      <c r="X69" s="1345">
        <f t="shared" si="89"/>
        <v>150.33701376927749</v>
      </c>
      <c r="Y69" s="1345">
        <f t="shared" si="90"/>
        <v>15033.701376927749</v>
      </c>
    </row>
    <row r="70" spans="1:26" x14ac:dyDescent="0.2">
      <c r="A70" s="213" t="str">
        <f t="shared" ref="A70:B70" si="104">A350</f>
        <v>KRISS</v>
      </c>
      <c r="B70" s="213" t="str">
        <f t="shared" si="104"/>
        <v>VSL126709</v>
      </c>
      <c r="C70" s="219">
        <f t="shared" si="69"/>
        <v>10050.6</v>
      </c>
      <c r="D70" s="219">
        <f t="shared" si="70"/>
        <v>5.1999999999999993</v>
      </c>
      <c r="E70" s="219">
        <f t="shared" si="71"/>
        <v>10042</v>
      </c>
      <c r="F70" s="219">
        <f t="shared" si="72"/>
        <v>28.5</v>
      </c>
      <c r="G70" s="219">
        <f t="shared" si="73"/>
        <v>-9</v>
      </c>
      <c r="H70" s="219">
        <f t="shared" si="74"/>
        <v>57.999999999999993</v>
      </c>
      <c r="I70" s="155">
        <f t="shared" si="75"/>
        <v>0</v>
      </c>
      <c r="J70" s="155">
        <f t="shared" si="76"/>
        <v>0</v>
      </c>
      <c r="K70" s="155">
        <f t="shared" si="77"/>
        <v>57</v>
      </c>
      <c r="L70" s="155">
        <f t="shared" si="78"/>
        <v>10</v>
      </c>
      <c r="M70" s="156">
        <f t="shared" si="79"/>
        <v>0.56713032057787593</v>
      </c>
      <c r="N70" s="157">
        <f t="shared" si="80"/>
        <v>5.6713032057787591E-2</v>
      </c>
      <c r="O70" s="155">
        <f t="shared" si="81"/>
        <v>100</v>
      </c>
      <c r="P70" s="250">
        <v>1</v>
      </c>
      <c r="Q70" s="250">
        <v>1000</v>
      </c>
      <c r="R70" s="148">
        <f t="shared" si="83"/>
        <v>5.6713032057787593</v>
      </c>
      <c r="S70" s="148">
        <f t="shared" si="84"/>
        <v>0.56713032057787593</v>
      </c>
      <c r="T70" s="148">
        <f t="shared" si="85"/>
        <v>5.6713032057787598E-2</v>
      </c>
      <c r="U70" s="148">
        <f t="shared" si="86"/>
        <v>5.6713032057787602</v>
      </c>
      <c r="V70" s="7">
        <f t="shared" si="87"/>
        <v>1000</v>
      </c>
      <c r="W70" s="7">
        <f t="shared" si="88"/>
        <v>1000000</v>
      </c>
      <c r="X70" s="1345">
        <f t="shared" si="89"/>
        <v>56.713032057787601</v>
      </c>
      <c r="Y70" s="1345">
        <f t="shared" si="90"/>
        <v>5671.3032057787605</v>
      </c>
    </row>
    <row r="71" spans="1:26" ht="14.25" x14ac:dyDescent="0.2">
      <c r="H71" s="9"/>
      <c r="U71" s="152"/>
      <c r="V71" s="21"/>
      <c r="W71" s="21"/>
      <c r="X71" s="21"/>
      <c r="Y71" s="21"/>
      <c r="Z71" s="21"/>
    </row>
    <row r="72" spans="1:26" ht="15.75" x14ac:dyDescent="0.2">
      <c r="A72" s="103" t="str">
        <f>A352</f>
        <v>Carbon dioxide, mixture  III</v>
      </c>
      <c r="B72" s="97"/>
      <c r="C72" s="97"/>
      <c r="D72" s="97"/>
      <c r="E72" s="97"/>
      <c r="F72" s="97"/>
      <c r="G72" s="97"/>
      <c r="H72" s="97"/>
      <c r="I72" s="113"/>
      <c r="J72" s="113"/>
      <c r="K72" s="113"/>
      <c r="L72" s="113"/>
      <c r="M72" s="113"/>
      <c r="N72" s="113"/>
      <c r="O72" s="113"/>
      <c r="R72" s="113"/>
      <c r="S72" s="113"/>
      <c r="T72" s="146"/>
      <c r="U72" s="146"/>
    </row>
    <row r="73" spans="1:26" ht="102" x14ac:dyDescent="0.2">
      <c r="A73" s="211" t="s">
        <v>0</v>
      </c>
      <c r="B73" s="212" t="s">
        <v>1</v>
      </c>
      <c r="C73" s="212" t="s">
        <v>133</v>
      </c>
      <c r="D73" s="212" t="s">
        <v>199</v>
      </c>
      <c r="E73" s="212" t="s">
        <v>135</v>
      </c>
      <c r="F73" s="212" t="s">
        <v>200</v>
      </c>
      <c r="G73" s="212" t="s">
        <v>137</v>
      </c>
      <c r="H73" s="212" t="s">
        <v>201</v>
      </c>
      <c r="I73" s="104" t="s">
        <v>8</v>
      </c>
      <c r="J73" s="104" t="s">
        <v>9</v>
      </c>
      <c r="K73" s="104" t="s">
        <v>107</v>
      </c>
      <c r="L73" s="104" t="s">
        <v>14</v>
      </c>
      <c r="M73" s="104" t="s">
        <v>1057</v>
      </c>
      <c r="N73" s="104" t="s">
        <v>1058</v>
      </c>
      <c r="O73" s="104" t="s">
        <v>100</v>
      </c>
      <c r="P73" s="6" t="s">
        <v>105</v>
      </c>
      <c r="Q73" s="6" t="s">
        <v>106</v>
      </c>
      <c r="R73" s="104" t="s">
        <v>1051</v>
      </c>
      <c r="S73" s="104" t="s">
        <v>1052</v>
      </c>
      <c r="T73" s="147" t="s">
        <v>1053</v>
      </c>
      <c r="U73" s="147" t="s">
        <v>1054</v>
      </c>
      <c r="V73" s="5" t="s">
        <v>101</v>
      </c>
      <c r="W73" s="5" t="s">
        <v>102</v>
      </c>
      <c r="X73" s="112" t="s">
        <v>1055</v>
      </c>
      <c r="Y73" s="112" t="s">
        <v>1056</v>
      </c>
    </row>
    <row r="74" spans="1:26" x14ac:dyDescent="0.2">
      <c r="A74" s="213" t="str">
        <f>A354</f>
        <v>NPL</v>
      </c>
      <c r="B74" s="213" t="str">
        <f>B354</f>
        <v>VSL206333</v>
      </c>
      <c r="C74" s="219">
        <f t="shared" ref="C74:C89" si="105">C354*10000</f>
        <v>5011</v>
      </c>
      <c r="D74" s="219">
        <f t="shared" ref="D74:D89" si="106">F354*10000</f>
        <v>4.2</v>
      </c>
      <c r="E74" s="219">
        <f t="shared" ref="E74:E89" si="107">G354*10000</f>
        <v>5010</v>
      </c>
      <c r="F74" s="219">
        <f t="shared" ref="F74:F89" si="108">H354/I354*10000</f>
        <v>5</v>
      </c>
      <c r="G74" s="219">
        <f t="shared" ref="G74:G89" si="109">J354*10000</f>
        <v>0</v>
      </c>
      <c r="H74" s="219">
        <f t="shared" ref="H74:H89" si="110">L354*10000</f>
        <v>11.999999999999998</v>
      </c>
      <c r="I74" s="155">
        <f t="shared" ref="I74:I89" si="111">IF(ABS(G74)&gt;ABS(H74), 1, 0)</f>
        <v>0</v>
      </c>
      <c r="J74" s="155">
        <f t="shared" ref="J74:J89" si="112">I74*ABS(C74-E74)</f>
        <v>0</v>
      </c>
      <c r="K74" s="155">
        <f t="shared" ref="K74:K89" si="113">SQRT(SUMSQ(F74,J74))*2</f>
        <v>10</v>
      </c>
      <c r="L74" s="155">
        <f t="shared" ref="L74:L89" si="114">IF(C74&lt;$K$2, C74, $K$1)</f>
        <v>10</v>
      </c>
      <c r="M74" s="156">
        <f t="shared" ref="M74:M89" si="115">IF(AND(C74&lt;$K$1,C74&gt; $K$2), K74/L74*100, K74/C74*100)</f>
        <v>0.19956096587507482</v>
      </c>
      <c r="N74" s="157">
        <f t="shared" ref="N74:N89" si="116">M74*L74/100</f>
        <v>1.995609658750748E-2</v>
      </c>
      <c r="O74" s="155">
        <f t="shared" ref="O74:O89" si="117">N74/(M74*L74/100)*100</f>
        <v>100</v>
      </c>
      <c r="P74" s="250">
        <v>1</v>
      </c>
      <c r="Q74" s="250">
        <v>1000</v>
      </c>
      <c r="R74" s="148">
        <f>IF( IF(P74&lt;L74, M74*L74/P74, M74)&gt;100, "ERROR",  IF(P74&lt;L74, M74*L74/P74, M74))</f>
        <v>1.9956096587507481</v>
      </c>
      <c r="S74" s="148">
        <f>IF(IF(Q74&lt;L74, M74*L74/Q74, M74)&gt;100, "ERROR", IF(Q74&lt;L74, M74*L74/Q74, M74))</f>
        <v>0.19956096587507482</v>
      </c>
      <c r="T74" s="148">
        <f>R74*P74*0.01</f>
        <v>1.9956096587507483E-2</v>
      </c>
      <c r="U74" s="148">
        <f>S74*Q74*0.01</f>
        <v>1.9956096587507484</v>
      </c>
      <c r="V74" s="7">
        <f>P74*1000</f>
        <v>1000</v>
      </c>
      <c r="W74" s="7">
        <f>Q74*1000</f>
        <v>1000000</v>
      </c>
      <c r="X74" s="1345">
        <f>T74*1000</f>
        <v>19.956096587507485</v>
      </c>
      <c r="Y74" s="1345">
        <f>U74*1000</f>
        <v>1995.6096587507484</v>
      </c>
    </row>
    <row r="75" spans="1:26" x14ac:dyDescent="0.2">
      <c r="A75" s="213" t="str">
        <f t="shared" ref="A75:B75" si="118">A355</f>
        <v>SMU</v>
      </c>
      <c r="B75" s="213" t="str">
        <f t="shared" si="118"/>
        <v>VSL202622</v>
      </c>
      <c r="C75" s="219">
        <f t="shared" si="105"/>
        <v>5006.8999999999996</v>
      </c>
      <c r="D75" s="219">
        <f t="shared" si="106"/>
        <v>4.2</v>
      </c>
      <c r="E75" s="219">
        <f t="shared" si="107"/>
        <v>5050</v>
      </c>
      <c r="F75" s="219">
        <f t="shared" si="108"/>
        <v>15</v>
      </c>
      <c r="G75" s="219">
        <f t="shared" si="109"/>
        <v>42</v>
      </c>
      <c r="H75" s="219">
        <f t="shared" si="110"/>
        <v>26</v>
      </c>
      <c r="I75" s="155">
        <f t="shared" si="111"/>
        <v>1</v>
      </c>
      <c r="J75" s="155">
        <f t="shared" si="112"/>
        <v>43.100000000000364</v>
      </c>
      <c r="K75" s="155">
        <f t="shared" si="113"/>
        <v>91.271244102401312</v>
      </c>
      <c r="L75" s="155">
        <f t="shared" si="114"/>
        <v>10</v>
      </c>
      <c r="M75" s="156">
        <f t="shared" si="115"/>
        <v>1.8229092672592084</v>
      </c>
      <c r="N75" s="157">
        <f t="shared" si="116"/>
        <v>0.18229092672592084</v>
      </c>
      <c r="O75" s="155">
        <f t="shared" si="117"/>
        <v>100</v>
      </c>
      <c r="P75" s="250">
        <v>1</v>
      </c>
      <c r="Q75" s="250">
        <v>1000</v>
      </c>
      <c r="R75" s="148">
        <f t="shared" ref="R75:R89" si="119">IF( IF(P75&lt;L75, M75*L75/P75, M75)&gt;100, "ERROR",  IF(P75&lt;L75, M75*L75/P75, M75))</f>
        <v>18.229092672592085</v>
      </c>
      <c r="S75" s="148">
        <f t="shared" ref="S75:S89" si="120">IF(IF(Q75&lt;L75, M75*L75/Q75, M75)&gt;100, "ERROR", IF(Q75&lt;L75, M75*L75/Q75, M75))</f>
        <v>1.8229092672592084</v>
      </c>
      <c r="T75" s="148">
        <f t="shared" ref="T75:T89" si="121">R75*P75*0.01</f>
        <v>0.18229092672592084</v>
      </c>
      <c r="U75" s="148">
        <f t="shared" ref="U75:U89" si="122">S75*Q75*0.01</f>
        <v>18.229092672592085</v>
      </c>
      <c r="V75" s="7">
        <f t="shared" ref="V75:V89" si="123">P75*1000</f>
        <v>1000</v>
      </c>
      <c r="W75" s="7">
        <f t="shared" ref="W75:W89" si="124">Q75*1000</f>
        <v>1000000</v>
      </c>
      <c r="X75" s="1345">
        <f t="shared" ref="X75:X89" si="125">T75*1000</f>
        <v>182.29092672592085</v>
      </c>
      <c r="Y75" s="1345">
        <f t="shared" ref="Y75:Y89" si="126">U75*1000</f>
        <v>18229.092672592084</v>
      </c>
    </row>
    <row r="76" spans="1:26" x14ac:dyDescent="0.2">
      <c r="A76" s="213" t="str">
        <f t="shared" ref="A76:B76" si="127">A356</f>
        <v>CMI</v>
      </c>
      <c r="B76" s="213" t="str">
        <f t="shared" si="127"/>
        <v>VSL205133</v>
      </c>
      <c r="C76" s="219">
        <f t="shared" si="105"/>
        <v>5001.6000000000004</v>
      </c>
      <c r="D76" s="219">
        <f t="shared" si="106"/>
        <v>4.2</v>
      </c>
      <c r="E76" s="219">
        <f t="shared" si="107"/>
        <v>5060</v>
      </c>
      <c r="F76" s="219">
        <f t="shared" si="108"/>
        <v>35</v>
      </c>
      <c r="G76" s="219">
        <f t="shared" si="109"/>
        <v>57.999999999999993</v>
      </c>
      <c r="H76" s="219">
        <f t="shared" si="110"/>
        <v>70</v>
      </c>
      <c r="I76" s="155">
        <f t="shared" si="111"/>
        <v>0</v>
      </c>
      <c r="J76" s="155">
        <f t="shared" si="112"/>
        <v>0</v>
      </c>
      <c r="K76" s="155">
        <f t="shared" si="113"/>
        <v>70</v>
      </c>
      <c r="L76" s="155">
        <f t="shared" si="114"/>
        <v>10</v>
      </c>
      <c r="M76" s="156">
        <f t="shared" si="115"/>
        <v>1.3995521433141394</v>
      </c>
      <c r="N76" s="157">
        <f t="shared" si="116"/>
        <v>0.13995521433141392</v>
      </c>
      <c r="O76" s="155">
        <f t="shared" si="117"/>
        <v>100</v>
      </c>
      <c r="P76" s="250">
        <v>1</v>
      </c>
      <c r="Q76" s="250">
        <v>1000</v>
      </c>
      <c r="R76" s="148">
        <f t="shared" si="119"/>
        <v>13.995521433141393</v>
      </c>
      <c r="S76" s="148">
        <f t="shared" si="120"/>
        <v>1.3995521433141394</v>
      </c>
      <c r="T76" s="148">
        <f t="shared" si="121"/>
        <v>0.13995521433141395</v>
      </c>
      <c r="U76" s="148">
        <f t="shared" si="122"/>
        <v>13.995521433141393</v>
      </c>
      <c r="V76" s="7">
        <f t="shared" si="123"/>
        <v>1000</v>
      </c>
      <c r="W76" s="7">
        <f t="shared" si="124"/>
        <v>1000000</v>
      </c>
      <c r="X76" s="1345">
        <f t="shared" si="125"/>
        <v>139.95521433141394</v>
      </c>
      <c r="Y76" s="1345">
        <f t="shared" si="126"/>
        <v>13995.521433141394</v>
      </c>
    </row>
    <row r="77" spans="1:26" x14ac:dyDescent="0.2">
      <c r="A77" s="213" t="str">
        <f t="shared" ref="A77:B77" si="128">A357</f>
        <v>VNIIM</v>
      </c>
      <c r="B77" s="213" t="str">
        <f t="shared" si="128"/>
        <v>VSL202624</v>
      </c>
      <c r="C77" s="219">
        <f t="shared" si="105"/>
        <v>5009.2000000000007</v>
      </c>
      <c r="D77" s="219">
        <f t="shared" si="106"/>
        <v>4.2</v>
      </c>
      <c r="E77" s="219">
        <f t="shared" si="107"/>
        <v>4990</v>
      </c>
      <c r="F77" s="219">
        <f t="shared" si="108"/>
        <v>10</v>
      </c>
      <c r="G77" s="219">
        <f t="shared" si="109"/>
        <v>-19</v>
      </c>
      <c r="H77" s="219">
        <f t="shared" si="110"/>
        <v>22</v>
      </c>
      <c r="I77" s="155">
        <f t="shared" si="111"/>
        <v>0</v>
      </c>
      <c r="J77" s="155">
        <f t="shared" si="112"/>
        <v>0</v>
      </c>
      <c r="K77" s="155">
        <f t="shared" si="113"/>
        <v>20</v>
      </c>
      <c r="L77" s="155">
        <f t="shared" si="114"/>
        <v>10</v>
      </c>
      <c r="M77" s="156">
        <f t="shared" si="115"/>
        <v>0.39926535175277489</v>
      </c>
      <c r="N77" s="157">
        <f t="shared" si="116"/>
        <v>3.9926535175277486E-2</v>
      </c>
      <c r="O77" s="155">
        <f t="shared" si="117"/>
        <v>100</v>
      </c>
      <c r="P77" s="250">
        <v>1</v>
      </c>
      <c r="Q77" s="250">
        <v>1000</v>
      </c>
      <c r="R77" s="148">
        <f t="shared" si="119"/>
        <v>3.9926535175277489</v>
      </c>
      <c r="S77" s="148">
        <f t="shared" si="120"/>
        <v>0.39926535175277489</v>
      </c>
      <c r="T77" s="148">
        <f t="shared" si="121"/>
        <v>3.9926535175277493E-2</v>
      </c>
      <c r="U77" s="148">
        <f t="shared" si="122"/>
        <v>3.9926535175277493</v>
      </c>
      <c r="V77" s="7">
        <f t="shared" si="123"/>
        <v>1000</v>
      </c>
      <c r="W77" s="7">
        <f t="shared" si="124"/>
        <v>1000000</v>
      </c>
      <c r="X77" s="1345">
        <f t="shared" si="125"/>
        <v>39.926535175277493</v>
      </c>
      <c r="Y77" s="1345">
        <f t="shared" si="126"/>
        <v>3992.6535175277495</v>
      </c>
    </row>
    <row r="78" spans="1:26" x14ac:dyDescent="0.2">
      <c r="A78" s="213" t="str">
        <f t="shared" ref="A78:B78" si="129">A358</f>
        <v>OMH</v>
      </c>
      <c r="B78" s="213" t="str">
        <f t="shared" si="129"/>
        <v>VSL206344</v>
      </c>
      <c r="C78" s="219">
        <f t="shared" si="105"/>
        <v>5008.7000000000007</v>
      </c>
      <c r="D78" s="219">
        <f t="shared" si="106"/>
        <v>4.2</v>
      </c>
      <c r="E78" s="219">
        <f t="shared" si="107"/>
        <v>5010</v>
      </c>
      <c r="F78" s="219">
        <f t="shared" si="108"/>
        <v>8.6206896551724146</v>
      </c>
      <c r="G78" s="219">
        <f t="shared" si="109"/>
        <v>2.9999999999999996</v>
      </c>
      <c r="H78" s="219">
        <f t="shared" si="110"/>
        <v>15</v>
      </c>
      <c r="I78" s="155">
        <f t="shared" si="111"/>
        <v>0</v>
      </c>
      <c r="J78" s="155">
        <f t="shared" si="112"/>
        <v>0</v>
      </c>
      <c r="K78" s="155">
        <f t="shared" si="113"/>
        <v>17.241379310344829</v>
      </c>
      <c r="L78" s="155">
        <f t="shared" si="114"/>
        <v>10</v>
      </c>
      <c r="M78" s="156">
        <f t="shared" si="115"/>
        <v>0.34422862839349189</v>
      </c>
      <c r="N78" s="157">
        <f t="shared" si="116"/>
        <v>3.4422862839349186E-2</v>
      </c>
      <c r="O78" s="155">
        <f t="shared" si="117"/>
        <v>100</v>
      </c>
      <c r="P78" s="250">
        <v>1</v>
      </c>
      <c r="Q78" s="250">
        <v>1000</v>
      </c>
      <c r="R78" s="148">
        <f t="shared" si="119"/>
        <v>3.4422862839349189</v>
      </c>
      <c r="S78" s="148">
        <f t="shared" si="120"/>
        <v>0.34422862839349189</v>
      </c>
      <c r="T78" s="148">
        <f t="shared" si="121"/>
        <v>3.4422862839349193E-2</v>
      </c>
      <c r="U78" s="148">
        <f t="shared" si="122"/>
        <v>3.4422862839349189</v>
      </c>
      <c r="V78" s="7">
        <f t="shared" si="123"/>
        <v>1000</v>
      </c>
      <c r="W78" s="7">
        <f t="shared" si="124"/>
        <v>1000000</v>
      </c>
      <c r="X78" s="1345">
        <f t="shared" si="125"/>
        <v>34.422862839349193</v>
      </c>
      <c r="Y78" s="1345">
        <f t="shared" si="126"/>
        <v>3442.2862839349191</v>
      </c>
    </row>
    <row r="79" spans="1:26" x14ac:dyDescent="0.2">
      <c r="A79" s="213" t="str">
        <f t="shared" ref="A79:B79" si="130">A359</f>
        <v>LNE</v>
      </c>
      <c r="B79" s="213" t="str">
        <f t="shared" si="130"/>
        <v>VSL202614</v>
      </c>
      <c r="C79" s="219">
        <f t="shared" si="105"/>
        <v>4988.5</v>
      </c>
      <c r="D79" s="219">
        <f t="shared" si="106"/>
        <v>4.2</v>
      </c>
      <c r="E79" s="219">
        <f t="shared" si="107"/>
        <v>5000</v>
      </c>
      <c r="F79" s="219">
        <f t="shared" si="108"/>
        <v>10</v>
      </c>
      <c r="G79" s="219">
        <f t="shared" si="109"/>
        <v>5.9999999999999991</v>
      </c>
      <c r="H79" s="219">
        <f t="shared" si="110"/>
        <v>22</v>
      </c>
      <c r="I79" s="155">
        <f t="shared" si="111"/>
        <v>0</v>
      </c>
      <c r="J79" s="155">
        <f t="shared" si="112"/>
        <v>0</v>
      </c>
      <c r="K79" s="155">
        <f t="shared" si="113"/>
        <v>20</v>
      </c>
      <c r="L79" s="155">
        <f t="shared" si="114"/>
        <v>10</v>
      </c>
      <c r="M79" s="156">
        <f t="shared" si="115"/>
        <v>0.40092212087801948</v>
      </c>
      <c r="N79" s="157">
        <f t="shared" si="116"/>
        <v>4.0092212087801948E-2</v>
      </c>
      <c r="O79" s="155">
        <f t="shared" si="117"/>
        <v>100</v>
      </c>
      <c r="P79" s="250">
        <v>1</v>
      </c>
      <c r="Q79" s="250">
        <v>1000</v>
      </c>
      <c r="R79" s="148">
        <f t="shared" si="119"/>
        <v>4.0092212087801951</v>
      </c>
      <c r="S79" s="148">
        <f t="shared" si="120"/>
        <v>0.40092212087801948</v>
      </c>
      <c r="T79" s="148">
        <f t="shared" si="121"/>
        <v>4.0092212087801948E-2</v>
      </c>
      <c r="U79" s="148">
        <f t="shared" si="122"/>
        <v>4.0092212087801951</v>
      </c>
      <c r="V79" s="7">
        <f t="shared" si="123"/>
        <v>1000</v>
      </c>
      <c r="W79" s="7">
        <f t="shared" si="124"/>
        <v>1000000</v>
      </c>
      <c r="X79" s="1345">
        <f t="shared" si="125"/>
        <v>40.092212087801947</v>
      </c>
      <c r="Y79" s="1345">
        <f t="shared" si="126"/>
        <v>4009.221208780195</v>
      </c>
    </row>
    <row r="80" spans="1:26" x14ac:dyDescent="0.2">
      <c r="A80" s="213" t="str">
        <f t="shared" ref="A80:B80" si="131">A360</f>
        <v>NMi VSL</v>
      </c>
      <c r="B80" s="213" t="str">
        <f t="shared" si="131"/>
        <v>VSL300636</v>
      </c>
      <c r="C80" s="219">
        <f t="shared" si="105"/>
        <v>5000.5</v>
      </c>
      <c r="D80" s="219">
        <f t="shared" si="106"/>
        <v>4.2</v>
      </c>
      <c r="E80" s="219">
        <f t="shared" si="107"/>
        <v>5000</v>
      </c>
      <c r="F80" s="219">
        <f t="shared" si="108"/>
        <v>10</v>
      </c>
      <c r="G80" s="219">
        <f t="shared" si="109"/>
        <v>2.9999999999999996</v>
      </c>
      <c r="H80" s="219">
        <f t="shared" si="110"/>
        <v>22</v>
      </c>
      <c r="I80" s="155">
        <f t="shared" si="111"/>
        <v>0</v>
      </c>
      <c r="J80" s="155">
        <f t="shared" si="112"/>
        <v>0</v>
      </c>
      <c r="K80" s="155">
        <f t="shared" si="113"/>
        <v>20</v>
      </c>
      <c r="L80" s="155">
        <f t="shared" si="114"/>
        <v>10</v>
      </c>
      <c r="M80" s="156">
        <f t="shared" si="115"/>
        <v>0.39996000399960002</v>
      </c>
      <c r="N80" s="157">
        <f t="shared" si="116"/>
        <v>3.9996000399960006E-2</v>
      </c>
      <c r="O80" s="155">
        <f t="shared" si="117"/>
        <v>100</v>
      </c>
      <c r="P80" s="250">
        <v>1</v>
      </c>
      <c r="Q80" s="250">
        <v>1000</v>
      </c>
      <c r="R80" s="148">
        <f t="shared" si="119"/>
        <v>3.9996000399960003</v>
      </c>
      <c r="S80" s="148">
        <f t="shared" si="120"/>
        <v>0.39996000399960002</v>
      </c>
      <c r="T80" s="148">
        <f t="shared" si="121"/>
        <v>3.9996000399960006E-2</v>
      </c>
      <c r="U80" s="148">
        <f t="shared" si="122"/>
        <v>3.9996000399960003</v>
      </c>
      <c r="V80" s="7">
        <f t="shared" si="123"/>
        <v>1000</v>
      </c>
      <c r="W80" s="7">
        <f t="shared" si="124"/>
        <v>1000000</v>
      </c>
      <c r="X80" s="1345">
        <f t="shared" si="125"/>
        <v>39.996000399960003</v>
      </c>
      <c r="Y80" s="1345">
        <f t="shared" si="126"/>
        <v>3999.6000399960003</v>
      </c>
    </row>
    <row r="81" spans="1:26" x14ac:dyDescent="0.2">
      <c r="A81" s="213" t="str">
        <f t="shared" ref="A81:B81" si="132">A361</f>
        <v>CENAM</v>
      </c>
      <c r="B81" s="213" t="str">
        <f t="shared" si="132"/>
        <v>VSL160258</v>
      </c>
      <c r="C81" s="219">
        <f t="shared" si="105"/>
        <v>5015.1000000000004</v>
      </c>
      <c r="D81" s="219">
        <f t="shared" si="106"/>
        <v>4.2</v>
      </c>
      <c r="E81" s="219">
        <f t="shared" si="107"/>
        <v>5020</v>
      </c>
      <c r="F81" s="219">
        <f t="shared" si="108"/>
        <v>20</v>
      </c>
      <c r="G81" s="219">
        <f t="shared" si="109"/>
        <v>2.9999999999999996</v>
      </c>
      <c r="H81" s="219">
        <f t="shared" si="110"/>
        <v>37</v>
      </c>
      <c r="I81" s="155">
        <f t="shared" si="111"/>
        <v>0</v>
      </c>
      <c r="J81" s="155">
        <f t="shared" si="112"/>
        <v>0</v>
      </c>
      <c r="K81" s="155">
        <f t="shared" si="113"/>
        <v>40</v>
      </c>
      <c r="L81" s="155">
        <f t="shared" si="114"/>
        <v>10</v>
      </c>
      <c r="M81" s="156">
        <f t="shared" si="115"/>
        <v>0.79759127435145849</v>
      </c>
      <c r="N81" s="157">
        <f t="shared" si="116"/>
        <v>7.9759127435145849E-2</v>
      </c>
      <c r="O81" s="155">
        <f t="shared" si="117"/>
        <v>100</v>
      </c>
      <c r="P81" s="250">
        <v>1</v>
      </c>
      <c r="Q81" s="250">
        <v>1000</v>
      </c>
      <c r="R81" s="148">
        <f t="shared" si="119"/>
        <v>7.9759127435145851</v>
      </c>
      <c r="S81" s="148">
        <f t="shared" si="120"/>
        <v>0.79759127435145849</v>
      </c>
      <c r="T81" s="148">
        <f t="shared" si="121"/>
        <v>7.9759127435145849E-2</v>
      </c>
      <c r="U81" s="148">
        <f t="shared" si="122"/>
        <v>7.9759127435145851</v>
      </c>
      <c r="V81" s="7">
        <f t="shared" si="123"/>
        <v>1000</v>
      </c>
      <c r="W81" s="7">
        <f t="shared" si="124"/>
        <v>1000000</v>
      </c>
      <c r="X81" s="1345">
        <f t="shared" si="125"/>
        <v>79.759127435145842</v>
      </c>
      <c r="Y81" s="1345">
        <f t="shared" si="126"/>
        <v>7975.9127435145847</v>
      </c>
    </row>
    <row r="82" spans="1:26" x14ac:dyDescent="0.2">
      <c r="A82" s="213" t="str">
        <f t="shared" ref="A82:B82" si="133">A362</f>
        <v>CEM</v>
      </c>
      <c r="B82" s="213" t="str">
        <f t="shared" si="133"/>
        <v>VSL202677</v>
      </c>
      <c r="C82" s="219">
        <f t="shared" si="105"/>
        <v>5002.7</v>
      </c>
      <c r="D82" s="219">
        <f t="shared" si="106"/>
        <v>4.2</v>
      </c>
      <c r="E82" s="219">
        <f t="shared" si="107"/>
        <v>4980</v>
      </c>
      <c r="F82" s="219">
        <f t="shared" si="108"/>
        <v>40</v>
      </c>
      <c r="G82" s="219">
        <f t="shared" si="109"/>
        <v>-26</v>
      </c>
      <c r="H82" s="219">
        <f t="shared" si="110"/>
        <v>80</v>
      </c>
      <c r="I82" s="155">
        <f t="shared" si="111"/>
        <v>0</v>
      </c>
      <c r="J82" s="155">
        <f t="shared" si="112"/>
        <v>0</v>
      </c>
      <c r="K82" s="155">
        <f t="shared" si="113"/>
        <v>80</v>
      </c>
      <c r="L82" s="155">
        <f t="shared" si="114"/>
        <v>10</v>
      </c>
      <c r="M82" s="156">
        <f t="shared" si="115"/>
        <v>1.5991364663081937</v>
      </c>
      <c r="N82" s="157">
        <f t="shared" si="116"/>
        <v>0.15991364663081936</v>
      </c>
      <c r="O82" s="155">
        <f t="shared" si="117"/>
        <v>100</v>
      </c>
      <c r="P82" s="250">
        <v>1</v>
      </c>
      <c r="Q82" s="250">
        <v>1000</v>
      </c>
      <c r="R82" s="148">
        <f t="shared" si="119"/>
        <v>15.991364663081937</v>
      </c>
      <c r="S82" s="148">
        <f t="shared" si="120"/>
        <v>1.5991364663081937</v>
      </c>
      <c r="T82" s="148">
        <f t="shared" si="121"/>
        <v>0.15991364663081936</v>
      </c>
      <c r="U82" s="148">
        <f t="shared" si="122"/>
        <v>15.991364663081939</v>
      </c>
      <c r="V82" s="7">
        <f t="shared" si="123"/>
        <v>1000</v>
      </c>
      <c r="W82" s="7">
        <f t="shared" si="124"/>
        <v>1000000</v>
      </c>
      <c r="X82" s="1345">
        <f t="shared" si="125"/>
        <v>159.91364663081936</v>
      </c>
      <c r="Y82" s="1345">
        <f t="shared" si="126"/>
        <v>15991.364663081938</v>
      </c>
    </row>
    <row r="83" spans="1:26" x14ac:dyDescent="0.2">
      <c r="A83" s="213" t="str">
        <f t="shared" ref="A83:B83" si="134">A363</f>
        <v>BAM</v>
      </c>
      <c r="B83" s="213" t="str">
        <f t="shared" si="134"/>
        <v>VSL205189</v>
      </c>
      <c r="C83" s="219">
        <f t="shared" si="105"/>
        <v>5009.4000000000005</v>
      </c>
      <c r="D83" s="219">
        <f t="shared" si="106"/>
        <v>4.2</v>
      </c>
      <c r="E83" s="219">
        <f t="shared" si="107"/>
        <v>5020</v>
      </c>
      <c r="F83" s="219">
        <f t="shared" si="108"/>
        <v>15</v>
      </c>
      <c r="G83" s="219">
        <f t="shared" si="109"/>
        <v>5.9999999999999991</v>
      </c>
      <c r="H83" s="219">
        <f t="shared" si="110"/>
        <v>26</v>
      </c>
      <c r="I83" s="155">
        <f t="shared" si="111"/>
        <v>0</v>
      </c>
      <c r="J83" s="155">
        <f t="shared" si="112"/>
        <v>0</v>
      </c>
      <c r="K83" s="155">
        <f t="shared" si="113"/>
        <v>30</v>
      </c>
      <c r="L83" s="155">
        <f t="shared" si="114"/>
        <v>10</v>
      </c>
      <c r="M83" s="156">
        <f t="shared" si="115"/>
        <v>0.5988741166606778</v>
      </c>
      <c r="N83" s="157">
        <f t="shared" si="116"/>
        <v>5.9887411666067786E-2</v>
      </c>
      <c r="O83" s="155">
        <f t="shared" si="117"/>
        <v>100</v>
      </c>
      <c r="P83" s="250">
        <v>1</v>
      </c>
      <c r="Q83" s="250">
        <v>1000</v>
      </c>
      <c r="R83" s="148">
        <f t="shared" si="119"/>
        <v>5.9887411666067782</v>
      </c>
      <c r="S83" s="148">
        <f t="shared" si="120"/>
        <v>0.5988741166606778</v>
      </c>
      <c r="T83" s="148">
        <f t="shared" si="121"/>
        <v>5.9887411666067786E-2</v>
      </c>
      <c r="U83" s="148">
        <f t="shared" si="122"/>
        <v>5.9887411666067782</v>
      </c>
      <c r="V83" s="7">
        <f t="shared" si="123"/>
        <v>1000</v>
      </c>
      <c r="W83" s="7">
        <f t="shared" si="124"/>
        <v>1000000</v>
      </c>
      <c r="X83" s="1345">
        <f t="shared" si="125"/>
        <v>59.887411666067784</v>
      </c>
      <c r="Y83" s="1345">
        <f t="shared" si="126"/>
        <v>5988.7411666067783</v>
      </c>
    </row>
    <row r="84" spans="1:26" x14ac:dyDescent="0.2">
      <c r="A84" s="213" t="str">
        <f t="shared" ref="A84:B84" si="135">A364</f>
        <v>NMIA</v>
      </c>
      <c r="B84" s="213" t="str">
        <f t="shared" si="135"/>
        <v>VSL228583</v>
      </c>
      <c r="C84" s="219">
        <f t="shared" si="105"/>
        <v>4989.8999999999996</v>
      </c>
      <c r="D84" s="219">
        <f t="shared" si="106"/>
        <v>4.2</v>
      </c>
      <c r="E84" s="219">
        <f t="shared" si="107"/>
        <v>4990</v>
      </c>
      <c r="F84" s="219">
        <f t="shared" si="108"/>
        <v>4.5871559633027523</v>
      </c>
      <c r="G84" s="219">
        <f t="shared" si="109"/>
        <v>-1</v>
      </c>
      <c r="H84" s="219">
        <f t="shared" si="110"/>
        <v>15</v>
      </c>
      <c r="I84" s="155">
        <f t="shared" si="111"/>
        <v>0</v>
      </c>
      <c r="J84" s="155">
        <f t="shared" si="112"/>
        <v>0</v>
      </c>
      <c r="K84" s="155">
        <f t="shared" si="113"/>
        <v>9.1743119266055047</v>
      </c>
      <c r="L84" s="155">
        <f t="shared" si="114"/>
        <v>10</v>
      </c>
      <c r="M84" s="156">
        <f t="shared" si="115"/>
        <v>0.18385763094662227</v>
      </c>
      <c r="N84" s="157">
        <f t="shared" si="116"/>
        <v>1.8385763094662225E-2</v>
      </c>
      <c r="O84" s="155">
        <f t="shared" si="117"/>
        <v>100</v>
      </c>
      <c r="P84" s="250">
        <v>1</v>
      </c>
      <c r="Q84" s="250">
        <v>1000</v>
      </c>
      <c r="R84" s="148">
        <f t="shared" si="119"/>
        <v>1.8385763094662226</v>
      </c>
      <c r="S84" s="148">
        <f t="shared" si="120"/>
        <v>0.18385763094662227</v>
      </c>
      <c r="T84" s="148">
        <f t="shared" si="121"/>
        <v>1.8385763094662225E-2</v>
      </c>
      <c r="U84" s="148">
        <f t="shared" si="122"/>
        <v>1.8385763094662226</v>
      </c>
      <c r="V84" s="7">
        <f t="shared" si="123"/>
        <v>1000</v>
      </c>
      <c r="W84" s="7">
        <f t="shared" si="124"/>
        <v>1000000</v>
      </c>
      <c r="X84" s="1345">
        <f t="shared" si="125"/>
        <v>18.385763094662224</v>
      </c>
      <c r="Y84" s="1345">
        <f t="shared" si="126"/>
        <v>1838.5763094662227</v>
      </c>
    </row>
    <row r="85" spans="1:26" x14ac:dyDescent="0.2">
      <c r="A85" s="213" t="str">
        <f t="shared" ref="A85:B85" si="136">A365</f>
        <v>IPQ</v>
      </c>
      <c r="B85" s="213" t="str">
        <f t="shared" si="136"/>
        <v>VSL220210</v>
      </c>
      <c r="C85" s="219">
        <f t="shared" si="105"/>
        <v>5030.0999999999995</v>
      </c>
      <c r="D85" s="219">
        <f t="shared" si="106"/>
        <v>4.2</v>
      </c>
      <c r="E85" s="219">
        <f t="shared" si="107"/>
        <v>5010</v>
      </c>
      <c r="F85" s="219">
        <f t="shared" si="108"/>
        <v>45</v>
      </c>
      <c r="G85" s="219">
        <f t="shared" si="109"/>
        <v>-20</v>
      </c>
      <c r="H85" s="219">
        <f t="shared" si="110"/>
        <v>90</v>
      </c>
      <c r="I85" s="155">
        <f t="shared" si="111"/>
        <v>0</v>
      </c>
      <c r="J85" s="155">
        <f t="shared" si="112"/>
        <v>0</v>
      </c>
      <c r="K85" s="155">
        <f t="shared" si="113"/>
        <v>90</v>
      </c>
      <c r="L85" s="155">
        <f t="shared" si="114"/>
        <v>10</v>
      </c>
      <c r="M85" s="156">
        <f t="shared" si="115"/>
        <v>1.7892288423689391</v>
      </c>
      <c r="N85" s="157">
        <f t="shared" si="116"/>
        <v>0.1789228842368939</v>
      </c>
      <c r="O85" s="155">
        <f t="shared" si="117"/>
        <v>100</v>
      </c>
      <c r="P85" s="250">
        <v>1</v>
      </c>
      <c r="Q85" s="250">
        <v>1000</v>
      </c>
      <c r="R85" s="148">
        <f t="shared" si="119"/>
        <v>17.89228842368939</v>
      </c>
      <c r="S85" s="148">
        <f t="shared" si="120"/>
        <v>1.7892288423689391</v>
      </c>
      <c r="T85" s="148">
        <f t="shared" si="121"/>
        <v>0.1789228842368939</v>
      </c>
      <c r="U85" s="148">
        <f t="shared" si="122"/>
        <v>17.89228842368939</v>
      </c>
      <c r="V85" s="7">
        <f t="shared" si="123"/>
        <v>1000</v>
      </c>
      <c r="W85" s="7">
        <f t="shared" si="124"/>
        <v>1000000</v>
      </c>
      <c r="X85" s="1345">
        <f t="shared" si="125"/>
        <v>178.92288423689391</v>
      </c>
      <c r="Y85" s="1345">
        <f t="shared" si="126"/>
        <v>17892.288423689391</v>
      </c>
    </row>
    <row r="86" spans="1:26" x14ac:dyDescent="0.2">
      <c r="A86" s="213" t="str">
        <f t="shared" ref="A86:B86" si="137">A366</f>
        <v>INMETRO</v>
      </c>
      <c r="B86" s="213" t="str">
        <f t="shared" si="137"/>
        <v>VSL202750</v>
      </c>
      <c r="C86" s="219">
        <f t="shared" si="105"/>
        <v>5002.2</v>
      </c>
      <c r="D86" s="219">
        <f t="shared" si="106"/>
        <v>4.2</v>
      </c>
      <c r="E86" s="219">
        <f t="shared" si="107"/>
        <v>5080</v>
      </c>
      <c r="F86" s="219">
        <f t="shared" si="108"/>
        <v>50</v>
      </c>
      <c r="G86" s="219">
        <f t="shared" si="109"/>
        <v>78</v>
      </c>
      <c r="H86" s="219">
        <f t="shared" si="110"/>
        <v>100</v>
      </c>
      <c r="I86" s="155">
        <f t="shared" si="111"/>
        <v>0</v>
      </c>
      <c r="J86" s="155">
        <f t="shared" si="112"/>
        <v>0</v>
      </c>
      <c r="K86" s="155">
        <f t="shared" si="113"/>
        <v>100</v>
      </c>
      <c r="L86" s="155">
        <f t="shared" si="114"/>
        <v>10</v>
      </c>
      <c r="M86" s="156">
        <f t="shared" si="115"/>
        <v>1.999120387029707</v>
      </c>
      <c r="N86" s="157">
        <f t="shared" si="116"/>
        <v>0.1999120387029707</v>
      </c>
      <c r="O86" s="155">
        <f t="shared" si="117"/>
        <v>100</v>
      </c>
      <c r="P86" s="250">
        <v>1</v>
      </c>
      <c r="Q86" s="250">
        <v>1000</v>
      </c>
      <c r="R86" s="148">
        <f t="shared" si="119"/>
        <v>19.99120387029707</v>
      </c>
      <c r="S86" s="148">
        <f t="shared" si="120"/>
        <v>1.999120387029707</v>
      </c>
      <c r="T86" s="148">
        <f t="shared" si="121"/>
        <v>0.1999120387029707</v>
      </c>
      <c r="U86" s="148">
        <f t="shared" si="122"/>
        <v>19.99120387029707</v>
      </c>
      <c r="V86" s="7">
        <f t="shared" si="123"/>
        <v>1000</v>
      </c>
      <c r="W86" s="7">
        <f t="shared" si="124"/>
        <v>1000000</v>
      </c>
      <c r="X86" s="1345">
        <f t="shared" si="125"/>
        <v>199.9120387029707</v>
      </c>
      <c r="Y86" s="1345">
        <f t="shared" si="126"/>
        <v>19991.203870297071</v>
      </c>
    </row>
    <row r="87" spans="1:26" x14ac:dyDescent="0.2">
      <c r="A87" s="213" t="str">
        <f t="shared" ref="A87:B87" si="138">A367</f>
        <v>GUM</v>
      </c>
      <c r="B87" s="213" t="str">
        <f t="shared" si="138"/>
        <v>VSL223562</v>
      </c>
      <c r="C87" s="219">
        <f t="shared" si="105"/>
        <v>5009.3</v>
      </c>
      <c r="D87" s="219">
        <f t="shared" si="106"/>
        <v>4.2</v>
      </c>
      <c r="E87" s="219">
        <f t="shared" si="107"/>
        <v>5010</v>
      </c>
      <c r="F87" s="219">
        <f t="shared" si="108"/>
        <v>15</v>
      </c>
      <c r="G87" s="219">
        <f t="shared" si="109"/>
        <v>-1</v>
      </c>
      <c r="H87" s="219">
        <f t="shared" si="110"/>
        <v>31</v>
      </c>
      <c r="I87" s="155">
        <f t="shared" si="111"/>
        <v>0</v>
      </c>
      <c r="J87" s="155">
        <f t="shared" si="112"/>
        <v>0</v>
      </c>
      <c r="K87" s="155">
        <f t="shared" si="113"/>
        <v>30</v>
      </c>
      <c r="L87" s="155">
        <f t="shared" si="114"/>
        <v>10</v>
      </c>
      <c r="M87" s="156">
        <f t="shared" si="115"/>
        <v>0.59888607190625431</v>
      </c>
      <c r="N87" s="157">
        <f t="shared" si="116"/>
        <v>5.9888607190625436E-2</v>
      </c>
      <c r="O87" s="155">
        <f t="shared" si="117"/>
        <v>100</v>
      </c>
      <c r="P87" s="250">
        <v>1</v>
      </c>
      <c r="Q87" s="250">
        <v>1000</v>
      </c>
      <c r="R87" s="148">
        <f t="shared" si="119"/>
        <v>5.9888607190625436</v>
      </c>
      <c r="S87" s="148">
        <f t="shared" si="120"/>
        <v>0.59888607190625431</v>
      </c>
      <c r="T87" s="148">
        <f t="shared" si="121"/>
        <v>5.9888607190625436E-2</v>
      </c>
      <c r="U87" s="148">
        <f t="shared" si="122"/>
        <v>5.9888607190625436</v>
      </c>
      <c r="V87" s="7">
        <f t="shared" si="123"/>
        <v>1000</v>
      </c>
      <c r="W87" s="7">
        <f t="shared" si="124"/>
        <v>1000000</v>
      </c>
      <c r="X87" s="1345">
        <f t="shared" si="125"/>
        <v>59.888607190625436</v>
      </c>
      <c r="Y87" s="1345">
        <f t="shared" si="126"/>
        <v>5988.8607190625435</v>
      </c>
    </row>
    <row r="88" spans="1:26" x14ac:dyDescent="0.2">
      <c r="A88" s="213" t="str">
        <f t="shared" ref="A88:B88" si="139">A368</f>
        <v>NRCCRM</v>
      </c>
      <c r="B88" s="213" t="str">
        <f t="shared" si="139"/>
        <v>VSL228668</v>
      </c>
      <c r="C88" s="219">
        <f t="shared" si="105"/>
        <v>5012.9000000000005</v>
      </c>
      <c r="D88" s="219">
        <f t="shared" si="106"/>
        <v>4.2</v>
      </c>
      <c r="E88" s="219">
        <f t="shared" si="107"/>
        <v>5050</v>
      </c>
      <c r="F88" s="219">
        <f t="shared" si="108"/>
        <v>40</v>
      </c>
      <c r="G88" s="219">
        <f t="shared" si="109"/>
        <v>40</v>
      </c>
      <c r="H88" s="219">
        <f t="shared" si="110"/>
        <v>76</v>
      </c>
      <c r="I88" s="155">
        <f t="shared" si="111"/>
        <v>0</v>
      </c>
      <c r="J88" s="155">
        <f t="shared" si="112"/>
        <v>0</v>
      </c>
      <c r="K88" s="155">
        <f t="shared" si="113"/>
        <v>80</v>
      </c>
      <c r="L88" s="155">
        <f t="shared" si="114"/>
        <v>10</v>
      </c>
      <c r="M88" s="156">
        <f t="shared" si="115"/>
        <v>1.5958826228330905</v>
      </c>
      <c r="N88" s="157">
        <f t="shared" si="116"/>
        <v>0.15958826228330905</v>
      </c>
      <c r="O88" s="155">
        <f t="shared" si="117"/>
        <v>100</v>
      </c>
      <c r="P88" s="250">
        <v>1</v>
      </c>
      <c r="Q88" s="250">
        <v>1000</v>
      </c>
      <c r="R88" s="148">
        <f t="shared" si="119"/>
        <v>15.958826228330905</v>
      </c>
      <c r="S88" s="148">
        <f t="shared" si="120"/>
        <v>1.5958826228330905</v>
      </c>
      <c r="T88" s="148">
        <f t="shared" si="121"/>
        <v>0.15958826228330905</v>
      </c>
      <c r="U88" s="148">
        <f t="shared" si="122"/>
        <v>15.958826228330905</v>
      </c>
      <c r="V88" s="7">
        <f t="shared" si="123"/>
        <v>1000</v>
      </c>
      <c r="W88" s="7">
        <f t="shared" si="124"/>
        <v>1000000</v>
      </c>
      <c r="X88" s="1345">
        <f t="shared" si="125"/>
        <v>159.58826228330906</v>
      </c>
      <c r="Y88" s="1345">
        <f t="shared" si="126"/>
        <v>15958.826228330905</v>
      </c>
    </row>
    <row r="89" spans="1:26" x14ac:dyDescent="0.2">
      <c r="A89" s="213" t="str">
        <f t="shared" ref="A89:B89" si="140">A369</f>
        <v>KRISS</v>
      </c>
      <c r="B89" s="213" t="str">
        <f t="shared" si="140"/>
        <v>VSL229332</v>
      </c>
      <c r="C89" s="219">
        <f t="shared" si="105"/>
        <v>5004.3999999999996</v>
      </c>
      <c r="D89" s="219">
        <f t="shared" si="106"/>
        <v>4.2</v>
      </c>
      <c r="E89" s="219">
        <f t="shared" si="107"/>
        <v>5003</v>
      </c>
      <c r="F89" s="219">
        <f t="shared" si="108"/>
        <v>11.999999999999998</v>
      </c>
      <c r="G89" s="219">
        <f t="shared" si="109"/>
        <v>-1</v>
      </c>
      <c r="H89" s="219">
        <f t="shared" si="110"/>
        <v>25</v>
      </c>
      <c r="I89" s="155">
        <f t="shared" si="111"/>
        <v>0</v>
      </c>
      <c r="J89" s="155">
        <f t="shared" si="112"/>
        <v>0</v>
      </c>
      <c r="K89" s="155">
        <f t="shared" si="113"/>
        <v>23.999999999999996</v>
      </c>
      <c r="L89" s="155">
        <f t="shared" si="114"/>
        <v>10</v>
      </c>
      <c r="M89" s="156">
        <f t="shared" si="115"/>
        <v>0.47957797138518099</v>
      </c>
      <c r="N89" s="157">
        <f t="shared" si="116"/>
        <v>4.7957797138518103E-2</v>
      </c>
      <c r="O89" s="155">
        <f t="shared" si="117"/>
        <v>100</v>
      </c>
      <c r="P89" s="250">
        <v>1</v>
      </c>
      <c r="Q89" s="250">
        <v>1000</v>
      </c>
      <c r="R89" s="148">
        <f t="shared" si="119"/>
        <v>4.7957797138518101</v>
      </c>
      <c r="S89" s="148">
        <f t="shared" si="120"/>
        <v>0.47957797138518099</v>
      </c>
      <c r="T89" s="148">
        <f t="shared" si="121"/>
        <v>4.7957797138518103E-2</v>
      </c>
      <c r="U89" s="148">
        <f t="shared" si="122"/>
        <v>4.7957797138518101</v>
      </c>
      <c r="V89" s="7">
        <f t="shared" si="123"/>
        <v>1000</v>
      </c>
      <c r="W89" s="7">
        <f t="shared" si="124"/>
        <v>1000000</v>
      </c>
      <c r="X89" s="1345">
        <f t="shared" si="125"/>
        <v>47.957797138518103</v>
      </c>
      <c r="Y89" s="1345">
        <f t="shared" si="126"/>
        <v>4795.7797138518099</v>
      </c>
    </row>
    <row r="90" spans="1:26" ht="14.25" x14ac:dyDescent="0.2">
      <c r="H90" s="9"/>
      <c r="U90" s="152"/>
      <c r="V90" s="21"/>
      <c r="W90" s="21"/>
      <c r="X90" s="21"/>
      <c r="Y90" s="21"/>
      <c r="Z90" s="21"/>
    </row>
    <row r="91" spans="1:26" ht="15.75" x14ac:dyDescent="0.2">
      <c r="A91" s="103" t="str">
        <f>A371</f>
        <v>Ethane, mixture I</v>
      </c>
      <c r="B91" s="97"/>
      <c r="C91" s="97"/>
      <c r="D91" s="97"/>
      <c r="E91" s="97"/>
      <c r="F91" s="97"/>
      <c r="G91" s="97"/>
      <c r="H91" s="97"/>
      <c r="I91" s="113"/>
      <c r="J91" s="113"/>
      <c r="K91" s="113"/>
      <c r="L91" s="113"/>
      <c r="M91" s="113"/>
      <c r="N91" s="113"/>
      <c r="O91" s="113"/>
      <c r="R91" s="113"/>
      <c r="S91" s="113"/>
      <c r="T91" s="146"/>
      <c r="U91" s="146"/>
    </row>
    <row r="92" spans="1:26" ht="102" x14ac:dyDescent="0.2">
      <c r="A92" s="211" t="s">
        <v>0</v>
      </c>
      <c r="B92" s="212" t="s">
        <v>1</v>
      </c>
      <c r="C92" s="212" t="s">
        <v>133</v>
      </c>
      <c r="D92" s="212" t="s">
        <v>199</v>
      </c>
      <c r="E92" s="212" t="s">
        <v>135</v>
      </c>
      <c r="F92" s="212" t="s">
        <v>200</v>
      </c>
      <c r="G92" s="212" t="s">
        <v>137</v>
      </c>
      <c r="H92" s="212" t="s">
        <v>201</v>
      </c>
      <c r="I92" s="104" t="s">
        <v>8</v>
      </c>
      <c r="J92" s="104" t="s">
        <v>9</v>
      </c>
      <c r="K92" s="104" t="s">
        <v>107</v>
      </c>
      <c r="L92" s="104" t="s">
        <v>14</v>
      </c>
      <c r="M92" s="104" t="s">
        <v>1057</v>
      </c>
      <c r="N92" s="104" t="s">
        <v>1058</v>
      </c>
      <c r="O92" s="104" t="s">
        <v>100</v>
      </c>
      <c r="P92" s="6" t="s">
        <v>105</v>
      </c>
      <c r="Q92" s="6" t="s">
        <v>106</v>
      </c>
      <c r="R92" s="104" t="s">
        <v>1051</v>
      </c>
      <c r="S92" s="104" t="s">
        <v>1052</v>
      </c>
      <c r="T92" s="147" t="s">
        <v>1053</v>
      </c>
      <c r="U92" s="147" t="s">
        <v>1054</v>
      </c>
      <c r="V92" s="5" t="s">
        <v>101</v>
      </c>
      <c r="W92" s="5" t="s">
        <v>102</v>
      </c>
      <c r="X92" s="112" t="s">
        <v>1055</v>
      </c>
      <c r="Y92" s="112" t="s">
        <v>1056</v>
      </c>
    </row>
    <row r="93" spans="1:26" x14ac:dyDescent="0.2">
      <c r="A93" s="213" t="str">
        <f>A373</f>
        <v>NPL</v>
      </c>
      <c r="B93" s="213" t="str">
        <f>B373</f>
        <v>VSL202748</v>
      </c>
      <c r="C93" s="219">
        <f t="shared" ref="C93:C108" si="141">C373*10000</f>
        <v>29944.600000000002</v>
      </c>
      <c r="D93" s="219">
        <f t="shared" ref="D93:D108" si="142">F373*10000</f>
        <v>17</v>
      </c>
      <c r="E93" s="219">
        <f t="shared" ref="E93:E108" si="143">G373*10000</f>
        <v>29950</v>
      </c>
      <c r="F93" s="219">
        <f t="shared" ref="F93:F108" si="144">H373/I373*10000</f>
        <v>33</v>
      </c>
      <c r="G93" s="219">
        <f t="shared" ref="G93:G108" si="145">J373*10000</f>
        <v>5</v>
      </c>
      <c r="H93" s="219">
        <f t="shared" ref="H93:H108" si="146">L373*10000</f>
        <v>74</v>
      </c>
      <c r="I93" s="155">
        <f t="shared" ref="I93:I108" si="147">IF(ABS(G93)&gt;ABS(H93), 1, 0)</f>
        <v>0</v>
      </c>
      <c r="J93" s="155">
        <f t="shared" ref="J93:J108" si="148">I93*ABS(C93-E93)</f>
        <v>0</v>
      </c>
      <c r="K93" s="155">
        <f t="shared" ref="K93:K108" si="149">SQRT(SUMSQ(F93,J93))*2</f>
        <v>66</v>
      </c>
      <c r="L93" s="155">
        <f t="shared" ref="L93:L108" si="150">IF(C93&lt;$K$2, C93, $K$1)</f>
        <v>10</v>
      </c>
      <c r="M93" s="156">
        <f t="shared" ref="M93:M108" si="151">IF(AND(C93&lt;$K$1,C93&gt; $K$2), K93/L93*100, K93/C93*100)</f>
        <v>0.22040701829378248</v>
      </c>
      <c r="N93" s="157">
        <f t="shared" ref="N93:N108" si="152">M93*L93/100</f>
        <v>2.2040701829378246E-2</v>
      </c>
      <c r="O93" s="155">
        <f t="shared" ref="O93:O108" si="153">N93/(M93*L93/100)*100</f>
        <v>100</v>
      </c>
      <c r="P93" s="250">
        <v>1</v>
      </c>
      <c r="Q93" s="250">
        <v>1000</v>
      </c>
      <c r="R93" s="148">
        <f>IF( IF(P93&lt;L93, M93*L93/P93, M93)&gt;100, "ERROR",  IF(P93&lt;L93, M93*L93/P93, M93))</f>
        <v>2.2040701829378246</v>
      </c>
      <c r="S93" s="148">
        <f>IF(IF(Q93&lt;L93, M93*L93/Q93, M93)&gt;100, "ERROR", IF(Q93&lt;L93, M93*L93/Q93, M93))</f>
        <v>0.22040701829378248</v>
      </c>
      <c r="T93" s="148">
        <f>R93*P93*0.01</f>
        <v>2.2040701829378246E-2</v>
      </c>
      <c r="U93" s="148">
        <f>S93*Q93*0.01</f>
        <v>2.2040701829378246</v>
      </c>
      <c r="V93" s="7">
        <f>P93*1000</f>
        <v>1000</v>
      </c>
      <c r="W93" s="7">
        <f>Q93*1000</f>
        <v>1000000</v>
      </c>
      <c r="X93" s="1345">
        <f>T93*1000</f>
        <v>22.040701829378246</v>
      </c>
      <c r="Y93" s="1345">
        <f>U93*1000</f>
        <v>2204.0701829378245</v>
      </c>
    </row>
    <row r="94" spans="1:26" x14ac:dyDescent="0.2">
      <c r="A94" s="213" t="str">
        <f t="shared" ref="A94:B94" si="154">A374</f>
        <v>SMU</v>
      </c>
      <c r="B94" s="213" t="str">
        <f t="shared" si="154"/>
        <v>VSL100039</v>
      </c>
      <c r="C94" s="219">
        <f t="shared" si="141"/>
        <v>29875.1</v>
      </c>
      <c r="D94" s="219">
        <f t="shared" si="142"/>
        <v>16.8</v>
      </c>
      <c r="E94" s="219">
        <f t="shared" si="143"/>
        <v>29760</v>
      </c>
      <c r="F94" s="219">
        <f t="shared" si="144"/>
        <v>60</v>
      </c>
      <c r="G94" s="219">
        <f t="shared" si="145"/>
        <v>-115</v>
      </c>
      <c r="H94" s="219">
        <f t="shared" si="146"/>
        <v>125</v>
      </c>
      <c r="I94" s="155">
        <f t="shared" si="147"/>
        <v>0</v>
      </c>
      <c r="J94" s="155">
        <f t="shared" si="148"/>
        <v>0</v>
      </c>
      <c r="K94" s="155">
        <f t="shared" si="149"/>
        <v>120</v>
      </c>
      <c r="L94" s="155">
        <f t="shared" si="150"/>
        <v>10</v>
      </c>
      <c r="M94" s="156">
        <f t="shared" si="151"/>
        <v>0.40167229565758777</v>
      </c>
      <c r="N94" s="157">
        <f t="shared" si="152"/>
        <v>4.0167229565758779E-2</v>
      </c>
      <c r="O94" s="155">
        <f t="shared" si="153"/>
        <v>100</v>
      </c>
      <c r="P94" s="250">
        <v>1</v>
      </c>
      <c r="Q94" s="250">
        <v>1000</v>
      </c>
      <c r="R94" s="148">
        <f t="shared" ref="R94:R108" si="155">IF( IF(P94&lt;L94, M94*L94/P94, M94)&gt;100, "ERROR",  IF(P94&lt;L94, M94*L94/P94, M94))</f>
        <v>4.0167229565758777</v>
      </c>
      <c r="S94" s="148">
        <f t="shared" ref="S94:S108" si="156">IF(IF(Q94&lt;L94, M94*L94/Q94, M94)&gt;100, "ERROR", IF(Q94&lt;L94, M94*L94/Q94, M94))</f>
        <v>0.40167229565758777</v>
      </c>
      <c r="T94" s="148">
        <f t="shared" ref="T94:T108" si="157">R94*P94*0.01</f>
        <v>4.0167229565758779E-2</v>
      </c>
      <c r="U94" s="148">
        <f t="shared" ref="U94:U108" si="158">S94*Q94*0.01</f>
        <v>4.0167229565758777</v>
      </c>
      <c r="V94" s="7">
        <f t="shared" ref="V94:V108" si="159">P94*1000</f>
        <v>1000</v>
      </c>
      <c r="W94" s="7">
        <f t="shared" ref="W94:W108" si="160">Q94*1000</f>
        <v>1000000</v>
      </c>
      <c r="X94" s="1345">
        <f t="shared" ref="X94:X108" si="161">T94*1000</f>
        <v>40.167229565758781</v>
      </c>
      <c r="Y94" s="1345">
        <f t="shared" ref="Y94:Y108" si="162">U94*1000</f>
        <v>4016.7229565758776</v>
      </c>
    </row>
    <row r="95" spans="1:26" x14ac:dyDescent="0.2">
      <c r="A95" s="213" t="str">
        <f t="shared" ref="A95:B95" si="163">A375</f>
        <v>CMI</v>
      </c>
      <c r="B95" s="213" t="str">
        <f t="shared" si="163"/>
        <v>VSL100059</v>
      </c>
      <c r="C95" s="219">
        <f t="shared" si="141"/>
        <v>29937.999999999996</v>
      </c>
      <c r="D95" s="219">
        <f t="shared" si="142"/>
        <v>16.900000000000002</v>
      </c>
      <c r="E95" s="219">
        <f t="shared" si="143"/>
        <v>29620.000000000004</v>
      </c>
      <c r="F95" s="219">
        <f t="shared" si="144"/>
        <v>150</v>
      </c>
      <c r="G95" s="219">
        <f t="shared" si="145"/>
        <v>-318</v>
      </c>
      <c r="H95" s="219">
        <f t="shared" si="146"/>
        <v>302</v>
      </c>
      <c r="I95" s="155">
        <f t="shared" si="147"/>
        <v>1</v>
      </c>
      <c r="J95" s="155">
        <f t="shared" si="148"/>
        <v>317.99999999999272</v>
      </c>
      <c r="K95" s="155">
        <f t="shared" si="149"/>
        <v>703.20409555120023</v>
      </c>
      <c r="L95" s="155">
        <f t="shared" si="150"/>
        <v>10</v>
      </c>
      <c r="M95" s="156">
        <f t="shared" si="151"/>
        <v>2.3488679789939217</v>
      </c>
      <c r="N95" s="157">
        <f t="shared" si="152"/>
        <v>0.23488679789939218</v>
      </c>
      <c r="O95" s="155">
        <f t="shared" si="153"/>
        <v>100</v>
      </c>
      <c r="P95" s="250">
        <v>1</v>
      </c>
      <c r="Q95" s="250">
        <v>1000</v>
      </c>
      <c r="R95" s="148">
        <f t="shared" si="155"/>
        <v>23.488679789939219</v>
      </c>
      <c r="S95" s="148">
        <f t="shared" si="156"/>
        <v>2.3488679789939217</v>
      </c>
      <c r="T95" s="148">
        <f t="shared" si="157"/>
        <v>0.23488679789939221</v>
      </c>
      <c r="U95" s="148">
        <f t="shared" si="158"/>
        <v>23.488679789939219</v>
      </c>
      <c r="V95" s="7">
        <f t="shared" si="159"/>
        <v>1000</v>
      </c>
      <c r="W95" s="7">
        <f t="shared" si="160"/>
        <v>1000000</v>
      </c>
      <c r="X95" s="1345">
        <f t="shared" si="161"/>
        <v>234.88679789939221</v>
      </c>
      <c r="Y95" s="1345">
        <f t="shared" si="162"/>
        <v>23488.679789939219</v>
      </c>
    </row>
    <row r="96" spans="1:26" x14ac:dyDescent="0.2">
      <c r="A96" s="213" t="str">
        <f t="shared" ref="A96:B96" si="164">A376</f>
        <v>VNIIM</v>
      </c>
      <c r="B96" s="213" t="str">
        <f t="shared" si="164"/>
        <v>VSL126708</v>
      </c>
      <c r="C96" s="219">
        <f t="shared" si="141"/>
        <v>29980.000000000004</v>
      </c>
      <c r="D96" s="219">
        <f t="shared" si="142"/>
        <v>16.8</v>
      </c>
      <c r="E96" s="219">
        <f t="shared" si="143"/>
        <v>29960</v>
      </c>
      <c r="F96" s="219">
        <f t="shared" si="144"/>
        <v>25</v>
      </c>
      <c r="G96" s="219">
        <f t="shared" si="145"/>
        <v>-20</v>
      </c>
      <c r="H96" s="219">
        <f t="shared" si="146"/>
        <v>60</v>
      </c>
      <c r="I96" s="155">
        <f t="shared" si="147"/>
        <v>0</v>
      </c>
      <c r="J96" s="155">
        <f t="shared" si="148"/>
        <v>0</v>
      </c>
      <c r="K96" s="155">
        <f t="shared" si="149"/>
        <v>50</v>
      </c>
      <c r="L96" s="155">
        <f t="shared" si="150"/>
        <v>10</v>
      </c>
      <c r="M96" s="156">
        <f t="shared" si="151"/>
        <v>0.16677785190126748</v>
      </c>
      <c r="N96" s="157">
        <f t="shared" si="152"/>
        <v>1.6677785190126748E-2</v>
      </c>
      <c r="O96" s="155">
        <f t="shared" si="153"/>
        <v>100</v>
      </c>
      <c r="P96" s="250">
        <v>1</v>
      </c>
      <c r="Q96" s="250">
        <v>1000</v>
      </c>
      <c r="R96" s="148">
        <f t="shared" si="155"/>
        <v>1.6677785190126748</v>
      </c>
      <c r="S96" s="148">
        <f t="shared" si="156"/>
        <v>0.16677785190126748</v>
      </c>
      <c r="T96" s="148">
        <f t="shared" si="157"/>
        <v>1.6677785190126748E-2</v>
      </c>
      <c r="U96" s="148">
        <f t="shared" si="158"/>
        <v>1.6677785190126748</v>
      </c>
      <c r="V96" s="7">
        <f t="shared" si="159"/>
        <v>1000</v>
      </c>
      <c r="W96" s="7">
        <f t="shared" si="160"/>
        <v>1000000</v>
      </c>
      <c r="X96" s="1345">
        <f t="shared" si="161"/>
        <v>16.677785190126748</v>
      </c>
      <c r="Y96" s="1345">
        <f t="shared" si="162"/>
        <v>1667.7785190126749</v>
      </c>
    </row>
    <row r="97" spans="1:26" x14ac:dyDescent="0.2">
      <c r="A97" s="213" t="str">
        <f t="shared" ref="A97:B97" si="165">A377</f>
        <v>OMH</v>
      </c>
      <c r="B97" s="213" t="str">
        <f t="shared" si="165"/>
        <v>VSL100051</v>
      </c>
      <c r="C97" s="219">
        <f t="shared" si="141"/>
        <v>30028.399999999998</v>
      </c>
      <c r="D97" s="219">
        <f t="shared" si="142"/>
        <v>16.900000000000002</v>
      </c>
      <c r="E97" s="219">
        <f t="shared" si="143"/>
        <v>29998.999999999996</v>
      </c>
      <c r="F97" s="219">
        <f t="shared" si="144"/>
        <v>17.283950617283949</v>
      </c>
      <c r="G97" s="219">
        <f t="shared" si="145"/>
        <v>-28.999999999999996</v>
      </c>
      <c r="H97" s="219">
        <f t="shared" si="146"/>
        <v>47.999999999999993</v>
      </c>
      <c r="I97" s="155">
        <f t="shared" si="147"/>
        <v>0</v>
      </c>
      <c r="J97" s="155">
        <f t="shared" si="148"/>
        <v>0</v>
      </c>
      <c r="K97" s="155">
        <f t="shared" si="149"/>
        <v>34.567901234567898</v>
      </c>
      <c r="L97" s="155">
        <f t="shared" si="150"/>
        <v>10</v>
      </c>
      <c r="M97" s="156">
        <f t="shared" si="151"/>
        <v>0.11511735968139462</v>
      </c>
      <c r="N97" s="157">
        <f t="shared" si="152"/>
        <v>1.1511735968139463E-2</v>
      </c>
      <c r="O97" s="155">
        <f t="shared" si="153"/>
        <v>100</v>
      </c>
      <c r="P97" s="250">
        <v>1</v>
      </c>
      <c r="Q97" s="250">
        <v>1000</v>
      </c>
      <c r="R97" s="148">
        <f t="shared" si="155"/>
        <v>1.1511735968139463</v>
      </c>
      <c r="S97" s="148">
        <f t="shared" si="156"/>
        <v>0.11511735968139462</v>
      </c>
      <c r="T97" s="148">
        <f t="shared" si="157"/>
        <v>1.1511735968139463E-2</v>
      </c>
      <c r="U97" s="148">
        <f t="shared" si="158"/>
        <v>1.1511735968139463</v>
      </c>
      <c r="V97" s="7">
        <f t="shared" si="159"/>
        <v>1000</v>
      </c>
      <c r="W97" s="7">
        <f t="shared" si="160"/>
        <v>1000000</v>
      </c>
      <c r="X97" s="1345">
        <f t="shared" si="161"/>
        <v>11.511735968139464</v>
      </c>
      <c r="Y97" s="1345">
        <f t="shared" si="162"/>
        <v>1151.1735968139462</v>
      </c>
    </row>
    <row r="98" spans="1:26" x14ac:dyDescent="0.2">
      <c r="A98" s="213" t="str">
        <f t="shared" ref="A98:B98" si="166">A378</f>
        <v>LNE</v>
      </c>
      <c r="B98" s="213" t="str">
        <f t="shared" si="166"/>
        <v>VSL124466</v>
      </c>
      <c r="C98" s="219">
        <f t="shared" si="141"/>
        <v>30099.9</v>
      </c>
      <c r="D98" s="219">
        <f t="shared" si="142"/>
        <v>17</v>
      </c>
      <c r="E98" s="219">
        <f t="shared" si="143"/>
        <v>30099</v>
      </c>
      <c r="F98" s="219">
        <f t="shared" si="144"/>
        <v>32.5</v>
      </c>
      <c r="G98" s="219">
        <f t="shared" si="145"/>
        <v>-1</v>
      </c>
      <c r="H98" s="219">
        <f t="shared" si="146"/>
        <v>73</v>
      </c>
      <c r="I98" s="155">
        <f t="shared" si="147"/>
        <v>0</v>
      </c>
      <c r="J98" s="155">
        <f t="shared" si="148"/>
        <v>0</v>
      </c>
      <c r="K98" s="155">
        <f t="shared" si="149"/>
        <v>65</v>
      </c>
      <c r="L98" s="155">
        <f t="shared" si="150"/>
        <v>10</v>
      </c>
      <c r="M98" s="156">
        <f t="shared" si="151"/>
        <v>0.21594756128757903</v>
      </c>
      <c r="N98" s="157">
        <f t="shared" si="152"/>
        <v>2.15947561287579E-2</v>
      </c>
      <c r="O98" s="155">
        <f t="shared" si="153"/>
        <v>100</v>
      </c>
      <c r="P98" s="250">
        <v>1</v>
      </c>
      <c r="Q98" s="250">
        <v>1000</v>
      </c>
      <c r="R98" s="148">
        <f t="shared" si="155"/>
        <v>2.1594756128757902</v>
      </c>
      <c r="S98" s="148">
        <f t="shared" si="156"/>
        <v>0.21594756128757903</v>
      </c>
      <c r="T98" s="148">
        <f t="shared" si="157"/>
        <v>2.1594756128757903E-2</v>
      </c>
      <c r="U98" s="148">
        <f t="shared" si="158"/>
        <v>2.1594756128757902</v>
      </c>
      <c r="V98" s="7">
        <f t="shared" si="159"/>
        <v>1000</v>
      </c>
      <c r="W98" s="7">
        <f t="shared" si="160"/>
        <v>1000000</v>
      </c>
      <c r="X98" s="1345">
        <f t="shared" si="161"/>
        <v>21.594756128757904</v>
      </c>
      <c r="Y98" s="1345">
        <f t="shared" si="162"/>
        <v>2159.4756128757904</v>
      </c>
    </row>
    <row r="99" spans="1:26" x14ac:dyDescent="0.2">
      <c r="A99" s="213" t="str">
        <f t="shared" ref="A99:B99" si="167">A379</f>
        <v>NMi VSL</v>
      </c>
      <c r="B99" s="213" t="str">
        <f t="shared" si="167"/>
        <v>VSL226686</v>
      </c>
      <c r="C99" s="219">
        <f t="shared" si="141"/>
        <v>29874.3</v>
      </c>
      <c r="D99" s="219">
        <f t="shared" si="142"/>
        <v>17</v>
      </c>
      <c r="E99" s="219">
        <f t="shared" si="143"/>
        <v>29860.000000000004</v>
      </c>
      <c r="F99" s="219">
        <f t="shared" si="144"/>
        <v>30</v>
      </c>
      <c r="G99" s="219">
        <f t="shared" si="145"/>
        <v>-14</v>
      </c>
      <c r="H99" s="219">
        <f t="shared" si="146"/>
        <v>69</v>
      </c>
      <c r="I99" s="155">
        <f t="shared" si="147"/>
        <v>0</v>
      </c>
      <c r="J99" s="155">
        <f t="shared" si="148"/>
        <v>0</v>
      </c>
      <c r="K99" s="155">
        <f t="shared" si="149"/>
        <v>60</v>
      </c>
      <c r="L99" s="155">
        <f t="shared" si="150"/>
        <v>10</v>
      </c>
      <c r="M99" s="156">
        <f t="shared" si="151"/>
        <v>0.20084152599391453</v>
      </c>
      <c r="N99" s="157">
        <f t="shared" si="152"/>
        <v>2.0084152599391451E-2</v>
      </c>
      <c r="O99" s="155">
        <f t="shared" si="153"/>
        <v>100</v>
      </c>
      <c r="P99" s="250">
        <v>1</v>
      </c>
      <c r="Q99" s="250">
        <v>1000</v>
      </c>
      <c r="R99" s="148">
        <f t="shared" si="155"/>
        <v>2.0084152599391452</v>
      </c>
      <c r="S99" s="148">
        <f t="shared" si="156"/>
        <v>0.20084152599391453</v>
      </c>
      <c r="T99" s="148">
        <f t="shared" si="157"/>
        <v>2.0084152599391451E-2</v>
      </c>
      <c r="U99" s="148">
        <f t="shared" si="158"/>
        <v>2.0084152599391452</v>
      </c>
      <c r="V99" s="7">
        <f t="shared" si="159"/>
        <v>1000</v>
      </c>
      <c r="W99" s="7">
        <f t="shared" si="160"/>
        <v>1000000</v>
      </c>
      <c r="X99" s="1345">
        <f t="shared" si="161"/>
        <v>20.084152599391452</v>
      </c>
      <c r="Y99" s="1345">
        <f t="shared" si="162"/>
        <v>2008.4152599391452</v>
      </c>
    </row>
    <row r="100" spans="1:26" x14ac:dyDescent="0.2">
      <c r="A100" s="213" t="str">
        <f t="shared" ref="A100:B100" si="168">A380</f>
        <v>CENAM</v>
      </c>
      <c r="B100" s="213" t="str">
        <f t="shared" si="168"/>
        <v>VSL126717</v>
      </c>
      <c r="C100" s="219">
        <f t="shared" si="141"/>
        <v>30016.9</v>
      </c>
      <c r="D100" s="219">
        <f t="shared" si="142"/>
        <v>16.900000000000002</v>
      </c>
      <c r="E100" s="219">
        <f t="shared" si="143"/>
        <v>29970</v>
      </c>
      <c r="F100" s="219">
        <f t="shared" si="144"/>
        <v>120</v>
      </c>
      <c r="G100" s="219">
        <f t="shared" si="145"/>
        <v>-47</v>
      </c>
      <c r="H100" s="219">
        <f t="shared" si="146"/>
        <v>242</v>
      </c>
      <c r="I100" s="155">
        <f t="shared" si="147"/>
        <v>0</v>
      </c>
      <c r="J100" s="155">
        <f t="shared" si="148"/>
        <v>0</v>
      </c>
      <c r="K100" s="155">
        <f t="shared" si="149"/>
        <v>240</v>
      </c>
      <c r="L100" s="155">
        <f t="shared" si="150"/>
        <v>10</v>
      </c>
      <c r="M100" s="156">
        <f t="shared" si="151"/>
        <v>0.79954958706595292</v>
      </c>
      <c r="N100" s="157">
        <f t="shared" si="152"/>
        <v>7.9954958706595289E-2</v>
      </c>
      <c r="O100" s="155">
        <f t="shared" si="153"/>
        <v>100</v>
      </c>
      <c r="P100" s="250">
        <v>1</v>
      </c>
      <c r="Q100" s="250">
        <v>1000</v>
      </c>
      <c r="R100" s="148">
        <f t="shared" si="155"/>
        <v>7.9954958706595294</v>
      </c>
      <c r="S100" s="148">
        <f t="shared" si="156"/>
        <v>0.79954958706595292</v>
      </c>
      <c r="T100" s="148">
        <f t="shared" si="157"/>
        <v>7.9954958706595289E-2</v>
      </c>
      <c r="U100" s="148">
        <f t="shared" si="158"/>
        <v>7.9954958706595294</v>
      </c>
      <c r="V100" s="7">
        <f t="shared" si="159"/>
        <v>1000</v>
      </c>
      <c r="W100" s="7">
        <f t="shared" si="160"/>
        <v>1000000</v>
      </c>
      <c r="X100" s="1345">
        <f t="shared" si="161"/>
        <v>79.954958706595292</v>
      </c>
      <c r="Y100" s="1345">
        <f t="shared" si="162"/>
        <v>7995.4958706595298</v>
      </c>
    </row>
    <row r="101" spans="1:26" x14ac:dyDescent="0.2">
      <c r="A101" s="213" t="str">
        <f t="shared" ref="A101:B101" si="169">A381</f>
        <v>CEM</v>
      </c>
      <c r="B101" s="213" t="str">
        <f t="shared" si="169"/>
        <v>VSL100066</v>
      </c>
      <c r="C101" s="219">
        <f t="shared" si="141"/>
        <v>29897.100000000002</v>
      </c>
      <c r="D101" s="219">
        <f t="shared" si="142"/>
        <v>16.8</v>
      </c>
      <c r="E101" s="219">
        <f t="shared" si="143"/>
        <v>29873</v>
      </c>
      <c r="F101" s="219">
        <f t="shared" si="144"/>
        <v>85</v>
      </c>
      <c r="G101" s="219">
        <f t="shared" si="145"/>
        <v>-23.999999999999996</v>
      </c>
      <c r="H101" s="219">
        <f t="shared" si="146"/>
        <v>173</v>
      </c>
      <c r="I101" s="155">
        <f t="shared" si="147"/>
        <v>0</v>
      </c>
      <c r="J101" s="155">
        <f t="shared" si="148"/>
        <v>0</v>
      </c>
      <c r="K101" s="155">
        <f t="shared" si="149"/>
        <v>170</v>
      </c>
      <c r="L101" s="155">
        <f t="shared" si="150"/>
        <v>10</v>
      </c>
      <c r="M101" s="156">
        <f t="shared" si="151"/>
        <v>0.56861702305574779</v>
      </c>
      <c r="N101" s="157">
        <f t="shared" si="152"/>
        <v>5.6861702305574774E-2</v>
      </c>
      <c r="O101" s="155">
        <f t="shared" si="153"/>
        <v>100</v>
      </c>
      <c r="P101" s="250">
        <v>1</v>
      </c>
      <c r="Q101" s="250">
        <v>1000</v>
      </c>
      <c r="R101" s="148">
        <f t="shared" si="155"/>
        <v>5.6861702305574777</v>
      </c>
      <c r="S101" s="148">
        <f t="shared" si="156"/>
        <v>0.56861702305574779</v>
      </c>
      <c r="T101" s="148">
        <f t="shared" si="157"/>
        <v>5.6861702305574781E-2</v>
      </c>
      <c r="U101" s="148">
        <f t="shared" si="158"/>
        <v>5.6861702305574786</v>
      </c>
      <c r="V101" s="7">
        <f t="shared" si="159"/>
        <v>1000</v>
      </c>
      <c r="W101" s="7">
        <f t="shared" si="160"/>
        <v>1000000</v>
      </c>
      <c r="X101" s="1345">
        <f t="shared" si="161"/>
        <v>56.861702305574781</v>
      </c>
      <c r="Y101" s="1345">
        <f t="shared" si="162"/>
        <v>5686.170230557479</v>
      </c>
    </row>
    <row r="102" spans="1:26" x14ac:dyDescent="0.2">
      <c r="A102" s="213" t="str">
        <f t="shared" ref="A102:B102" si="170">A382</f>
        <v>BAM</v>
      </c>
      <c r="B102" s="213" t="str">
        <f t="shared" si="170"/>
        <v>VSL100042</v>
      </c>
      <c r="C102" s="219">
        <f t="shared" si="141"/>
        <v>29864.3</v>
      </c>
      <c r="D102" s="219">
        <f t="shared" si="142"/>
        <v>16.8</v>
      </c>
      <c r="E102" s="219">
        <f t="shared" si="143"/>
        <v>29886</v>
      </c>
      <c r="F102" s="219">
        <f t="shared" si="144"/>
        <v>45</v>
      </c>
      <c r="G102" s="219">
        <f t="shared" si="145"/>
        <v>22</v>
      </c>
      <c r="H102" s="219">
        <f t="shared" si="146"/>
        <v>95.999999999999986</v>
      </c>
      <c r="I102" s="155">
        <f t="shared" si="147"/>
        <v>0</v>
      </c>
      <c r="J102" s="155">
        <f t="shared" si="148"/>
        <v>0</v>
      </c>
      <c r="K102" s="155">
        <f t="shared" si="149"/>
        <v>90</v>
      </c>
      <c r="L102" s="155">
        <f t="shared" si="150"/>
        <v>10</v>
      </c>
      <c r="M102" s="156">
        <f t="shared" si="151"/>
        <v>0.30136316605445296</v>
      </c>
      <c r="N102" s="157">
        <f t="shared" si="152"/>
        <v>3.0136316605445294E-2</v>
      </c>
      <c r="O102" s="155">
        <f t="shared" si="153"/>
        <v>100</v>
      </c>
      <c r="P102" s="250">
        <v>1</v>
      </c>
      <c r="Q102" s="250">
        <v>1000</v>
      </c>
      <c r="R102" s="148">
        <f t="shared" si="155"/>
        <v>3.0136316605445295</v>
      </c>
      <c r="S102" s="148">
        <f t="shared" si="156"/>
        <v>0.30136316605445296</v>
      </c>
      <c r="T102" s="148">
        <f t="shared" si="157"/>
        <v>3.0136316605445294E-2</v>
      </c>
      <c r="U102" s="148">
        <f t="shared" si="158"/>
        <v>3.0136316605445295</v>
      </c>
      <c r="V102" s="7">
        <f t="shared" si="159"/>
        <v>1000</v>
      </c>
      <c r="W102" s="7">
        <f t="shared" si="160"/>
        <v>1000000</v>
      </c>
      <c r="X102" s="1345">
        <f t="shared" si="161"/>
        <v>30.136316605445295</v>
      </c>
      <c r="Y102" s="1345">
        <f t="shared" si="162"/>
        <v>3013.6316605445295</v>
      </c>
    </row>
    <row r="103" spans="1:26" x14ac:dyDescent="0.2">
      <c r="A103" s="213" t="str">
        <f t="shared" ref="A103:B103" si="171">A383</f>
        <v>NMIA</v>
      </c>
      <c r="B103" s="213" t="str">
        <f t="shared" si="171"/>
        <v>VSL126712</v>
      </c>
      <c r="C103" s="219">
        <f t="shared" si="141"/>
        <v>29904.1</v>
      </c>
      <c r="D103" s="219">
        <f t="shared" si="142"/>
        <v>16.900000000000002</v>
      </c>
      <c r="E103" s="219">
        <f t="shared" si="143"/>
        <v>29890</v>
      </c>
      <c r="F103" s="219">
        <f t="shared" si="144"/>
        <v>13.761467889908255</v>
      </c>
      <c r="G103" s="219">
        <f t="shared" si="145"/>
        <v>-14</v>
      </c>
      <c r="H103" s="219">
        <f t="shared" si="146"/>
        <v>44</v>
      </c>
      <c r="I103" s="155">
        <f t="shared" si="147"/>
        <v>0</v>
      </c>
      <c r="J103" s="155">
        <f t="shared" si="148"/>
        <v>0</v>
      </c>
      <c r="K103" s="155">
        <f t="shared" si="149"/>
        <v>27.52293577981651</v>
      </c>
      <c r="L103" s="155">
        <f t="shared" si="150"/>
        <v>10</v>
      </c>
      <c r="M103" s="156">
        <f t="shared" si="151"/>
        <v>9.2037331937147457E-2</v>
      </c>
      <c r="N103" s="157">
        <f t="shared" si="152"/>
        <v>9.203733193714746E-3</v>
      </c>
      <c r="O103" s="155">
        <f t="shared" si="153"/>
        <v>100</v>
      </c>
      <c r="P103" s="250">
        <v>1</v>
      </c>
      <c r="Q103" s="250">
        <v>1000</v>
      </c>
      <c r="R103" s="148">
        <f t="shared" si="155"/>
        <v>0.9203733193714746</v>
      </c>
      <c r="S103" s="148">
        <f t="shared" si="156"/>
        <v>9.2037331937147457E-2</v>
      </c>
      <c r="T103" s="148">
        <f t="shared" si="157"/>
        <v>9.203733193714746E-3</v>
      </c>
      <c r="U103" s="148">
        <f t="shared" si="158"/>
        <v>0.9203733193714746</v>
      </c>
      <c r="V103" s="7">
        <f t="shared" si="159"/>
        <v>1000</v>
      </c>
      <c r="W103" s="7">
        <f t="shared" si="160"/>
        <v>1000000</v>
      </c>
      <c r="X103" s="1345">
        <f t="shared" si="161"/>
        <v>9.2037331937147453</v>
      </c>
      <c r="Y103" s="1345">
        <f t="shared" si="162"/>
        <v>920.37331937147462</v>
      </c>
    </row>
    <row r="104" spans="1:26" x14ac:dyDescent="0.2">
      <c r="A104" s="213" t="str">
        <f t="shared" ref="A104:B104" si="172">A384</f>
        <v>IPQ</v>
      </c>
      <c r="B104" s="213" t="str">
        <f t="shared" si="172"/>
        <v>VSL100038</v>
      </c>
      <c r="C104" s="219">
        <f t="shared" si="141"/>
        <v>29942.7</v>
      </c>
      <c r="D104" s="219">
        <f t="shared" si="142"/>
        <v>16.900000000000002</v>
      </c>
      <c r="E104" s="219">
        <f t="shared" si="143"/>
        <v>29970</v>
      </c>
      <c r="F104" s="219">
        <f t="shared" si="144"/>
        <v>75</v>
      </c>
      <c r="G104" s="219">
        <f t="shared" si="145"/>
        <v>27</v>
      </c>
      <c r="H104" s="219">
        <f t="shared" si="146"/>
        <v>154</v>
      </c>
      <c r="I104" s="155">
        <f t="shared" si="147"/>
        <v>0</v>
      </c>
      <c r="J104" s="155">
        <f t="shared" si="148"/>
        <v>0</v>
      </c>
      <c r="K104" s="155">
        <f t="shared" si="149"/>
        <v>150</v>
      </c>
      <c r="L104" s="155">
        <f t="shared" si="150"/>
        <v>10</v>
      </c>
      <c r="M104" s="156">
        <f t="shared" si="151"/>
        <v>0.50095682754060256</v>
      </c>
      <c r="N104" s="157">
        <f t="shared" si="152"/>
        <v>5.0095682754060261E-2</v>
      </c>
      <c r="O104" s="155">
        <f t="shared" si="153"/>
        <v>100</v>
      </c>
      <c r="P104" s="250">
        <v>1</v>
      </c>
      <c r="Q104" s="250">
        <v>1000</v>
      </c>
      <c r="R104" s="148">
        <f t="shared" si="155"/>
        <v>5.0095682754060258</v>
      </c>
      <c r="S104" s="148">
        <f t="shared" si="156"/>
        <v>0.50095682754060256</v>
      </c>
      <c r="T104" s="148">
        <f t="shared" si="157"/>
        <v>5.0095682754060261E-2</v>
      </c>
      <c r="U104" s="148">
        <f t="shared" si="158"/>
        <v>5.0095682754060258</v>
      </c>
      <c r="V104" s="7">
        <f t="shared" si="159"/>
        <v>1000</v>
      </c>
      <c r="W104" s="7">
        <f t="shared" si="160"/>
        <v>1000000</v>
      </c>
      <c r="X104" s="1345">
        <f t="shared" si="161"/>
        <v>50.095682754060263</v>
      </c>
      <c r="Y104" s="1345">
        <f t="shared" si="162"/>
        <v>5009.5682754060254</v>
      </c>
    </row>
    <row r="105" spans="1:26" x14ac:dyDescent="0.2">
      <c r="A105" s="213" t="str">
        <f t="shared" ref="A105:B105" si="173">A385</f>
        <v>INMETRO</v>
      </c>
      <c r="B105" s="213" t="str">
        <f t="shared" si="173"/>
        <v>VSL100041</v>
      </c>
      <c r="C105" s="219">
        <f t="shared" si="141"/>
        <v>29875.5</v>
      </c>
      <c r="D105" s="219">
        <f t="shared" si="142"/>
        <v>16.8</v>
      </c>
      <c r="E105" s="219">
        <f t="shared" si="143"/>
        <v>29820.000000000004</v>
      </c>
      <c r="F105" s="219">
        <f t="shared" si="144"/>
        <v>165</v>
      </c>
      <c r="G105" s="219">
        <f t="shared" si="145"/>
        <v>-55</v>
      </c>
      <c r="H105" s="219">
        <f t="shared" si="146"/>
        <v>332</v>
      </c>
      <c r="I105" s="155">
        <f t="shared" si="147"/>
        <v>0</v>
      </c>
      <c r="J105" s="155">
        <f t="shared" si="148"/>
        <v>0</v>
      </c>
      <c r="K105" s="155">
        <f t="shared" si="149"/>
        <v>330</v>
      </c>
      <c r="L105" s="155">
        <f t="shared" si="150"/>
        <v>10</v>
      </c>
      <c r="M105" s="156">
        <f t="shared" si="151"/>
        <v>1.1045840236983482</v>
      </c>
      <c r="N105" s="157">
        <f t="shared" si="152"/>
        <v>0.11045840236983481</v>
      </c>
      <c r="O105" s="155">
        <f t="shared" si="153"/>
        <v>100</v>
      </c>
      <c r="P105" s="250">
        <v>1</v>
      </c>
      <c r="Q105" s="250">
        <v>1000</v>
      </c>
      <c r="R105" s="148">
        <f t="shared" si="155"/>
        <v>11.045840236983482</v>
      </c>
      <c r="S105" s="148">
        <f t="shared" si="156"/>
        <v>1.1045840236983482</v>
      </c>
      <c r="T105" s="148">
        <f t="shared" si="157"/>
        <v>0.11045840236983483</v>
      </c>
      <c r="U105" s="148">
        <f t="shared" si="158"/>
        <v>11.045840236983482</v>
      </c>
      <c r="V105" s="7">
        <f t="shared" si="159"/>
        <v>1000</v>
      </c>
      <c r="W105" s="7">
        <f t="shared" si="160"/>
        <v>1000000</v>
      </c>
      <c r="X105" s="1345">
        <f t="shared" si="161"/>
        <v>110.45840236983483</v>
      </c>
      <c r="Y105" s="1345">
        <f t="shared" si="162"/>
        <v>11045.840236983482</v>
      </c>
    </row>
    <row r="106" spans="1:26" x14ac:dyDescent="0.2">
      <c r="A106" s="213" t="str">
        <f t="shared" ref="A106:B106" si="174">A386</f>
        <v>GUM</v>
      </c>
      <c r="B106" s="213" t="str">
        <f t="shared" si="174"/>
        <v>VSL100044</v>
      </c>
      <c r="C106" s="219">
        <f t="shared" si="141"/>
        <v>29926.799999999999</v>
      </c>
      <c r="D106" s="219">
        <f t="shared" si="142"/>
        <v>16.900000000000002</v>
      </c>
      <c r="E106" s="219">
        <f t="shared" si="143"/>
        <v>29960</v>
      </c>
      <c r="F106" s="219">
        <f t="shared" si="144"/>
        <v>105</v>
      </c>
      <c r="G106" s="219">
        <f t="shared" si="145"/>
        <v>33</v>
      </c>
      <c r="H106" s="219">
        <f t="shared" si="146"/>
        <v>213</v>
      </c>
      <c r="I106" s="155">
        <f t="shared" si="147"/>
        <v>0</v>
      </c>
      <c r="J106" s="155">
        <f t="shared" si="148"/>
        <v>0</v>
      </c>
      <c r="K106" s="155">
        <f t="shared" si="149"/>
        <v>210</v>
      </c>
      <c r="L106" s="155">
        <f t="shared" si="150"/>
        <v>10</v>
      </c>
      <c r="M106" s="156">
        <f t="shared" si="151"/>
        <v>0.70171217771362127</v>
      </c>
      <c r="N106" s="157">
        <f t="shared" si="152"/>
        <v>7.0171217771362121E-2</v>
      </c>
      <c r="O106" s="155">
        <f t="shared" si="153"/>
        <v>100</v>
      </c>
      <c r="P106" s="250">
        <v>1</v>
      </c>
      <c r="Q106" s="250">
        <v>1000</v>
      </c>
      <c r="R106" s="148">
        <f t="shared" si="155"/>
        <v>7.0171217771362127</v>
      </c>
      <c r="S106" s="148">
        <f t="shared" si="156"/>
        <v>0.70171217771362127</v>
      </c>
      <c r="T106" s="148">
        <f t="shared" si="157"/>
        <v>7.0171217771362135E-2</v>
      </c>
      <c r="U106" s="148">
        <f t="shared" si="158"/>
        <v>7.0171217771362127</v>
      </c>
      <c r="V106" s="7">
        <f t="shared" si="159"/>
        <v>1000</v>
      </c>
      <c r="W106" s="7">
        <f t="shared" si="160"/>
        <v>1000000</v>
      </c>
      <c r="X106" s="1345">
        <f t="shared" si="161"/>
        <v>70.171217771362137</v>
      </c>
      <c r="Y106" s="1345">
        <f t="shared" si="162"/>
        <v>7017.1217771362126</v>
      </c>
    </row>
    <row r="107" spans="1:26" x14ac:dyDescent="0.2">
      <c r="A107" s="213" t="str">
        <f t="shared" ref="A107:B107" si="175">A387</f>
        <v>NRCCRM</v>
      </c>
      <c r="B107" s="213" t="str">
        <f t="shared" si="175"/>
        <v>VSL126730</v>
      </c>
      <c r="C107" s="219">
        <f t="shared" si="141"/>
        <v>30005.5</v>
      </c>
      <c r="D107" s="219">
        <f t="shared" si="142"/>
        <v>16.900000000000002</v>
      </c>
      <c r="E107" s="219">
        <f t="shared" si="143"/>
        <v>30130</v>
      </c>
      <c r="F107" s="219">
        <f t="shared" si="144"/>
        <v>225.99999999999997</v>
      </c>
      <c r="G107" s="219">
        <f t="shared" si="145"/>
        <v>125</v>
      </c>
      <c r="H107" s="219">
        <f t="shared" si="146"/>
        <v>453</v>
      </c>
      <c r="I107" s="155">
        <f t="shared" si="147"/>
        <v>0</v>
      </c>
      <c r="J107" s="155">
        <f t="shared" si="148"/>
        <v>0</v>
      </c>
      <c r="K107" s="155">
        <f t="shared" si="149"/>
        <v>451.99999999999994</v>
      </c>
      <c r="L107" s="155">
        <f t="shared" si="150"/>
        <v>10</v>
      </c>
      <c r="M107" s="156">
        <f t="shared" si="151"/>
        <v>1.5063904950759024</v>
      </c>
      <c r="N107" s="157">
        <f t="shared" si="152"/>
        <v>0.15063904950759024</v>
      </c>
      <c r="O107" s="155">
        <f t="shared" si="153"/>
        <v>100</v>
      </c>
      <c r="P107" s="250">
        <v>1</v>
      </c>
      <c r="Q107" s="250">
        <v>1000</v>
      </c>
      <c r="R107" s="148">
        <f t="shared" si="155"/>
        <v>15.063904950759024</v>
      </c>
      <c r="S107" s="148">
        <f t="shared" si="156"/>
        <v>1.5063904950759024</v>
      </c>
      <c r="T107" s="148">
        <f t="shared" si="157"/>
        <v>0.15063904950759024</v>
      </c>
      <c r="U107" s="148">
        <f t="shared" si="158"/>
        <v>15.063904950759024</v>
      </c>
      <c r="V107" s="7">
        <f t="shared" si="159"/>
        <v>1000</v>
      </c>
      <c r="W107" s="7">
        <f t="shared" si="160"/>
        <v>1000000</v>
      </c>
      <c r="X107" s="1345">
        <f t="shared" si="161"/>
        <v>150.63904950759024</v>
      </c>
      <c r="Y107" s="1345">
        <f t="shared" si="162"/>
        <v>15063.904950759024</v>
      </c>
    </row>
    <row r="108" spans="1:26" x14ac:dyDescent="0.2">
      <c r="A108" s="213" t="str">
        <f t="shared" ref="A108:B108" si="176">A388</f>
        <v>KRISS</v>
      </c>
      <c r="B108" s="213" t="str">
        <f t="shared" si="176"/>
        <v>VSL126709</v>
      </c>
      <c r="C108" s="219">
        <f t="shared" si="141"/>
        <v>30100.2</v>
      </c>
      <c r="D108" s="219">
        <f t="shared" si="142"/>
        <v>17</v>
      </c>
      <c r="E108" s="219">
        <f t="shared" si="143"/>
        <v>30069</v>
      </c>
      <c r="F108" s="219">
        <f t="shared" si="144"/>
        <v>30</v>
      </c>
      <c r="G108" s="219">
        <f t="shared" si="145"/>
        <v>-31</v>
      </c>
      <c r="H108" s="219">
        <f t="shared" si="146"/>
        <v>69</v>
      </c>
      <c r="I108" s="155">
        <f t="shared" si="147"/>
        <v>0</v>
      </c>
      <c r="J108" s="155">
        <f t="shared" si="148"/>
        <v>0</v>
      </c>
      <c r="K108" s="155">
        <f t="shared" si="149"/>
        <v>60</v>
      </c>
      <c r="L108" s="155">
        <f t="shared" si="150"/>
        <v>10</v>
      </c>
      <c r="M108" s="156">
        <f t="shared" si="151"/>
        <v>0.1993342236928658</v>
      </c>
      <c r="N108" s="157">
        <f t="shared" si="152"/>
        <v>1.993342236928658E-2</v>
      </c>
      <c r="O108" s="155">
        <f t="shared" si="153"/>
        <v>100</v>
      </c>
      <c r="P108" s="250">
        <v>1</v>
      </c>
      <c r="Q108" s="250">
        <v>1000</v>
      </c>
      <c r="R108" s="148">
        <f t="shared" si="155"/>
        <v>1.993342236928658</v>
      </c>
      <c r="S108" s="148">
        <f t="shared" si="156"/>
        <v>0.1993342236928658</v>
      </c>
      <c r="T108" s="148">
        <f t="shared" si="157"/>
        <v>1.993342236928658E-2</v>
      </c>
      <c r="U108" s="148">
        <f t="shared" si="158"/>
        <v>1.9933422369286582</v>
      </c>
      <c r="V108" s="7">
        <f t="shared" si="159"/>
        <v>1000</v>
      </c>
      <c r="W108" s="7">
        <f t="shared" si="160"/>
        <v>1000000</v>
      </c>
      <c r="X108" s="1345">
        <f t="shared" si="161"/>
        <v>19.933422369286578</v>
      </c>
      <c r="Y108" s="1345">
        <f t="shared" si="162"/>
        <v>1993.3422369286582</v>
      </c>
    </row>
    <row r="109" spans="1:26" ht="14.25" x14ac:dyDescent="0.2">
      <c r="H109" s="9"/>
      <c r="U109" s="152"/>
      <c r="V109" s="21"/>
      <c r="W109" s="21"/>
      <c r="X109" s="21"/>
      <c r="Y109" s="21"/>
      <c r="Z109" s="21"/>
    </row>
    <row r="110" spans="1:26" ht="15.75" x14ac:dyDescent="0.2">
      <c r="A110" s="103" t="str">
        <f>A390</f>
        <v>Ethane, mixture  III</v>
      </c>
      <c r="B110" s="97"/>
      <c r="C110" s="97"/>
      <c r="D110" s="97"/>
      <c r="E110" s="97"/>
      <c r="F110" s="97"/>
      <c r="G110" s="97"/>
      <c r="H110" s="97"/>
      <c r="I110" s="113"/>
      <c r="J110" s="113"/>
      <c r="K110" s="113"/>
      <c r="L110" s="113"/>
      <c r="M110" s="113"/>
      <c r="N110" s="113"/>
      <c r="O110" s="113"/>
      <c r="R110" s="113"/>
      <c r="S110" s="113"/>
      <c r="T110" s="146"/>
      <c r="U110" s="146"/>
    </row>
    <row r="111" spans="1:26" ht="102" x14ac:dyDescent="0.2">
      <c r="A111" s="211" t="s">
        <v>0</v>
      </c>
      <c r="B111" s="212" t="s">
        <v>1</v>
      </c>
      <c r="C111" s="212" t="s">
        <v>133</v>
      </c>
      <c r="D111" s="212" t="s">
        <v>199</v>
      </c>
      <c r="E111" s="212" t="s">
        <v>135</v>
      </c>
      <c r="F111" s="212" t="s">
        <v>200</v>
      </c>
      <c r="G111" s="212" t="s">
        <v>137</v>
      </c>
      <c r="H111" s="212" t="s">
        <v>201</v>
      </c>
      <c r="I111" s="104" t="s">
        <v>8</v>
      </c>
      <c r="J111" s="104" t="s">
        <v>9</v>
      </c>
      <c r="K111" s="104" t="s">
        <v>107</v>
      </c>
      <c r="L111" s="104" t="s">
        <v>14</v>
      </c>
      <c r="M111" s="104" t="s">
        <v>1057</v>
      </c>
      <c r="N111" s="104" t="s">
        <v>1058</v>
      </c>
      <c r="O111" s="104" t="s">
        <v>100</v>
      </c>
      <c r="P111" s="6" t="s">
        <v>105</v>
      </c>
      <c r="Q111" s="6" t="s">
        <v>106</v>
      </c>
      <c r="R111" s="104" t="s">
        <v>1051</v>
      </c>
      <c r="S111" s="104" t="s">
        <v>1052</v>
      </c>
      <c r="T111" s="147" t="s">
        <v>1053</v>
      </c>
      <c r="U111" s="147" t="s">
        <v>1054</v>
      </c>
      <c r="V111" s="5" t="s">
        <v>101</v>
      </c>
      <c r="W111" s="5" t="s">
        <v>102</v>
      </c>
      <c r="X111" s="112" t="s">
        <v>1055</v>
      </c>
      <c r="Y111" s="112" t="s">
        <v>1056</v>
      </c>
    </row>
    <row r="112" spans="1:26" x14ac:dyDescent="0.2">
      <c r="A112" s="213" t="str">
        <f>A392</f>
        <v>NPL</v>
      </c>
      <c r="B112" s="213" t="str">
        <f>B392</f>
        <v>VSL206333</v>
      </c>
      <c r="C112" s="219">
        <f t="shared" ref="C112:C127" si="177">C392*10000</f>
        <v>29896.3</v>
      </c>
      <c r="D112" s="219">
        <f t="shared" ref="D112:D127" si="178">F392*10000</f>
        <v>16.900000000000002</v>
      </c>
      <c r="E112" s="219">
        <f t="shared" ref="E112:E127" si="179">G392*10000</f>
        <v>29900.000000000004</v>
      </c>
      <c r="F112" s="219">
        <f t="shared" ref="F112:F127" si="180">H392/I392*10000</f>
        <v>25</v>
      </c>
      <c r="G112" s="219">
        <f t="shared" ref="G112:G127" si="181">J392*10000</f>
        <v>4</v>
      </c>
      <c r="H112" s="219">
        <f t="shared" ref="H112:H127" si="182">L392*10000</f>
        <v>61.000000000000007</v>
      </c>
      <c r="I112" s="155">
        <f t="shared" ref="I112:I127" si="183">IF(ABS(G112)&gt;ABS(H112), 1, 0)</f>
        <v>0</v>
      </c>
      <c r="J112" s="155">
        <f t="shared" ref="J112:J127" si="184">I112*ABS(C112-E112)</f>
        <v>0</v>
      </c>
      <c r="K112" s="155">
        <f t="shared" ref="K112:K127" si="185">SQRT(SUMSQ(F112,J112))*2</f>
        <v>50</v>
      </c>
      <c r="L112" s="155">
        <f t="shared" ref="L112:L127" si="186">IF(C112&lt;$K$2, C112, $K$1)</f>
        <v>10</v>
      </c>
      <c r="M112" s="156">
        <f t="shared" ref="M112:M127" si="187">IF(AND(C112&lt;$K$1,C112&gt; $K$2), K112/L112*100, K112/C112*100)</f>
        <v>0.16724477610941824</v>
      </c>
      <c r="N112" s="157">
        <f t="shared" ref="N112:N127" si="188">M112*L112/100</f>
        <v>1.6724477610941823E-2</v>
      </c>
      <c r="O112" s="155">
        <f t="shared" ref="O112:O127" si="189">N112/(M112*L112/100)*100</f>
        <v>100</v>
      </c>
      <c r="P112" s="250">
        <v>1</v>
      </c>
      <c r="Q112" s="250">
        <v>1000</v>
      </c>
      <c r="R112" s="148">
        <f>IF( IF(P112&lt;L112, M112*L112/P112, M112)&gt;100, "ERROR",  IF(P112&lt;L112, M112*L112/P112, M112))</f>
        <v>1.6724477610941824</v>
      </c>
      <c r="S112" s="148">
        <f>IF(IF(Q112&lt;L112, M112*L112/Q112, M112)&gt;100, "ERROR", IF(Q112&lt;L112, M112*L112/Q112, M112))</f>
        <v>0.16724477610941824</v>
      </c>
      <c r="T112" s="148">
        <f>R112*P112*0.01</f>
        <v>1.6724477610941823E-2</v>
      </c>
      <c r="U112" s="148">
        <f>S112*Q112*0.01</f>
        <v>1.6724477610941824</v>
      </c>
      <c r="V112" s="7">
        <f>P112*1000</f>
        <v>1000</v>
      </c>
      <c r="W112" s="7">
        <f>Q112*1000</f>
        <v>1000000</v>
      </c>
      <c r="X112" s="1345">
        <f>T112*1000</f>
        <v>16.724477610941822</v>
      </c>
      <c r="Y112" s="1345">
        <f>U112*1000</f>
        <v>1672.4477610941824</v>
      </c>
    </row>
    <row r="113" spans="1:26" x14ac:dyDescent="0.2">
      <c r="A113" s="213" t="str">
        <f t="shared" ref="A113:B113" si="190">A393</f>
        <v>SMU</v>
      </c>
      <c r="B113" s="213" t="str">
        <f t="shared" si="190"/>
        <v>VSL202622</v>
      </c>
      <c r="C113" s="219">
        <f t="shared" si="177"/>
        <v>30006.300000000003</v>
      </c>
      <c r="D113" s="219">
        <f t="shared" si="178"/>
        <v>17</v>
      </c>
      <c r="E113" s="219">
        <f t="shared" si="179"/>
        <v>30280</v>
      </c>
      <c r="F113" s="219">
        <f t="shared" si="180"/>
        <v>60</v>
      </c>
      <c r="G113" s="219">
        <f t="shared" si="181"/>
        <v>274</v>
      </c>
      <c r="H113" s="219">
        <f t="shared" si="182"/>
        <v>125</v>
      </c>
      <c r="I113" s="155">
        <f t="shared" si="183"/>
        <v>1</v>
      </c>
      <c r="J113" s="155">
        <f t="shared" si="184"/>
        <v>273.69999999999709</v>
      </c>
      <c r="K113" s="155">
        <f t="shared" si="185"/>
        <v>560.39875089082204</v>
      </c>
      <c r="L113" s="155">
        <f t="shared" si="186"/>
        <v>10</v>
      </c>
      <c r="M113" s="156">
        <f t="shared" si="187"/>
        <v>1.8676036395384368</v>
      </c>
      <c r="N113" s="157">
        <f t="shared" si="188"/>
        <v>0.18676036395384368</v>
      </c>
      <c r="O113" s="155">
        <f t="shared" si="189"/>
        <v>100</v>
      </c>
      <c r="P113" s="250">
        <v>1</v>
      </c>
      <c r="Q113" s="250">
        <v>1000</v>
      </c>
      <c r="R113" s="148">
        <f t="shared" ref="R113:R127" si="191">IF( IF(P113&lt;L113, M113*L113/P113, M113)&gt;100, "ERROR",  IF(P113&lt;L113, M113*L113/P113, M113))</f>
        <v>18.676036395384369</v>
      </c>
      <c r="S113" s="148">
        <f t="shared" ref="S113:S127" si="192">IF(IF(Q113&lt;L113, M113*L113/Q113, M113)&gt;100, "ERROR", IF(Q113&lt;L113, M113*L113/Q113, M113))</f>
        <v>1.8676036395384368</v>
      </c>
      <c r="T113" s="148">
        <f t="shared" ref="T113:T127" si="193">R113*P113*0.01</f>
        <v>0.18676036395384368</v>
      </c>
      <c r="U113" s="148">
        <f t="shared" ref="U113:U127" si="194">S113*Q113*0.01</f>
        <v>18.676036395384369</v>
      </c>
      <c r="V113" s="7">
        <f t="shared" ref="V113:V127" si="195">P113*1000</f>
        <v>1000</v>
      </c>
      <c r="W113" s="7">
        <f t="shared" ref="W113:W127" si="196">Q113*1000</f>
        <v>1000000</v>
      </c>
      <c r="X113" s="1345">
        <f t="shared" ref="X113:X127" si="197">T113*1000</f>
        <v>186.76036395384369</v>
      </c>
      <c r="Y113" s="1345">
        <f t="shared" ref="Y113:Y127" si="198">U113*1000</f>
        <v>18676.03639538437</v>
      </c>
    </row>
    <row r="114" spans="1:26" x14ac:dyDescent="0.2">
      <c r="A114" s="213" t="str">
        <f t="shared" ref="A114:B114" si="199">A394</f>
        <v>CMI</v>
      </c>
      <c r="B114" s="213" t="str">
        <f t="shared" si="199"/>
        <v>VSL205133</v>
      </c>
      <c r="C114" s="219">
        <f t="shared" si="177"/>
        <v>29867.200000000001</v>
      </c>
      <c r="D114" s="219">
        <f t="shared" si="178"/>
        <v>16.900000000000002</v>
      </c>
      <c r="E114" s="219">
        <f t="shared" si="179"/>
        <v>29630</v>
      </c>
      <c r="F114" s="219">
        <f t="shared" si="180"/>
        <v>145</v>
      </c>
      <c r="G114" s="219">
        <f t="shared" si="181"/>
        <v>-237</v>
      </c>
      <c r="H114" s="219">
        <f t="shared" si="182"/>
        <v>292</v>
      </c>
      <c r="I114" s="155">
        <f t="shared" si="183"/>
        <v>0</v>
      </c>
      <c r="J114" s="155">
        <f t="shared" si="184"/>
        <v>0</v>
      </c>
      <c r="K114" s="155">
        <f t="shared" si="185"/>
        <v>290</v>
      </c>
      <c r="L114" s="155">
        <f t="shared" si="186"/>
        <v>10</v>
      </c>
      <c r="M114" s="156">
        <f t="shared" si="187"/>
        <v>0.97096480419992492</v>
      </c>
      <c r="N114" s="157">
        <f t="shared" si="188"/>
        <v>9.7096480419992498E-2</v>
      </c>
      <c r="O114" s="155">
        <f t="shared" si="189"/>
        <v>100</v>
      </c>
      <c r="P114" s="250">
        <v>1</v>
      </c>
      <c r="Q114" s="250">
        <v>1000</v>
      </c>
      <c r="R114" s="148">
        <f t="shared" si="191"/>
        <v>9.7096480419992499</v>
      </c>
      <c r="S114" s="148">
        <f t="shared" si="192"/>
        <v>0.97096480419992492</v>
      </c>
      <c r="T114" s="148">
        <f t="shared" si="193"/>
        <v>9.7096480419992498E-2</v>
      </c>
      <c r="U114" s="148">
        <f t="shared" si="194"/>
        <v>9.7096480419992499</v>
      </c>
      <c r="V114" s="7">
        <f t="shared" si="195"/>
        <v>1000</v>
      </c>
      <c r="W114" s="7">
        <f t="shared" si="196"/>
        <v>1000000</v>
      </c>
      <c r="X114" s="1345">
        <f t="shared" si="197"/>
        <v>97.096480419992503</v>
      </c>
      <c r="Y114" s="1345">
        <f t="shared" si="198"/>
        <v>9709.6480419992495</v>
      </c>
    </row>
    <row r="115" spans="1:26" x14ac:dyDescent="0.2">
      <c r="A115" s="213" t="str">
        <f t="shared" ref="A115:B115" si="200">A395</f>
        <v>VNIIM</v>
      </c>
      <c r="B115" s="213" t="str">
        <f t="shared" si="200"/>
        <v>VSL202624</v>
      </c>
      <c r="C115" s="219">
        <f t="shared" si="177"/>
        <v>29982.1</v>
      </c>
      <c r="D115" s="219">
        <f t="shared" si="178"/>
        <v>17</v>
      </c>
      <c r="E115" s="219">
        <f t="shared" si="179"/>
        <v>29960</v>
      </c>
      <c r="F115" s="219">
        <f t="shared" si="180"/>
        <v>50</v>
      </c>
      <c r="G115" s="219">
        <f t="shared" si="181"/>
        <v>-22</v>
      </c>
      <c r="H115" s="219">
        <f t="shared" si="182"/>
        <v>106</v>
      </c>
      <c r="I115" s="155">
        <f t="shared" si="183"/>
        <v>0</v>
      </c>
      <c r="J115" s="155">
        <f t="shared" si="184"/>
        <v>0</v>
      </c>
      <c r="K115" s="155">
        <f t="shared" si="185"/>
        <v>100</v>
      </c>
      <c r="L115" s="155">
        <f t="shared" si="186"/>
        <v>10</v>
      </c>
      <c r="M115" s="156">
        <f t="shared" si="187"/>
        <v>0.33353234096344153</v>
      </c>
      <c r="N115" s="157">
        <f t="shared" si="188"/>
        <v>3.335323409634415E-2</v>
      </c>
      <c r="O115" s="155">
        <f t="shared" si="189"/>
        <v>100</v>
      </c>
      <c r="P115" s="250">
        <v>1</v>
      </c>
      <c r="Q115" s="250">
        <v>1000</v>
      </c>
      <c r="R115" s="148">
        <f t="shared" si="191"/>
        <v>3.3353234096344151</v>
      </c>
      <c r="S115" s="148">
        <f t="shared" si="192"/>
        <v>0.33353234096344153</v>
      </c>
      <c r="T115" s="148">
        <f t="shared" si="193"/>
        <v>3.335323409634415E-2</v>
      </c>
      <c r="U115" s="148">
        <f t="shared" si="194"/>
        <v>3.3353234096344155</v>
      </c>
      <c r="V115" s="7">
        <f t="shared" si="195"/>
        <v>1000</v>
      </c>
      <c r="W115" s="7">
        <f t="shared" si="196"/>
        <v>1000000</v>
      </c>
      <c r="X115" s="1345">
        <f t="shared" si="197"/>
        <v>33.353234096344153</v>
      </c>
      <c r="Y115" s="1345">
        <f t="shared" si="198"/>
        <v>3335.3234096344154</v>
      </c>
    </row>
    <row r="116" spans="1:26" x14ac:dyDescent="0.2">
      <c r="A116" s="213" t="str">
        <f t="shared" ref="A116:B116" si="201">A396</f>
        <v>OMH</v>
      </c>
      <c r="B116" s="213" t="str">
        <f t="shared" si="201"/>
        <v>VSL206344</v>
      </c>
      <c r="C116" s="219">
        <f t="shared" si="177"/>
        <v>29966.499999999996</v>
      </c>
      <c r="D116" s="219">
        <f t="shared" si="178"/>
        <v>16.900000000000002</v>
      </c>
      <c r="E116" s="219">
        <f t="shared" si="179"/>
        <v>30010</v>
      </c>
      <c r="F116" s="219">
        <f t="shared" si="180"/>
        <v>16.460905349794238</v>
      </c>
      <c r="G116" s="219">
        <f t="shared" si="181"/>
        <v>40</v>
      </c>
      <c r="H116" s="219">
        <f t="shared" si="182"/>
        <v>47.999999999999993</v>
      </c>
      <c r="I116" s="155">
        <f t="shared" si="183"/>
        <v>0</v>
      </c>
      <c r="J116" s="155">
        <f t="shared" si="184"/>
        <v>0</v>
      </c>
      <c r="K116" s="155">
        <f t="shared" si="185"/>
        <v>32.921810699588477</v>
      </c>
      <c r="L116" s="155">
        <f t="shared" si="186"/>
        <v>10</v>
      </c>
      <c r="M116" s="156">
        <f t="shared" si="187"/>
        <v>0.10986204828588084</v>
      </c>
      <c r="N116" s="157">
        <f t="shared" si="188"/>
        <v>1.0986204828588085E-2</v>
      </c>
      <c r="O116" s="155">
        <f t="shared" si="189"/>
        <v>100</v>
      </c>
      <c r="P116" s="250">
        <v>1</v>
      </c>
      <c r="Q116" s="250">
        <v>1000</v>
      </c>
      <c r="R116" s="148">
        <f t="shared" si="191"/>
        <v>1.0986204828588084</v>
      </c>
      <c r="S116" s="148">
        <f t="shared" si="192"/>
        <v>0.10986204828588084</v>
      </c>
      <c r="T116" s="148">
        <f t="shared" si="193"/>
        <v>1.0986204828588085E-2</v>
      </c>
      <c r="U116" s="148">
        <f t="shared" si="194"/>
        <v>1.0986204828588084</v>
      </c>
      <c r="V116" s="7">
        <f t="shared" si="195"/>
        <v>1000</v>
      </c>
      <c r="W116" s="7">
        <f t="shared" si="196"/>
        <v>1000000</v>
      </c>
      <c r="X116" s="1345">
        <f t="shared" si="197"/>
        <v>10.986204828588084</v>
      </c>
      <c r="Y116" s="1345">
        <f t="shared" si="198"/>
        <v>1098.6204828588084</v>
      </c>
    </row>
    <row r="117" spans="1:26" x14ac:dyDescent="0.2">
      <c r="A117" s="213" t="str">
        <f t="shared" ref="A117:B117" si="202">A397</f>
        <v>LNE</v>
      </c>
      <c r="B117" s="213" t="str">
        <f t="shared" si="202"/>
        <v>VSL202614</v>
      </c>
      <c r="C117" s="219">
        <f t="shared" si="177"/>
        <v>30092.400000000001</v>
      </c>
      <c r="D117" s="219">
        <f t="shared" si="178"/>
        <v>17</v>
      </c>
      <c r="E117" s="219">
        <f t="shared" si="179"/>
        <v>30099.999999999996</v>
      </c>
      <c r="F117" s="219">
        <f t="shared" si="180"/>
        <v>35</v>
      </c>
      <c r="G117" s="219">
        <f t="shared" si="181"/>
        <v>2.9999999999999996</v>
      </c>
      <c r="H117" s="219">
        <f t="shared" si="182"/>
        <v>81</v>
      </c>
      <c r="I117" s="155">
        <f t="shared" si="183"/>
        <v>0</v>
      </c>
      <c r="J117" s="155">
        <f t="shared" si="184"/>
        <v>0</v>
      </c>
      <c r="K117" s="155">
        <f t="shared" si="185"/>
        <v>70</v>
      </c>
      <c r="L117" s="155">
        <f t="shared" si="186"/>
        <v>10</v>
      </c>
      <c r="M117" s="156">
        <f t="shared" si="187"/>
        <v>0.23261687336337414</v>
      </c>
      <c r="N117" s="157">
        <f t="shared" si="188"/>
        <v>2.3261687336337412E-2</v>
      </c>
      <c r="O117" s="155">
        <f t="shared" si="189"/>
        <v>100</v>
      </c>
      <c r="P117" s="250">
        <v>1</v>
      </c>
      <c r="Q117" s="250">
        <v>1000</v>
      </c>
      <c r="R117" s="148">
        <f t="shared" si="191"/>
        <v>2.3261687336337413</v>
      </c>
      <c r="S117" s="148">
        <f t="shared" si="192"/>
        <v>0.23261687336337414</v>
      </c>
      <c r="T117" s="148">
        <f t="shared" si="193"/>
        <v>2.3261687336337412E-2</v>
      </c>
      <c r="U117" s="148">
        <f t="shared" si="194"/>
        <v>2.3261687336337413</v>
      </c>
      <c r="V117" s="7">
        <f t="shared" si="195"/>
        <v>1000</v>
      </c>
      <c r="W117" s="7">
        <f t="shared" si="196"/>
        <v>1000000</v>
      </c>
      <c r="X117" s="1345">
        <f t="shared" si="197"/>
        <v>23.261687336337413</v>
      </c>
      <c r="Y117" s="1345">
        <f t="shared" si="198"/>
        <v>2326.1687336337413</v>
      </c>
    </row>
    <row r="118" spans="1:26" x14ac:dyDescent="0.2">
      <c r="A118" s="213" t="str">
        <f t="shared" ref="A118:B118" si="203">A398</f>
        <v>NMi VSL</v>
      </c>
      <c r="B118" s="213" t="str">
        <f t="shared" si="203"/>
        <v>VSL300636</v>
      </c>
      <c r="C118" s="219">
        <f t="shared" si="177"/>
        <v>29955.5</v>
      </c>
      <c r="D118" s="219">
        <f t="shared" si="178"/>
        <v>17</v>
      </c>
      <c r="E118" s="219">
        <f t="shared" si="179"/>
        <v>29940.000000000004</v>
      </c>
      <c r="F118" s="219">
        <f t="shared" si="180"/>
        <v>45</v>
      </c>
      <c r="G118" s="219">
        <f t="shared" si="181"/>
        <v>-15</v>
      </c>
      <c r="H118" s="219">
        <f t="shared" si="182"/>
        <v>95.999999999999986</v>
      </c>
      <c r="I118" s="155">
        <f t="shared" si="183"/>
        <v>0</v>
      </c>
      <c r="J118" s="155">
        <f t="shared" si="184"/>
        <v>0</v>
      </c>
      <c r="K118" s="155">
        <f t="shared" si="185"/>
        <v>90</v>
      </c>
      <c r="L118" s="155">
        <f t="shared" si="186"/>
        <v>10</v>
      </c>
      <c r="M118" s="156">
        <f t="shared" si="187"/>
        <v>0.30044566106391146</v>
      </c>
      <c r="N118" s="157">
        <f t="shared" si="188"/>
        <v>3.0044566106391148E-2</v>
      </c>
      <c r="O118" s="155">
        <f t="shared" si="189"/>
        <v>100</v>
      </c>
      <c r="P118" s="250">
        <v>1</v>
      </c>
      <c r="Q118" s="250">
        <v>1000</v>
      </c>
      <c r="R118" s="148">
        <f t="shared" si="191"/>
        <v>3.0044566106391146</v>
      </c>
      <c r="S118" s="148">
        <f t="shared" si="192"/>
        <v>0.30044566106391146</v>
      </c>
      <c r="T118" s="148">
        <f t="shared" si="193"/>
        <v>3.0044566106391148E-2</v>
      </c>
      <c r="U118" s="148">
        <f t="shared" si="194"/>
        <v>3.0044566106391146</v>
      </c>
      <c r="V118" s="7">
        <f t="shared" si="195"/>
        <v>1000</v>
      </c>
      <c r="W118" s="7">
        <f t="shared" si="196"/>
        <v>1000000</v>
      </c>
      <c r="X118" s="1345">
        <f t="shared" si="197"/>
        <v>30.044566106391148</v>
      </c>
      <c r="Y118" s="1345">
        <f t="shared" si="198"/>
        <v>3004.4566106391148</v>
      </c>
    </row>
    <row r="119" spans="1:26" x14ac:dyDescent="0.2">
      <c r="A119" s="213" t="str">
        <f t="shared" ref="A119:B119" si="204">A399</f>
        <v>CENAM</v>
      </c>
      <c r="B119" s="213" t="str">
        <f t="shared" si="204"/>
        <v>VSL160258</v>
      </c>
      <c r="C119" s="219">
        <f t="shared" si="177"/>
        <v>29763.199999999997</v>
      </c>
      <c r="D119" s="219">
        <f t="shared" si="178"/>
        <v>16.900000000000002</v>
      </c>
      <c r="E119" s="219">
        <f t="shared" si="179"/>
        <v>29820.000000000004</v>
      </c>
      <c r="F119" s="219">
        <f t="shared" si="180"/>
        <v>170</v>
      </c>
      <c r="G119" s="219">
        <f t="shared" si="181"/>
        <v>57</v>
      </c>
      <c r="H119" s="219">
        <f t="shared" si="182"/>
        <v>342</v>
      </c>
      <c r="I119" s="155">
        <f t="shared" si="183"/>
        <v>0</v>
      </c>
      <c r="J119" s="155">
        <f t="shared" si="184"/>
        <v>0</v>
      </c>
      <c r="K119" s="155">
        <f t="shared" si="185"/>
        <v>340</v>
      </c>
      <c r="L119" s="155">
        <f t="shared" si="186"/>
        <v>10</v>
      </c>
      <c r="M119" s="156">
        <f t="shared" si="187"/>
        <v>1.1423502849156006</v>
      </c>
      <c r="N119" s="157">
        <f t="shared" si="188"/>
        <v>0.11423502849156007</v>
      </c>
      <c r="O119" s="155">
        <f t="shared" si="189"/>
        <v>100</v>
      </c>
      <c r="P119" s="250">
        <v>1</v>
      </c>
      <c r="Q119" s="250">
        <v>1000</v>
      </c>
      <c r="R119" s="148">
        <f t="shared" si="191"/>
        <v>11.423502849156007</v>
      </c>
      <c r="S119" s="148">
        <f t="shared" si="192"/>
        <v>1.1423502849156006</v>
      </c>
      <c r="T119" s="148">
        <f t="shared" si="193"/>
        <v>0.11423502849156007</v>
      </c>
      <c r="U119" s="148">
        <f t="shared" si="194"/>
        <v>11.423502849156007</v>
      </c>
      <c r="V119" s="7">
        <f t="shared" si="195"/>
        <v>1000</v>
      </c>
      <c r="W119" s="7">
        <f t="shared" si="196"/>
        <v>1000000</v>
      </c>
      <c r="X119" s="1345">
        <f t="shared" si="197"/>
        <v>114.23502849156007</v>
      </c>
      <c r="Y119" s="1345">
        <f t="shared" si="198"/>
        <v>11423.502849156006</v>
      </c>
    </row>
    <row r="120" spans="1:26" x14ac:dyDescent="0.2">
      <c r="A120" s="213" t="str">
        <f t="shared" ref="A120:B120" si="205">A400</f>
        <v>CEM</v>
      </c>
      <c r="B120" s="213" t="str">
        <f t="shared" si="205"/>
        <v>VSL202677</v>
      </c>
      <c r="C120" s="219">
        <f t="shared" si="177"/>
        <v>29976.2</v>
      </c>
      <c r="D120" s="219">
        <f t="shared" si="178"/>
        <v>17</v>
      </c>
      <c r="E120" s="219">
        <f t="shared" si="179"/>
        <v>29990</v>
      </c>
      <c r="F120" s="219">
        <f t="shared" si="180"/>
        <v>60</v>
      </c>
      <c r="G120" s="219">
        <f t="shared" si="181"/>
        <v>14</v>
      </c>
      <c r="H120" s="219">
        <f t="shared" si="182"/>
        <v>125</v>
      </c>
      <c r="I120" s="155">
        <f t="shared" si="183"/>
        <v>0</v>
      </c>
      <c r="J120" s="155">
        <f t="shared" si="184"/>
        <v>0</v>
      </c>
      <c r="K120" s="155">
        <f t="shared" si="185"/>
        <v>120</v>
      </c>
      <c r="L120" s="155">
        <f t="shared" si="186"/>
        <v>10</v>
      </c>
      <c r="M120" s="156">
        <f t="shared" si="187"/>
        <v>0.40031758528432554</v>
      </c>
      <c r="N120" s="157">
        <f t="shared" si="188"/>
        <v>4.0031758528432555E-2</v>
      </c>
      <c r="O120" s="155">
        <f t="shared" si="189"/>
        <v>100</v>
      </c>
      <c r="P120" s="250">
        <v>1</v>
      </c>
      <c r="Q120" s="250">
        <v>1000</v>
      </c>
      <c r="R120" s="148">
        <f t="shared" si="191"/>
        <v>4.0031758528432553</v>
      </c>
      <c r="S120" s="148">
        <f t="shared" si="192"/>
        <v>0.40031758528432554</v>
      </c>
      <c r="T120" s="148">
        <f t="shared" si="193"/>
        <v>4.0031758528432555E-2</v>
      </c>
      <c r="U120" s="148">
        <f t="shared" si="194"/>
        <v>4.0031758528432553</v>
      </c>
      <c r="V120" s="7">
        <f t="shared" si="195"/>
        <v>1000</v>
      </c>
      <c r="W120" s="7">
        <f t="shared" si="196"/>
        <v>1000000</v>
      </c>
      <c r="X120" s="1345">
        <f t="shared" si="197"/>
        <v>40.031758528432555</v>
      </c>
      <c r="Y120" s="1345">
        <f t="shared" si="198"/>
        <v>4003.1758528432551</v>
      </c>
    </row>
    <row r="121" spans="1:26" x14ac:dyDescent="0.2">
      <c r="A121" s="213" t="str">
        <f t="shared" ref="A121:B121" si="206">A401</f>
        <v>BAM</v>
      </c>
      <c r="B121" s="213" t="str">
        <f t="shared" si="206"/>
        <v>VSL205189</v>
      </c>
      <c r="C121" s="219">
        <f t="shared" si="177"/>
        <v>29950.800000000003</v>
      </c>
      <c r="D121" s="219">
        <f t="shared" si="178"/>
        <v>17</v>
      </c>
      <c r="E121" s="219">
        <f t="shared" si="179"/>
        <v>29960</v>
      </c>
      <c r="F121" s="219">
        <f t="shared" si="180"/>
        <v>45</v>
      </c>
      <c r="G121" s="219">
        <f t="shared" si="181"/>
        <v>13</v>
      </c>
      <c r="H121" s="219">
        <f t="shared" si="182"/>
        <v>95.999999999999986</v>
      </c>
      <c r="I121" s="155">
        <f t="shared" si="183"/>
        <v>0</v>
      </c>
      <c r="J121" s="155">
        <f t="shared" si="184"/>
        <v>0</v>
      </c>
      <c r="K121" s="155">
        <f t="shared" si="185"/>
        <v>90</v>
      </c>
      <c r="L121" s="155">
        <f t="shared" si="186"/>
        <v>10</v>
      </c>
      <c r="M121" s="156">
        <f t="shared" si="187"/>
        <v>0.30049280820545693</v>
      </c>
      <c r="N121" s="157">
        <f t="shared" si="188"/>
        <v>3.0049280820545695E-2</v>
      </c>
      <c r="O121" s="155">
        <f t="shared" si="189"/>
        <v>100</v>
      </c>
      <c r="P121" s="250">
        <v>1</v>
      </c>
      <c r="Q121" s="250">
        <v>1000</v>
      </c>
      <c r="R121" s="148">
        <f t="shared" si="191"/>
        <v>3.0049280820545694</v>
      </c>
      <c r="S121" s="148">
        <f t="shared" si="192"/>
        <v>0.30049280820545693</v>
      </c>
      <c r="T121" s="148">
        <f t="shared" si="193"/>
        <v>3.0049280820545695E-2</v>
      </c>
      <c r="U121" s="148">
        <f t="shared" si="194"/>
        <v>3.0049280820545694</v>
      </c>
      <c r="V121" s="7">
        <f t="shared" si="195"/>
        <v>1000</v>
      </c>
      <c r="W121" s="7">
        <f t="shared" si="196"/>
        <v>1000000</v>
      </c>
      <c r="X121" s="1345">
        <f t="shared" si="197"/>
        <v>30.049280820545697</v>
      </c>
      <c r="Y121" s="1345">
        <f t="shared" si="198"/>
        <v>3004.9280820545696</v>
      </c>
    </row>
    <row r="122" spans="1:26" x14ac:dyDescent="0.2">
      <c r="A122" s="213" t="str">
        <f t="shared" ref="A122:B122" si="207">A402</f>
        <v>NMIA</v>
      </c>
      <c r="B122" s="213" t="str">
        <f t="shared" si="207"/>
        <v>VSL228583</v>
      </c>
      <c r="C122" s="219">
        <f t="shared" si="177"/>
        <v>30058.3</v>
      </c>
      <c r="D122" s="219">
        <f t="shared" si="178"/>
        <v>17.099999999999998</v>
      </c>
      <c r="E122" s="219">
        <f t="shared" si="179"/>
        <v>30040</v>
      </c>
      <c r="F122" s="219">
        <f t="shared" si="180"/>
        <v>18.348623853211009</v>
      </c>
      <c r="G122" s="219">
        <f t="shared" si="181"/>
        <v>-16</v>
      </c>
      <c r="H122" s="219">
        <f t="shared" si="182"/>
        <v>52</v>
      </c>
      <c r="I122" s="155">
        <f t="shared" si="183"/>
        <v>0</v>
      </c>
      <c r="J122" s="155">
        <f t="shared" si="184"/>
        <v>0</v>
      </c>
      <c r="K122" s="155">
        <f t="shared" si="185"/>
        <v>36.697247706422019</v>
      </c>
      <c r="L122" s="155">
        <f t="shared" si="186"/>
        <v>10</v>
      </c>
      <c r="M122" s="156">
        <f t="shared" si="187"/>
        <v>0.12208690347232552</v>
      </c>
      <c r="N122" s="157">
        <f t="shared" si="188"/>
        <v>1.2208690347232551E-2</v>
      </c>
      <c r="O122" s="155">
        <f t="shared" si="189"/>
        <v>100</v>
      </c>
      <c r="P122" s="250">
        <v>1</v>
      </c>
      <c r="Q122" s="250">
        <v>1000</v>
      </c>
      <c r="R122" s="148">
        <f t="shared" si="191"/>
        <v>1.2208690347232551</v>
      </c>
      <c r="S122" s="148">
        <f t="shared" si="192"/>
        <v>0.12208690347232552</v>
      </c>
      <c r="T122" s="148">
        <f t="shared" si="193"/>
        <v>1.2208690347232551E-2</v>
      </c>
      <c r="U122" s="148">
        <f t="shared" si="194"/>
        <v>1.2208690347232551</v>
      </c>
      <c r="V122" s="7">
        <f t="shared" si="195"/>
        <v>1000</v>
      </c>
      <c r="W122" s="7">
        <f t="shared" si="196"/>
        <v>1000000</v>
      </c>
      <c r="X122" s="1345">
        <f t="shared" si="197"/>
        <v>12.208690347232551</v>
      </c>
      <c r="Y122" s="1345">
        <f t="shared" si="198"/>
        <v>1220.8690347232553</v>
      </c>
    </row>
    <row r="123" spans="1:26" x14ac:dyDescent="0.2">
      <c r="A123" s="213" t="str">
        <f t="shared" ref="A123:B123" si="208">A403</f>
        <v>IPQ</v>
      </c>
      <c r="B123" s="213" t="str">
        <f t="shared" si="208"/>
        <v>VSL220210</v>
      </c>
      <c r="C123" s="219">
        <f t="shared" si="177"/>
        <v>29551.3</v>
      </c>
      <c r="D123" s="219">
        <f t="shared" si="178"/>
        <v>16.7</v>
      </c>
      <c r="E123" s="219">
        <f t="shared" si="179"/>
        <v>29590</v>
      </c>
      <c r="F123" s="219">
        <f t="shared" si="180"/>
        <v>80</v>
      </c>
      <c r="G123" s="219">
        <f t="shared" si="181"/>
        <v>39</v>
      </c>
      <c r="H123" s="219">
        <f t="shared" si="182"/>
        <v>162.99999999999997</v>
      </c>
      <c r="I123" s="155">
        <f t="shared" si="183"/>
        <v>0</v>
      </c>
      <c r="J123" s="155">
        <f t="shared" si="184"/>
        <v>0</v>
      </c>
      <c r="K123" s="155">
        <f t="shared" si="185"/>
        <v>160</v>
      </c>
      <c r="L123" s="155">
        <f t="shared" si="186"/>
        <v>10</v>
      </c>
      <c r="M123" s="156">
        <f t="shared" si="187"/>
        <v>0.54143134142998783</v>
      </c>
      <c r="N123" s="157">
        <f t="shared" si="188"/>
        <v>5.4143134142998782E-2</v>
      </c>
      <c r="O123" s="155">
        <f t="shared" si="189"/>
        <v>100</v>
      </c>
      <c r="P123" s="250">
        <v>1</v>
      </c>
      <c r="Q123" s="250">
        <v>1000</v>
      </c>
      <c r="R123" s="148">
        <f t="shared" si="191"/>
        <v>5.4143134142998779</v>
      </c>
      <c r="S123" s="148">
        <f t="shared" si="192"/>
        <v>0.54143134142998783</v>
      </c>
      <c r="T123" s="148">
        <f t="shared" si="193"/>
        <v>5.4143134142998782E-2</v>
      </c>
      <c r="U123" s="148">
        <f t="shared" si="194"/>
        <v>5.4143134142998779</v>
      </c>
      <c r="V123" s="7">
        <f t="shared" si="195"/>
        <v>1000</v>
      </c>
      <c r="W123" s="7">
        <f t="shared" si="196"/>
        <v>1000000</v>
      </c>
      <c r="X123" s="1345">
        <f t="shared" si="197"/>
        <v>54.143134142998782</v>
      </c>
      <c r="Y123" s="1345">
        <f t="shared" si="198"/>
        <v>5414.3134142998779</v>
      </c>
    </row>
    <row r="124" spans="1:26" x14ac:dyDescent="0.2">
      <c r="A124" s="213" t="str">
        <f t="shared" ref="A124:B124" si="209">A404</f>
        <v>INMETRO</v>
      </c>
      <c r="B124" s="213" t="str">
        <f t="shared" si="209"/>
        <v>VSL202750</v>
      </c>
      <c r="C124" s="219">
        <f t="shared" si="177"/>
        <v>30022.1</v>
      </c>
      <c r="D124" s="219">
        <f t="shared" si="178"/>
        <v>17</v>
      </c>
      <c r="E124" s="219">
        <f t="shared" si="179"/>
        <v>29760</v>
      </c>
      <c r="F124" s="219">
        <f t="shared" si="180"/>
        <v>165</v>
      </c>
      <c r="G124" s="219">
        <f t="shared" si="181"/>
        <v>-262</v>
      </c>
      <c r="H124" s="219">
        <f t="shared" si="182"/>
        <v>332</v>
      </c>
      <c r="I124" s="155">
        <f t="shared" si="183"/>
        <v>0</v>
      </c>
      <c r="J124" s="155">
        <f t="shared" si="184"/>
        <v>0</v>
      </c>
      <c r="K124" s="155">
        <f t="shared" si="185"/>
        <v>330</v>
      </c>
      <c r="L124" s="155">
        <f t="shared" si="186"/>
        <v>10</v>
      </c>
      <c r="M124" s="156">
        <f t="shared" si="187"/>
        <v>1.0991902631727961</v>
      </c>
      <c r="N124" s="157">
        <f t="shared" si="188"/>
        <v>0.10991902631727961</v>
      </c>
      <c r="O124" s="155">
        <f t="shared" si="189"/>
        <v>100</v>
      </c>
      <c r="P124" s="250">
        <v>1</v>
      </c>
      <c r="Q124" s="250">
        <v>1000</v>
      </c>
      <c r="R124" s="148">
        <f t="shared" si="191"/>
        <v>10.99190263172796</v>
      </c>
      <c r="S124" s="148">
        <f t="shared" si="192"/>
        <v>1.0991902631727961</v>
      </c>
      <c r="T124" s="148">
        <f t="shared" si="193"/>
        <v>0.10991902631727961</v>
      </c>
      <c r="U124" s="148">
        <f t="shared" si="194"/>
        <v>10.991902631727962</v>
      </c>
      <c r="V124" s="7">
        <f t="shared" si="195"/>
        <v>1000</v>
      </c>
      <c r="W124" s="7">
        <f t="shared" si="196"/>
        <v>1000000</v>
      </c>
      <c r="X124" s="1345">
        <f t="shared" si="197"/>
        <v>109.9190263172796</v>
      </c>
      <c r="Y124" s="1345">
        <f t="shared" si="198"/>
        <v>10991.902631727962</v>
      </c>
    </row>
    <row r="125" spans="1:26" x14ac:dyDescent="0.2">
      <c r="A125" s="213" t="str">
        <f t="shared" ref="A125:B125" si="210">A405</f>
        <v>GUM</v>
      </c>
      <c r="B125" s="213" t="str">
        <f t="shared" si="210"/>
        <v>VSL223562</v>
      </c>
      <c r="C125" s="219">
        <f t="shared" si="177"/>
        <v>29942.400000000001</v>
      </c>
      <c r="D125" s="219">
        <f t="shared" si="178"/>
        <v>16.900000000000002</v>
      </c>
      <c r="E125" s="219">
        <f t="shared" si="179"/>
        <v>29920</v>
      </c>
      <c r="F125" s="219">
        <f t="shared" si="180"/>
        <v>100</v>
      </c>
      <c r="G125" s="219">
        <f t="shared" si="181"/>
        <v>-22</v>
      </c>
      <c r="H125" s="219">
        <f t="shared" si="182"/>
        <v>203</v>
      </c>
      <c r="I125" s="155">
        <f t="shared" si="183"/>
        <v>0</v>
      </c>
      <c r="J125" s="155">
        <f t="shared" si="184"/>
        <v>0</v>
      </c>
      <c r="K125" s="155">
        <f t="shared" si="185"/>
        <v>200</v>
      </c>
      <c r="L125" s="155">
        <f t="shared" si="186"/>
        <v>10</v>
      </c>
      <c r="M125" s="156">
        <f t="shared" si="187"/>
        <v>0.66794912899433578</v>
      </c>
      <c r="N125" s="157">
        <f t="shared" si="188"/>
        <v>6.6794912899433581E-2</v>
      </c>
      <c r="O125" s="155">
        <f t="shared" si="189"/>
        <v>100</v>
      </c>
      <c r="P125" s="250">
        <v>1</v>
      </c>
      <c r="Q125" s="250">
        <v>1000</v>
      </c>
      <c r="R125" s="148">
        <f t="shared" si="191"/>
        <v>6.6794912899433578</v>
      </c>
      <c r="S125" s="148">
        <f t="shared" si="192"/>
        <v>0.66794912899433578</v>
      </c>
      <c r="T125" s="148">
        <f t="shared" si="193"/>
        <v>6.6794912899433581E-2</v>
      </c>
      <c r="U125" s="148">
        <f t="shared" si="194"/>
        <v>6.6794912899433578</v>
      </c>
      <c r="V125" s="7">
        <f t="shared" si="195"/>
        <v>1000</v>
      </c>
      <c r="W125" s="7">
        <f t="shared" si="196"/>
        <v>1000000</v>
      </c>
      <c r="X125" s="1345">
        <f t="shared" si="197"/>
        <v>66.794912899433584</v>
      </c>
      <c r="Y125" s="1345">
        <f t="shared" si="198"/>
        <v>6679.4912899433575</v>
      </c>
    </row>
    <row r="126" spans="1:26" x14ac:dyDescent="0.2">
      <c r="A126" s="213" t="str">
        <f t="shared" ref="A126:B126" si="211">A406</f>
        <v>NRCCRM</v>
      </c>
      <c r="B126" s="213" t="str">
        <f t="shared" si="211"/>
        <v>VSL228668</v>
      </c>
      <c r="C126" s="219">
        <f t="shared" si="177"/>
        <v>29774</v>
      </c>
      <c r="D126" s="219">
        <f t="shared" si="178"/>
        <v>16.900000000000002</v>
      </c>
      <c r="E126" s="219">
        <f t="shared" si="179"/>
        <v>29890</v>
      </c>
      <c r="F126" s="219">
        <f t="shared" si="180"/>
        <v>225</v>
      </c>
      <c r="G126" s="219">
        <f t="shared" si="181"/>
        <v>115.99999999999999</v>
      </c>
      <c r="H126" s="219">
        <f t="shared" si="182"/>
        <v>450</v>
      </c>
      <c r="I126" s="155">
        <f t="shared" si="183"/>
        <v>0</v>
      </c>
      <c r="J126" s="155">
        <f t="shared" si="184"/>
        <v>0</v>
      </c>
      <c r="K126" s="155">
        <f t="shared" si="185"/>
        <v>450</v>
      </c>
      <c r="L126" s="155">
        <f t="shared" si="186"/>
        <v>10</v>
      </c>
      <c r="M126" s="156">
        <f t="shared" si="187"/>
        <v>1.5113857728219251</v>
      </c>
      <c r="N126" s="157">
        <f t="shared" si="188"/>
        <v>0.15113857728219252</v>
      </c>
      <c r="O126" s="155">
        <f t="shared" si="189"/>
        <v>100</v>
      </c>
      <c r="P126" s="250">
        <v>1</v>
      </c>
      <c r="Q126" s="250">
        <v>1000</v>
      </c>
      <c r="R126" s="148">
        <f t="shared" si="191"/>
        <v>15.113857728219251</v>
      </c>
      <c r="S126" s="148">
        <f t="shared" si="192"/>
        <v>1.5113857728219251</v>
      </c>
      <c r="T126" s="148">
        <f t="shared" si="193"/>
        <v>0.15113857728219252</v>
      </c>
      <c r="U126" s="148">
        <f t="shared" si="194"/>
        <v>15.11385772821925</v>
      </c>
      <c r="V126" s="7">
        <f t="shared" si="195"/>
        <v>1000</v>
      </c>
      <c r="W126" s="7">
        <f t="shared" si="196"/>
        <v>1000000</v>
      </c>
      <c r="X126" s="1345">
        <f t="shared" si="197"/>
        <v>151.13857728219253</v>
      </c>
      <c r="Y126" s="1345">
        <f t="shared" si="198"/>
        <v>15113.857728219249</v>
      </c>
    </row>
    <row r="127" spans="1:26" x14ac:dyDescent="0.2">
      <c r="A127" s="213" t="str">
        <f t="shared" ref="A127:B127" si="212">A407</f>
        <v>KRISS</v>
      </c>
      <c r="B127" s="213" t="str">
        <f t="shared" si="212"/>
        <v>VSL229332</v>
      </c>
      <c r="C127" s="219">
        <f t="shared" si="177"/>
        <v>29921.899999999998</v>
      </c>
      <c r="D127" s="219">
        <f t="shared" si="178"/>
        <v>17</v>
      </c>
      <c r="E127" s="219">
        <f t="shared" si="179"/>
        <v>29922</v>
      </c>
      <c r="F127" s="219">
        <f t="shared" si="180"/>
        <v>25.500000000000004</v>
      </c>
      <c r="G127" s="219">
        <f t="shared" si="181"/>
        <v>0</v>
      </c>
      <c r="H127" s="219">
        <f t="shared" si="182"/>
        <v>61.000000000000007</v>
      </c>
      <c r="I127" s="155">
        <f t="shared" si="183"/>
        <v>0</v>
      </c>
      <c r="J127" s="155">
        <f t="shared" si="184"/>
        <v>0</v>
      </c>
      <c r="K127" s="155">
        <f t="shared" si="185"/>
        <v>51.000000000000007</v>
      </c>
      <c r="L127" s="155">
        <f t="shared" si="186"/>
        <v>10</v>
      </c>
      <c r="M127" s="156">
        <f t="shared" si="187"/>
        <v>0.17044372182247788</v>
      </c>
      <c r="N127" s="157">
        <f t="shared" si="188"/>
        <v>1.7044372182247788E-2</v>
      </c>
      <c r="O127" s="155">
        <f t="shared" si="189"/>
        <v>100</v>
      </c>
      <c r="P127" s="250">
        <v>1</v>
      </c>
      <c r="Q127" s="250">
        <v>1000</v>
      </c>
      <c r="R127" s="148">
        <f t="shared" si="191"/>
        <v>1.7044372182247789</v>
      </c>
      <c r="S127" s="148">
        <f t="shared" si="192"/>
        <v>0.17044372182247788</v>
      </c>
      <c r="T127" s="148">
        <f t="shared" si="193"/>
        <v>1.7044372182247788E-2</v>
      </c>
      <c r="U127" s="148">
        <f t="shared" si="194"/>
        <v>1.7044372182247791</v>
      </c>
      <c r="V127" s="7">
        <f t="shared" si="195"/>
        <v>1000</v>
      </c>
      <c r="W127" s="7">
        <f t="shared" si="196"/>
        <v>1000000</v>
      </c>
      <c r="X127" s="1345">
        <f t="shared" si="197"/>
        <v>17.044372182247788</v>
      </c>
      <c r="Y127" s="1345">
        <f t="shared" si="198"/>
        <v>1704.4372182247791</v>
      </c>
    </row>
    <row r="128" spans="1:26" ht="14.25" x14ac:dyDescent="0.2">
      <c r="H128" s="9"/>
      <c r="U128" s="152"/>
      <c r="V128" s="21"/>
      <c r="W128" s="21"/>
      <c r="X128" s="21"/>
      <c r="Y128" s="21"/>
      <c r="Z128" s="21"/>
    </row>
    <row r="129" spans="1:25" ht="15.75" x14ac:dyDescent="0.2">
      <c r="A129" s="103" t="str">
        <f>A409</f>
        <v>Propane, mixture I</v>
      </c>
      <c r="B129" s="97"/>
      <c r="C129" s="97"/>
      <c r="D129" s="97"/>
      <c r="E129" s="97"/>
      <c r="F129" s="97"/>
      <c r="G129" s="97"/>
      <c r="H129" s="97"/>
      <c r="I129" s="113"/>
      <c r="J129" s="113"/>
      <c r="K129" s="113"/>
      <c r="L129" s="113"/>
      <c r="M129" s="113"/>
      <c r="N129" s="113"/>
      <c r="O129" s="113"/>
      <c r="R129" s="113"/>
      <c r="S129" s="113"/>
      <c r="T129" s="146"/>
      <c r="U129" s="146"/>
    </row>
    <row r="130" spans="1:25" ht="102" x14ac:dyDescent="0.2">
      <c r="A130" s="211" t="s">
        <v>0</v>
      </c>
      <c r="B130" s="212" t="s">
        <v>1</v>
      </c>
      <c r="C130" s="212" t="s">
        <v>133</v>
      </c>
      <c r="D130" s="212" t="s">
        <v>199</v>
      </c>
      <c r="E130" s="212" t="s">
        <v>135</v>
      </c>
      <c r="F130" s="212" t="s">
        <v>200</v>
      </c>
      <c r="G130" s="212" t="s">
        <v>137</v>
      </c>
      <c r="H130" s="212" t="s">
        <v>201</v>
      </c>
      <c r="I130" s="104" t="s">
        <v>8</v>
      </c>
      <c r="J130" s="104" t="s">
        <v>9</v>
      </c>
      <c r="K130" s="104" t="s">
        <v>107</v>
      </c>
      <c r="L130" s="104" t="s">
        <v>14</v>
      </c>
      <c r="M130" s="104" t="s">
        <v>1057</v>
      </c>
      <c r="N130" s="104" t="s">
        <v>1058</v>
      </c>
      <c r="O130" s="104" t="s">
        <v>100</v>
      </c>
      <c r="P130" s="6" t="s">
        <v>105</v>
      </c>
      <c r="Q130" s="6" t="s">
        <v>106</v>
      </c>
      <c r="R130" s="104" t="s">
        <v>1051</v>
      </c>
      <c r="S130" s="104" t="s">
        <v>1052</v>
      </c>
      <c r="T130" s="147" t="s">
        <v>1053</v>
      </c>
      <c r="U130" s="147" t="s">
        <v>1054</v>
      </c>
      <c r="V130" s="5" t="s">
        <v>101</v>
      </c>
      <c r="W130" s="5" t="s">
        <v>102</v>
      </c>
      <c r="X130" s="112" t="s">
        <v>1055</v>
      </c>
      <c r="Y130" s="112" t="s">
        <v>1056</v>
      </c>
    </row>
    <row r="131" spans="1:25" x14ac:dyDescent="0.2">
      <c r="A131" s="213" t="str">
        <f>A411</f>
        <v>NPL</v>
      </c>
      <c r="B131" s="213" t="str">
        <f>B411</f>
        <v>VSL202748</v>
      </c>
      <c r="C131" s="219">
        <f t="shared" ref="C131:C146" si="213">C411*10000</f>
        <v>9999.2999999999993</v>
      </c>
      <c r="D131" s="219">
        <f t="shared" ref="D131:D146" si="214">F411*10000</f>
        <v>8.1999999999999993</v>
      </c>
      <c r="E131" s="219">
        <f t="shared" ref="E131:E146" si="215">G411*10000</f>
        <v>9993</v>
      </c>
      <c r="F131" s="219">
        <f t="shared" ref="F131:F146" si="216">H411/I411*10000</f>
        <v>6.5</v>
      </c>
      <c r="G131" s="219">
        <f t="shared" ref="G131:G146" si="217">J411*10000</f>
        <v>-7</v>
      </c>
      <c r="H131" s="219">
        <f t="shared" ref="H131:H146" si="218">L411*10000</f>
        <v>21</v>
      </c>
      <c r="I131" s="155">
        <f t="shared" ref="I131:I146" si="219">IF(ABS(G131)&gt;ABS(H131), 1, 0)</f>
        <v>0</v>
      </c>
      <c r="J131" s="155">
        <f t="shared" ref="J131:J146" si="220">I131*ABS(C131-E131)</f>
        <v>0</v>
      </c>
      <c r="K131" s="155">
        <f t="shared" ref="K131:K146" si="221">SQRT(SUMSQ(F131,J131))*2</f>
        <v>13</v>
      </c>
      <c r="L131" s="155">
        <f t="shared" ref="L131:L146" si="222">IF(C131&lt;$K$2, C131, $K$1)</f>
        <v>10</v>
      </c>
      <c r="M131" s="156">
        <f t="shared" ref="M131:M146" si="223">IF(AND(C131&lt;$K$1,C131&gt; $K$2), K131/L131*100, K131/C131*100)</f>
        <v>0.1300091006370446</v>
      </c>
      <c r="N131" s="157">
        <f t="shared" ref="N131:N146" si="224">M131*L131/100</f>
        <v>1.3000910063704461E-2</v>
      </c>
      <c r="O131" s="155">
        <f t="shared" ref="O131:O146" si="225">N131/(M131*L131/100)*100</f>
        <v>100</v>
      </c>
      <c r="P131" s="250">
        <v>1</v>
      </c>
      <c r="Q131" s="250">
        <v>1000</v>
      </c>
      <c r="R131" s="148">
        <f>IF( IF(P131&lt;L131, M131*L131/P131, M131)&gt;100, "ERROR",  IF(P131&lt;L131, M131*L131/P131, M131))</f>
        <v>1.3000910063704461</v>
      </c>
      <c r="S131" s="148">
        <f>IF(IF(Q131&lt;L131, M131*L131/Q131, M131)&gt;100, "ERROR", IF(Q131&lt;L131, M131*L131/Q131, M131))</f>
        <v>0.1300091006370446</v>
      </c>
      <c r="T131" s="148">
        <f>R131*P131*0.01</f>
        <v>1.3000910063704461E-2</v>
      </c>
      <c r="U131" s="148">
        <f>S131*Q131*0.01</f>
        <v>1.3000910063704461</v>
      </c>
      <c r="V131" s="7">
        <f>P131*1000</f>
        <v>1000</v>
      </c>
      <c r="W131" s="7">
        <f>Q131*1000</f>
        <v>1000000</v>
      </c>
      <c r="X131" s="1345">
        <f>T131*1000</f>
        <v>13.000910063704461</v>
      </c>
      <c r="Y131" s="1345">
        <f>U131*1000</f>
        <v>1300.0910063704462</v>
      </c>
    </row>
    <row r="132" spans="1:25" x14ac:dyDescent="0.2">
      <c r="A132" s="213" t="str">
        <f t="shared" ref="A132:B132" si="226">A412</f>
        <v>SMU</v>
      </c>
      <c r="B132" s="213" t="str">
        <f t="shared" si="226"/>
        <v>VSL100039</v>
      </c>
      <c r="C132" s="219">
        <f t="shared" si="213"/>
        <v>9986.7999999999993</v>
      </c>
      <c r="D132" s="219">
        <f t="shared" si="214"/>
        <v>5.1999999999999993</v>
      </c>
      <c r="E132" s="219">
        <f t="shared" si="215"/>
        <v>9959</v>
      </c>
      <c r="F132" s="219">
        <f t="shared" si="216"/>
        <v>20</v>
      </c>
      <c r="G132" s="219">
        <f t="shared" si="217"/>
        <v>-28</v>
      </c>
      <c r="H132" s="219">
        <f t="shared" si="218"/>
        <v>41</v>
      </c>
      <c r="I132" s="155">
        <f t="shared" si="219"/>
        <v>0</v>
      </c>
      <c r="J132" s="155">
        <f t="shared" si="220"/>
        <v>0</v>
      </c>
      <c r="K132" s="155">
        <f t="shared" si="221"/>
        <v>40</v>
      </c>
      <c r="L132" s="155">
        <f t="shared" si="222"/>
        <v>10</v>
      </c>
      <c r="M132" s="156">
        <f t="shared" si="223"/>
        <v>0.40052869788120327</v>
      </c>
      <c r="N132" s="157">
        <f t="shared" si="224"/>
        <v>4.0052869788120324E-2</v>
      </c>
      <c r="O132" s="155">
        <f t="shared" si="225"/>
        <v>100</v>
      </c>
      <c r="P132" s="250">
        <v>1</v>
      </c>
      <c r="Q132" s="250">
        <v>1000</v>
      </c>
      <c r="R132" s="148">
        <f t="shared" ref="R132:R146" si="227">IF( IF(P132&lt;L132, M132*L132/P132, M132)&gt;100, "ERROR",  IF(P132&lt;L132, M132*L132/P132, M132))</f>
        <v>4.0052869788120322</v>
      </c>
      <c r="S132" s="148">
        <f t="shared" ref="S132:S146" si="228">IF(IF(Q132&lt;L132, M132*L132/Q132, M132)&gt;100, "ERROR", IF(Q132&lt;L132, M132*L132/Q132, M132))</f>
        <v>0.40052869788120327</v>
      </c>
      <c r="T132" s="148">
        <f t="shared" ref="T132:T146" si="229">R132*P132*0.01</f>
        <v>4.0052869788120324E-2</v>
      </c>
      <c r="U132" s="148">
        <f t="shared" ref="U132:U146" si="230">S132*Q132*0.01</f>
        <v>4.0052869788120322</v>
      </c>
      <c r="V132" s="7">
        <f t="shared" ref="V132:V146" si="231">P132*1000</f>
        <v>1000</v>
      </c>
      <c r="W132" s="7">
        <f t="shared" ref="W132:W146" si="232">Q132*1000</f>
        <v>1000000</v>
      </c>
      <c r="X132" s="1345">
        <f t="shared" ref="X132:X146" si="233">T132*1000</f>
        <v>40.052869788120326</v>
      </c>
      <c r="Y132" s="1345">
        <f t="shared" ref="Y132:Y146" si="234">U132*1000</f>
        <v>4005.2869788120324</v>
      </c>
    </row>
    <row r="133" spans="1:25" x14ac:dyDescent="0.2">
      <c r="A133" s="213" t="str">
        <f t="shared" ref="A133:B133" si="235">A413</f>
        <v>CMI</v>
      </c>
      <c r="B133" s="213" t="str">
        <f t="shared" si="235"/>
        <v>VSL100059</v>
      </c>
      <c r="C133" s="219">
        <f t="shared" si="213"/>
        <v>10009.6</v>
      </c>
      <c r="D133" s="219">
        <f t="shared" si="214"/>
        <v>5.1999999999999993</v>
      </c>
      <c r="E133" s="219">
        <f t="shared" si="215"/>
        <v>9970</v>
      </c>
      <c r="F133" s="219">
        <f t="shared" si="216"/>
        <v>160</v>
      </c>
      <c r="G133" s="219">
        <f t="shared" si="217"/>
        <v>-40</v>
      </c>
      <c r="H133" s="219">
        <f t="shared" si="218"/>
        <v>320</v>
      </c>
      <c r="I133" s="155">
        <f t="shared" si="219"/>
        <v>0</v>
      </c>
      <c r="J133" s="155">
        <f t="shared" si="220"/>
        <v>0</v>
      </c>
      <c r="K133" s="155">
        <f t="shared" si="221"/>
        <v>320</v>
      </c>
      <c r="L133" s="155">
        <f t="shared" si="222"/>
        <v>10</v>
      </c>
      <c r="M133" s="156">
        <f t="shared" si="223"/>
        <v>3.1969309462915603</v>
      </c>
      <c r="N133" s="157">
        <f t="shared" si="224"/>
        <v>0.31969309462915602</v>
      </c>
      <c r="O133" s="155">
        <f t="shared" si="225"/>
        <v>100</v>
      </c>
      <c r="P133" s="250">
        <v>1</v>
      </c>
      <c r="Q133" s="250">
        <v>1000</v>
      </c>
      <c r="R133" s="148">
        <f t="shared" si="227"/>
        <v>31.969309462915604</v>
      </c>
      <c r="S133" s="148">
        <f t="shared" si="228"/>
        <v>3.1969309462915603</v>
      </c>
      <c r="T133" s="148">
        <f t="shared" si="229"/>
        <v>0.31969309462915602</v>
      </c>
      <c r="U133" s="148">
        <f t="shared" si="230"/>
        <v>31.969309462915604</v>
      </c>
      <c r="V133" s="7">
        <f t="shared" si="231"/>
        <v>1000</v>
      </c>
      <c r="W133" s="7">
        <f t="shared" si="232"/>
        <v>1000000</v>
      </c>
      <c r="X133" s="1345">
        <f t="shared" si="233"/>
        <v>319.69309462915601</v>
      </c>
      <c r="Y133" s="1345">
        <f t="shared" si="234"/>
        <v>31969.309462915604</v>
      </c>
    </row>
    <row r="134" spans="1:25" x14ac:dyDescent="0.2">
      <c r="A134" s="213" t="str">
        <f t="shared" ref="A134:B134" si="236">A414</f>
        <v>VNIIM</v>
      </c>
      <c r="B134" s="213" t="str">
        <f t="shared" si="236"/>
        <v>VSL126708</v>
      </c>
      <c r="C134" s="219">
        <f t="shared" si="213"/>
        <v>10024</v>
      </c>
      <c r="D134" s="219">
        <f t="shared" si="214"/>
        <v>5.1999999999999993</v>
      </c>
      <c r="E134" s="219">
        <f t="shared" si="215"/>
        <v>10000</v>
      </c>
      <c r="F134" s="219">
        <f t="shared" si="216"/>
        <v>25</v>
      </c>
      <c r="G134" s="219">
        <f t="shared" si="217"/>
        <v>-23.999999999999996</v>
      </c>
      <c r="H134" s="219">
        <f t="shared" si="218"/>
        <v>51.000000000000007</v>
      </c>
      <c r="I134" s="155">
        <f t="shared" si="219"/>
        <v>0</v>
      </c>
      <c r="J134" s="155">
        <f t="shared" si="220"/>
        <v>0</v>
      </c>
      <c r="K134" s="155">
        <f t="shared" si="221"/>
        <v>50</v>
      </c>
      <c r="L134" s="155">
        <f t="shared" si="222"/>
        <v>10</v>
      </c>
      <c r="M134" s="156">
        <f t="shared" si="223"/>
        <v>0.49880287310454907</v>
      </c>
      <c r="N134" s="157">
        <f t="shared" si="224"/>
        <v>4.9880287310454907E-2</v>
      </c>
      <c r="O134" s="155">
        <f t="shared" si="225"/>
        <v>100</v>
      </c>
      <c r="P134" s="250">
        <v>1</v>
      </c>
      <c r="Q134" s="250">
        <v>1000</v>
      </c>
      <c r="R134" s="148">
        <f t="shared" si="227"/>
        <v>4.9880287310454907</v>
      </c>
      <c r="S134" s="148">
        <f t="shared" si="228"/>
        <v>0.49880287310454907</v>
      </c>
      <c r="T134" s="148">
        <f t="shared" si="229"/>
        <v>4.9880287310454907E-2</v>
      </c>
      <c r="U134" s="148">
        <f t="shared" si="230"/>
        <v>4.9880287310454907</v>
      </c>
      <c r="V134" s="7">
        <f t="shared" si="231"/>
        <v>1000</v>
      </c>
      <c r="W134" s="7">
        <f t="shared" si="232"/>
        <v>1000000</v>
      </c>
      <c r="X134" s="1345">
        <f t="shared" si="233"/>
        <v>49.880287310454904</v>
      </c>
      <c r="Y134" s="1345">
        <f t="shared" si="234"/>
        <v>4988.0287310454905</v>
      </c>
    </row>
    <row r="135" spans="1:25" x14ac:dyDescent="0.2">
      <c r="A135" s="213" t="str">
        <f t="shared" ref="A135:B135" si="237">A415</f>
        <v>OMH</v>
      </c>
      <c r="B135" s="213" t="str">
        <f t="shared" si="237"/>
        <v>VSL100051</v>
      </c>
      <c r="C135" s="219">
        <f t="shared" si="213"/>
        <v>9990.4</v>
      </c>
      <c r="D135" s="219">
        <f t="shared" si="214"/>
        <v>5.1999999999999993</v>
      </c>
      <c r="E135" s="219">
        <f t="shared" si="215"/>
        <v>9981</v>
      </c>
      <c r="F135" s="219">
        <f t="shared" si="216"/>
        <v>5.0632911392405058</v>
      </c>
      <c r="G135" s="219">
        <f t="shared" si="217"/>
        <v>-9</v>
      </c>
      <c r="H135" s="219">
        <f t="shared" si="218"/>
        <v>14</v>
      </c>
      <c r="I135" s="155">
        <f t="shared" si="219"/>
        <v>0</v>
      </c>
      <c r="J135" s="155">
        <f t="shared" si="220"/>
        <v>0</v>
      </c>
      <c r="K135" s="155">
        <f t="shared" si="221"/>
        <v>10.126582278481012</v>
      </c>
      <c r="L135" s="155">
        <f t="shared" si="222"/>
        <v>10</v>
      </c>
      <c r="M135" s="156">
        <f t="shared" si="223"/>
        <v>0.10136313139094542</v>
      </c>
      <c r="N135" s="157">
        <f t="shared" si="224"/>
        <v>1.0136313139094542E-2</v>
      </c>
      <c r="O135" s="155">
        <f t="shared" si="225"/>
        <v>100</v>
      </c>
      <c r="P135" s="250">
        <v>1</v>
      </c>
      <c r="Q135" s="250">
        <v>1000</v>
      </c>
      <c r="R135" s="148">
        <f t="shared" si="227"/>
        <v>1.0136313139094542</v>
      </c>
      <c r="S135" s="148">
        <f t="shared" si="228"/>
        <v>0.10136313139094542</v>
      </c>
      <c r="T135" s="148">
        <f t="shared" si="229"/>
        <v>1.0136313139094542E-2</v>
      </c>
      <c r="U135" s="148">
        <f t="shared" si="230"/>
        <v>1.0136313139094544</v>
      </c>
      <c r="V135" s="7">
        <f t="shared" si="231"/>
        <v>1000</v>
      </c>
      <c r="W135" s="7">
        <f t="shared" si="232"/>
        <v>1000000</v>
      </c>
      <c r="X135" s="1345">
        <f t="shared" si="233"/>
        <v>10.136313139094542</v>
      </c>
      <c r="Y135" s="1345">
        <f t="shared" si="234"/>
        <v>1013.6313139094544</v>
      </c>
    </row>
    <row r="136" spans="1:25" x14ac:dyDescent="0.2">
      <c r="A136" s="213" t="str">
        <f t="shared" ref="A136:B136" si="238">A416</f>
        <v>LNE</v>
      </c>
      <c r="B136" s="213" t="str">
        <f t="shared" si="238"/>
        <v>VSL124466</v>
      </c>
      <c r="C136" s="219">
        <f t="shared" si="213"/>
        <v>9995.8000000000011</v>
      </c>
      <c r="D136" s="219">
        <f t="shared" si="214"/>
        <v>5.1999999999999993</v>
      </c>
      <c r="E136" s="219">
        <f t="shared" si="215"/>
        <v>9981</v>
      </c>
      <c r="F136" s="219">
        <f t="shared" si="216"/>
        <v>15</v>
      </c>
      <c r="G136" s="219">
        <f t="shared" si="217"/>
        <v>-15</v>
      </c>
      <c r="H136" s="219">
        <f t="shared" si="218"/>
        <v>32</v>
      </c>
      <c r="I136" s="155">
        <f t="shared" si="219"/>
        <v>0</v>
      </c>
      <c r="J136" s="155">
        <f t="shared" si="220"/>
        <v>0</v>
      </c>
      <c r="K136" s="155">
        <f t="shared" si="221"/>
        <v>30</v>
      </c>
      <c r="L136" s="155">
        <f t="shared" si="222"/>
        <v>10</v>
      </c>
      <c r="M136" s="156">
        <f t="shared" si="223"/>
        <v>0.30012605294223571</v>
      </c>
      <c r="N136" s="157">
        <f t="shared" si="224"/>
        <v>3.001260529422357E-2</v>
      </c>
      <c r="O136" s="155">
        <f t="shared" si="225"/>
        <v>100</v>
      </c>
      <c r="P136" s="250">
        <v>1</v>
      </c>
      <c r="Q136" s="250">
        <v>1000</v>
      </c>
      <c r="R136" s="148">
        <f t="shared" si="227"/>
        <v>3.0012605294223569</v>
      </c>
      <c r="S136" s="148">
        <f t="shared" si="228"/>
        <v>0.30012605294223571</v>
      </c>
      <c r="T136" s="148">
        <f t="shared" si="229"/>
        <v>3.001260529422357E-2</v>
      </c>
      <c r="U136" s="148">
        <f t="shared" si="230"/>
        <v>3.0012605294223573</v>
      </c>
      <c r="V136" s="7">
        <f t="shared" si="231"/>
        <v>1000</v>
      </c>
      <c r="W136" s="7">
        <f t="shared" si="232"/>
        <v>1000000</v>
      </c>
      <c r="X136" s="1345">
        <f t="shared" si="233"/>
        <v>30.012605294223569</v>
      </c>
      <c r="Y136" s="1345">
        <f t="shared" si="234"/>
        <v>3001.2605294223572</v>
      </c>
    </row>
    <row r="137" spans="1:25" x14ac:dyDescent="0.2">
      <c r="A137" s="213" t="str">
        <f t="shared" ref="A137:B137" si="239">A417</f>
        <v>NMi VSL</v>
      </c>
      <c r="B137" s="213" t="str">
        <f t="shared" si="239"/>
        <v>VSL226686</v>
      </c>
      <c r="C137" s="219">
        <f t="shared" si="213"/>
        <v>9982.5</v>
      </c>
      <c r="D137" s="219">
        <f t="shared" si="214"/>
        <v>8.1999999999999993</v>
      </c>
      <c r="E137" s="219">
        <f t="shared" si="215"/>
        <v>9990</v>
      </c>
      <c r="F137" s="219">
        <f t="shared" si="216"/>
        <v>15</v>
      </c>
      <c r="G137" s="219">
        <f t="shared" si="217"/>
        <v>8</v>
      </c>
      <c r="H137" s="219">
        <f t="shared" si="218"/>
        <v>34</v>
      </c>
      <c r="I137" s="155">
        <f t="shared" si="219"/>
        <v>0</v>
      </c>
      <c r="J137" s="155">
        <f t="shared" si="220"/>
        <v>0</v>
      </c>
      <c r="K137" s="155">
        <f t="shared" si="221"/>
        <v>30</v>
      </c>
      <c r="L137" s="155">
        <f t="shared" si="222"/>
        <v>10</v>
      </c>
      <c r="M137" s="156">
        <f t="shared" si="223"/>
        <v>0.30052592036063114</v>
      </c>
      <c r="N137" s="157">
        <f t="shared" si="224"/>
        <v>3.0052592036063114E-2</v>
      </c>
      <c r="O137" s="155">
        <f t="shared" si="225"/>
        <v>100</v>
      </c>
      <c r="P137" s="250">
        <v>1</v>
      </c>
      <c r="Q137" s="250">
        <v>1000</v>
      </c>
      <c r="R137" s="148">
        <f t="shared" si="227"/>
        <v>3.0052592036063115</v>
      </c>
      <c r="S137" s="148">
        <f t="shared" si="228"/>
        <v>0.30052592036063114</v>
      </c>
      <c r="T137" s="148">
        <f t="shared" si="229"/>
        <v>3.0052592036063117E-2</v>
      </c>
      <c r="U137" s="148">
        <f t="shared" si="230"/>
        <v>3.005259203606311</v>
      </c>
      <c r="V137" s="7">
        <f t="shared" si="231"/>
        <v>1000</v>
      </c>
      <c r="W137" s="7">
        <f t="shared" si="232"/>
        <v>1000000</v>
      </c>
      <c r="X137" s="1345">
        <f t="shared" si="233"/>
        <v>30.052592036063118</v>
      </c>
      <c r="Y137" s="1345">
        <f t="shared" si="234"/>
        <v>3005.2592036063111</v>
      </c>
    </row>
    <row r="138" spans="1:25" x14ac:dyDescent="0.2">
      <c r="A138" s="213" t="str">
        <f t="shared" ref="A138:B138" si="240">A418</f>
        <v>CENAM</v>
      </c>
      <c r="B138" s="213" t="str">
        <f t="shared" si="240"/>
        <v>VSL126717</v>
      </c>
      <c r="C138" s="219">
        <f t="shared" si="213"/>
        <v>10021</v>
      </c>
      <c r="D138" s="219">
        <f t="shared" si="214"/>
        <v>5.1999999999999993</v>
      </c>
      <c r="E138" s="219">
        <f t="shared" si="215"/>
        <v>9960</v>
      </c>
      <c r="F138" s="219">
        <f t="shared" si="216"/>
        <v>46</v>
      </c>
      <c r="G138" s="219">
        <f t="shared" si="217"/>
        <v>-61.000000000000007</v>
      </c>
      <c r="H138" s="219">
        <f t="shared" si="218"/>
        <v>92.999999999999986</v>
      </c>
      <c r="I138" s="155">
        <f t="shared" si="219"/>
        <v>0</v>
      </c>
      <c r="J138" s="155">
        <f t="shared" si="220"/>
        <v>0</v>
      </c>
      <c r="K138" s="155">
        <f t="shared" si="221"/>
        <v>92</v>
      </c>
      <c r="L138" s="155">
        <f t="shared" si="222"/>
        <v>10</v>
      </c>
      <c r="M138" s="156">
        <f t="shared" si="223"/>
        <v>0.91807204869773473</v>
      </c>
      <c r="N138" s="157">
        <f t="shared" si="224"/>
        <v>9.1807204869773465E-2</v>
      </c>
      <c r="O138" s="155">
        <f t="shared" si="225"/>
        <v>100</v>
      </c>
      <c r="P138" s="250">
        <v>1</v>
      </c>
      <c r="Q138" s="250">
        <v>1000</v>
      </c>
      <c r="R138" s="148">
        <f t="shared" si="227"/>
        <v>9.1807204869773464</v>
      </c>
      <c r="S138" s="148">
        <f t="shared" si="228"/>
        <v>0.91807204869773473</v>
      </c>
      <c r="T138" s="148">
        <f t="shared" si="229"/>
        <v>9.1807204869773465E-2</v>
      </c>
      <c r="U138" s="148">
        <f t="shared" si="230"/>
        <v>9.1807204869773482</v>
      </c>
      <c r="V138" s="7">
        <f t="shared" si="231"/>
        <v>1000</v>
      </c>
      <c r="W138" s="7">
        <f t="shared" si="232"/>
        <v>1000000</v>
      </c>
      <c r="X138" s="1345">
        <f t="shared" si="233"/>
        <v>91.807204869773472</v>
      </c>
      <c r="Y138" s="1345">
        <f t="shared" si="234"/>
        <v>9180.7204869773486</v>
      </c>
    </row>
    <row r="139" spans="1:25" x14ac:dyDescent="0.2">
      <c r="A139" s="213" t="str">
        <f t="shared" ref="A139:B139" si="241">A419</f>
        <v>CEM</v>
      </c>
      <c r="B139" s="213" t="str">
        <f t="shared" si="241"/>
        <v>VSL100066</v>
      </c>
      <c r="C139" s="219">
        <f t="shared" si="213"/>
        <v>9983</v>
      </c>
      <c r="D139" s="219">
        <f t="shared" si="214"/>
        <v>5.1999999999999993</v>
      </c>
      <c r="E139" s="219">
        <f t="shared" si="215"/>
        <v>9983</v>
      </c>
      <c r="F139" s="219">
        <f t="shared" si="216"/>
        <v>28.5</v>
      </c>
      <c r="G139" s="219">
        <f t="shared" si="217"/>
        <v>0</v>
      </c>
      <c r="H139" s="219">
        <f t="shared" si="218"/>
        <v>57.999999999999993</v>
      </c>
      <c r="I139" s="155">
        <f t="shared" si="219"/>
        <v>0</v>
      </c>
      <c r="J139" s="155">
        <f t="shared" si="220"/>
        <v>0</v>
      </c>
      <c r="K139" s="155">
        <f t="shared" si="221"/>
        <v>57</v>
      </c>
      <c r="L139" s="155">
        <f t="shared" si="222"/>
        <v>10</v>
      </c>
      <c r="M139" s="156">
        <f t="shared" si="223"/>
        <v>0.57097065010517878</v>
      </c>
      <c r="N139" s="157">
        <f t="shared" si="224"/>
        <v>5.7097065010517874E-2</v>
      </c>
      <c r="O139" s="155">
        <f t="shared" si="225"/>
        <v>100</v>
      </c>
      <c r="P139" s="250">
        <v>1</v>
      </c>
      <c r="Q139" s="250">
        <v>1000</v>
      </c>
      <c r="R139" s="148">
        <f t="shared" si="227"/>
        <v>5.7097065010517873</v>
      </c>
      <c r="S139" s="148">
        <f t="shared" si="228"/>
        <v>0.57097065010517878</v>
      </c>
      <c r="T139" s="148">
        <f t="shared" si="229"/>
        <v>5.7097065010517874E-2</v>
      </c>
      <c r="U139" s="148">
        <f t="shared" si="230"/>
        <v>5.7097065010517882</v>
      </c>
      <c r="V139" s="7">
        <f t="shared" si="231"/>
        <v>1000</v>
      </c>
      <c r="W139" s="7">
        <f t="shared" si="232"/>
        <v>1000000</v>
      </c>
      <c r="X139" s="1345">
        <f t="shared" si="233"/>
        <v>57.097065010517873</v>
      </c>
      <c r="Y139" s="1345">
        <f t="shared" si="234"/>
        <v>5709.7065010517881</v>
      </c>
    </row>
    <row r="140" spans="1:25" x14ac:dyDescent="0.2">
      <c r="A140" s="213" t="str">
        <f t="shared" ref="A140:B140" si="242">A420</f>
        <v>BAM</v>
      </c>
      <c r="B140" s="213" t="str">
        <f t="shared" si="242"/>
        <v>VSL100042</v>
      </c>
      <c r="C140" s="219">
        <f t="shared" si="213"/>
        <v>9977.7999999999993</v>
      </c>
      <c r="D140" s="219">
        <f t="shared" si="214"/>
        <v>5.1999999999999993</v>
      </c>
      <c r="E140" s="219">
        <f t="shared" si="215"/>
        <v>9986</v>
      </c>
      <c r="F140" s="219">
        <f t="shared" si="216"/>
        <v>25</v>
      </c>
      <c r="G140" s="219">
        <f t="shared" si="217"/>
        <v>8</v>
      </c>
      <c r="H140" s="219">
        <f t="shared" si="218"/>
        <v>51.000000000000007</v>
      </c>
      <c r="I140" s="155">
        <f t="shared" si="219"/>
        <v>0</v>
      </c>
      <c r="J140" s="155">
        <f t="shared" si="220"/>
        <v>0</v>
      </c>
      <c r="K140" s="155">
        <f t="shared" si="221"/>
        <v>50</v>
      </c>
      <c r="L140" s="155">
        <f t="shared" si="222"/>
        <v>10</v>
      </c>
      <c r="M140" s="156">
        <f t="shared" si="223"/>
        <v>0.50111246968269563</v>
      </c>
      <c r="N140" s="157">
        <f t="shared" si="224"/>
        <v>5.011124696826956E-2</v>
      </c>
      <c r="O140" s="155">
        <f t="shared" si="225"/>
        <v>100</v>
      </c>
      <c r="P140" s="250">
        <v>1</v>
      </c>
      <c r="Q140" s="250">
        <v>1000</v>
      </c>
      <c r="R140" s="148">
        <f t="shared" si="227"/>
        <v>5.0111246968269558</v>
      </c>
      <c r="S140" s="148">
        <f t="shared" si="228"/>
        <v>0.50111246968269563</v>
      </c>
      <c r="T140" s="148">
        <f t="shared" si="229"/>
        <v>5.011124696826956E-2</v>
      </c>
      <c r="U140" s="148">
        <f t="shared" si="230"/>
        <v>5.0111246968269567</v>
      </c>
      <c r="V140" s="7">
        <f t="shared" si="231"/>
        <v>1000</v>
      </c>
      <c r="W140" s="7">
        <f t="shared" si="232"/>
        <v>1000000</v>
      </c>
      <c r="X140" s="1345">
        <f t="shared" si="233"/>
        <v>50.111246968269562</v>
      </c>
      <c r="Y140" s="1345">
        <f t="shared" si="234"/>
        <v>5011.124696826957</v>
      </c>
    </row>
    <row r="141" spans="1:25" x14ac:dyDescent="0.2">
      <c r="A141" s="213" t="str">
        <f t="shared" ref="A141:B141" si="243">A421</f>
        <v>NMIA</v>
      </c>
      <c r="B141" s="213" t="str">
        <f t="shared" si="243"/>
        <v>VSL126712</v>
      </c>
      <c r="C141" s="219">
        <f t="shared" si="213"/>
        <v>10027.6</v>
      </c>
      <c r="D141" s="219">
        <f t="shared" si="214"/>
        <v>5.1999999999999993</v>
      </c>
      <c r="E141" s="219">
        <f t="shared" si="215"/>
        <v>10020</v>
      </c>
      <c r="F141" s="219">
        <f t="shared" si="216"/>
        <v>9.1743119266055047</v>
      </c>
      <c r="G141" s="219">
        <f t="shared" si="217"/>
        <v>-8</v>
      </c>
      <c r="H141" s="219">
        <f t="shared" si="218"/>
        <v>21</v>
      </c>
      <c r="I141" s="155">
        <f t="shared" si="219"/>
        <v>0</v>
      </c>
      <c r="J141" s="155">
        <f t="shared" si="220"/>
        <v>0</v>
      </c>
      <c r="K141" s="155">
        <f t="shared" si="221"/>
        <v>18.348623853211009</v>
      </c>
      <c r="L141" s="155">
        <f t="shared" si="222"/>
        <v>10</v>
      </c>
      <c r="M141" s="156">
        <f t="shared" si="223"/>
        <v>0.18298121039142973</v>
      </c>
      <c r="N141" s="157">
        <f t="shared" si="224"/>
        <v>1.8298121039142971E-2</v>
      </c>
      <c r="O141" s="155">
        <f t="shared" si="225"/>
        <v>100</v>
      </c>
      <c r="P141" s="250">
        <v>1</v>
      </c>
      <c r="Q141" s="250">
        <v>1000</v>
      </c>
      <c r="R141" s="148">
        <f t="shared" si="227"/>
        <v>1.8298121039142972</v>
      </c>
      <c r="S141" s="148">
        <f t="shared" si="228"/>
        <v>0.18298121039142973</v>
      </c>
      <c r="T141" s="148">
        <f t="shared" si="229"/>
        <v>1.8298121039142971E-2</v>
      </c>
      <c r="U141" s="148">
        <f t="shared" si="230"/>
        <v>1.8298121039142974</v>
      </c>
      <c r="V141" s="7">
        <f t="shared" si="231"/>
        <v>1000</v>
      </c>
      <c r="W141" s="7">
        <f t="shared" si="232"/>
        <v>1000000</v>
      </c>
      <c r="X141" s="1345">
        <f t="shared" si="233"/>
        <v>18.29812103914297</v>
      </c>
      <c r="Y141" s="1345">
        <f t="shared" si="234"/>
        <v>1829.8121039142975</v>
      </c>
    </row>
    <row r="142" spans="1:25" x14ac:dyDescent="0.2">
      <c r="A142" s="213" t="str">
        <f t="shared" ref="A142:B142" si="244">A422</f>
        <v>IPQ</v>
      </c>
      <c r="B142" s="213" t="str">
        <f t="shared" si="244"/>
        <v>VSL100038</v>
      </c>
      <c r="C142" s="219">
        <f t="shared" si="213"/>
        <v>9999.9</v>
      </c>
      <c r="D142" s="219">
        <f t="shared" si="214"/>
        <v>5.1999999999999993</v>
      </c>
      <c r="E142" s="219">
        <f t="shared" si="215"/>
        <v>10001</v>
      </c>
      <c r="F142" s="219">
        <f t="shared" si="216"/>
        <v>21.5</v>
      </c>
      <c r="G142" s="219">
        <f t="shared" si="217"/>
        <v>1</v>
      </c>
      <c r="H142" s="219">
        <f t="shared" si="218"/>
        <v>44</v>
      </c>
      <c r="I142" s="155">
        <f t="shared" si="219"/>
        <v>0</v>
      </c>
      <c r="J142" s="155">
        <f t="shared" si="220"/>
        <v>0</v>
      </c>
      <c r="K142" s="155">
        <f t="shared" si="221"/>
        <v>43</v>
      </c>
      <c r="L142" s="155">
        <f t="shared" si="222"/>
        <v>10</v>
      </c>
      <c r="M142" s="156">
        <f t="shared" si="223"/>
        <v>0.43000430004300039</v>
      </c>
      <c r="N142" s="157">
        <f t="shared" si="224"/>
        <v>4.3000430004300039E-2</v>
      </c>
      <c r="O142" s="155">
        <f t="shared" si="225"/>
        <v>100</v>
      </c>
      <c r="P142" s="250">
        <v>1</v>
      </c>
      <c r="Q142" s="250">
        <v>1000</v>
      </c>
      <c r="R142" s="148">
        <f t="shared" si="227"/>
        <v>4.3000430004300041</v>
      </c>
      <c r="S142" s="148">
        <f t="shared" si="228"/>
        <v>0.43000430004300039</v>
      </c>
      <c r="T142" s="148">
        <f t="shared" si="229"/>
        <v>4.3000430004300039E-2</v>
      </c>
      <c r="U142" s="148">
        <f t="shared" si="230"/>
        <v>4.3000430004300041</v>
      </c>
      <c r="V142" s="7">
        <f t="shared" si="231"/>
        <v>1000</v>
      </c>
      <c r="W142" s="7">
        <f t="shared" si="232"/>
        <v>1000000</v>
      </c>
      <c r="X142" s="1345">
        <f t="shared" si="233"/>
        <v>43.000430004300036</v>
      </c>
      <c r="Y142" s="1345">
        <f t="shared" si="234"/>
        <v>4300.0430004300042</v>
      </c>
    </row>
    <row r="143" spans="1:25" x14ac:dyDescent="0.2">
      <c r="A143" s="213" t="str">
        <f t="shared" ref="A143:B143" si="245">A423</f>
        <v>INMETRO</v>
      </c>
      <c r="B143" s="213" t="str">
        <f t="shared" si="245"/>
        <v>VSL100041</v>
      </c>
      <c r="C143" s="219">
        <f t="shared" si="213"/>
        <v>9968.2999999999993</v>
      </c>
      <c r="D143" s="219">
        <f t="shared" si="214"/>
        <v>5.1000000000000005</v>
      </c>
      <c r="E143" s="219">
        <f t="shared" si="215"/>
        <v>9930</v>
      </c>
      <c r="F143" s="219">
        <f t="shared" si="216"/>
        <v>75</v>
      </c>
      <c r="G143" s="219">
        <f t="shared" si="217"/>
        <v>-38</v>
      </c>
      <c r="H143" s="219">
        <f t="shared" si="218"/>
        <v>150</v>
      </c>
      <c r="I143" s="155">
        <f t="shared" si="219"/>
        <v>0</v>
      </c>
      <c r="J143" s="155">
        <f t="shared" si="220"/>
        <v>0</v>
      </c>
      <c r="K143" s="155">
        <f t="shared" si="221"/>
        <v>150</v>
      </c>
      <c r="L143" s="155">
        <f t="shared" si="222"/>
        <v>10</v>
      </c>
      <c r="M143" s="156">
        <f t="shared" si="223"/>
        <v>1.504770121284472</v>
      </c>
      <c r="N143" s="157">
        <f t="shared" si="224"/>
        <v>0.15047701212844719</v>
      </c>
      <c r="O143" s="155">
        <f t="shared" si="225"/>
        <v>100</v>
      </c>
      <c r="P143" s="250">
        <v>1</v>
      </c>
      <c r="Q143" s="250">
        <v>1000</v>
      </c>
      <c r="R143" s="148">
        <f t="shared" si="227"/>
        <v>15.04770121284472</v>
      </c>
      <c r="S143" s="148">
        <f t="shared" si="228"/>
        <v>1.504770121284472</v>
      </c>
      <c r="T143" s="148">
        <f t="shared" si="229"/>
        <v>0.15047701212844719</v>
      </c>
      <c r="U143" s="148">
        <f t="shared" si="230"/>
        <v>15.04770121284472</v>
      </c>
      <c r="V143" s="7">
        <f t="shared" si="231"/>
        <v>1000</v>
      </c>
      <c r="W143" s="7">
        <f t="shared" si="232"/>
        <v>1000000</v>
      </c>
      <c r="X143" s="1345">
        <f t="shared" si="233"/>
        <v>150.4770121284472</v>
      </c>
      <c r="Y143" s="1345">
        <f t="shared" si="234"/>
        <v>15047.70121284472</v>
      </c>
    </row>
    <row r="144" spans="1:25" x14ac:dyDescent="0.2">
      <c r="A144" s="213" t="str">
        <f t="shared" ref="A144:B144" si="246">A424</f>
        <v>GUM</v>
      </c>
      <c r="B144" s="213" t="str">
        <f t="shared" si="246"/>
        <v>VSL100044</v>
      </c>
      <c r="C144" s="219">
        <f t="shared" si="213"/>
        <v>9989</v>
      </c>
      <c r="D144" s="219">
        <f t="shared" si="214"/>
        <v>5.1999999999999993</v>
      </c>
      <c r="E144" s="219">
        <f t="shared" si="215"/>
        <v>9972</v>
      </c>
      <c r="F144" s="219">
        <f t="shared" si="216"/>
        <v>35</v>
      </c>
      <c r="G144" s="219">
        <f t="shared" si="217"/>
        <v>-17</v>
      </c>
      <c r="H144" s="219">
        <f t="shared" si="218"/>
        <v>71</v>
      </c>
      <c r="I144" s="155">
        <f t="shared" si="219"/>
        <v>0</v>
      </c>
      <c r="J144" s="155">
        <f t="shared" si="220"/>
        <v>0</v>
      </c>
      <c r="K144" s="155">
        <f t="shared" si="221"/>
        <v>70</v>
      </c>
      <c r="L144" s="155">
        <f t="shared" si="222"/>
        <v>10</v>
      </c>
      <c r="M144" s="156">
        <f t="shared" si="223"/>
        <v>0.70077084793272593</v>
      </c>
      <c r="N144" s="157">
        <f t="shared" si="224"/>
        <v>7.0077084793272598E-2</v>
      </c>
      <c r="O144" s="155">
        <f t="shared" si="225"/>
        <v>100</v>
      </c>
      <c r="P144" s="250">
        <v>1</v>
      </c>
      <c r="Q144" s="250">
        <v>1000</v>
      </c>
      <c r="R144" s="148">
        <f t="shared" si="227"/>
        <v>7.0077084793272597</v>
      </c>
      <c r="S144" s="148">
        <f t="shared" si="228"/>
        <v>0.70077084793272593</v>
      </c>
      <c r="T144" s="148">
        <f t="shared" si="229"/>
        <v>7.0077084793272598E-2</v>
      </c>
      <c r="U144" s="148">
        <f t="shared" si="230"/>
        <v>7.0077084793272597</v>
      </c>
      <c r="V144" s="7">
        <f t="shared" si="231"/>
        <v>1000</v>
      </c>
      <c r="W144" s="7">
        <f t="shared" si="232"/>
        <v>1000000</v>
      </c>
      <c r="X144" s="1345">
        <f t="shared" si="233"/>
        <v>70.077084793272604</v>
      </c>
      <c r="Y144" s="1345">
        <f t="shared" si="234"/>
        <v>7007.7084793272597</v>
      </c>
    </row>
    <row r="145" spans="1:26" x14ac:dyDescent="0.2">
      <c r="A145" s="213" t="str">
        <f t="shared" ref="A145:B145" si="247">A425</f>
        <v>NRCCRM</v>
      </c>
      <c r="B145" s="213" t="str">
        <f t="shared" si="247"/>
        <v>VSL126730</v>
      </c>
      <c r="C145" s="219">
        <f t="shared" si="213"/>
        <v>10067.5</v>
      </c>
      <c r="D145" s="219">
        <f t="shared" si="214"/>
        <v>5.1999999999999993</v>
      </c>
      <c r="E145" s="219">
        <f t="shared" si="215"/>
        <v>10080</v>
      </c>
      <c r="F145" s="219">
        <f t="shared" si="216"/>
        <v>75.5</v>
      </c>
      <c r="G145" s="219">
        <f t="shared" si="217"/>
        <v>13</v>
      </c>
      <c r="H145" s="219">
        <f t="shared" si="218"/>
        <v>152</v>
      </c>
      <c r="I145" s="155">
        <f t="shared" si="219"/>
        <v>0</v>
      </c>
      <c r="J145" s="155">
        <f t="shared" si="220"/>
        <v>0</v>
      </c>
      <c r="K145" s="155">
        <f t="shared" si="221"/>
        <v>151</v>
      </c>
      <c r="L145" s="155">
        <f t="shared" si="222"/>
        <v>10</v>
      </c>
      <c r="M145" s="156">
        <f t="shared" si="223"/>
        <v>1.4998758380928729</v>
      </c>
      <c r="N145" s="157">
        <f t="shared" si="224"/>
        <v>0.14998758380928728</v>
      </c>
      <c r="O145" s="155">
        <f t="shared" si="225"/>
        <v>100</v>
      </c>
      <c r="P145" s="250">
        <v>1</v>
      </c>
      <c r="Q145" s="250">
        <v>1000</v>
      </c>
      <c r="R145" s="148">
        <f t="shared" si="227"/>
        <v>14.998758380928729</v>
      </c>
      <c r="S145" s="148">
        <f t="shared" si="228"/>
        <v>1.4998758380928729</v>
      </c>
      <c r="T145" s="148">
        <f t="shared" si="229"/>
        <v>0.14998758380928728</v>
      </c>
      <c r="U145" s="148">
        <f t="shared" si="230"/>
        <v>14.998758380928731</v>
      </c>
      <c r="V145" s="7">
        <f t="shared" si="231"/>
        <v>1000</v>
      </c>
      <c r="W145" s="7">
        <f t="shared" si="232"/>
        <v>1000000</v>
      </c>
      <c r="X145" s="1345">
        <f t="shared" si="233"/>
        <v>149.98758380928729</v>
      </c>
      <c r="Y145" s="1345">
        <f t="shared" si="234"/>
        <v>14998.758380928732</v>
      </c>
    </row>
    <row r="146" spans="1:26" x14ac:dyDescent="0.2">
      <c r="A146" s="213" t="str">
        <f t="shared" ref="A146:B146" si="248">A426</f>
        <v>KRISS</v>
      </c>
      <c r="B146" s="213" t="str">
        <f t="shared" si="248"/>
        <v>VSL126709</v>
      </c>
      <c r="C146" s="219">
        <f t="shared" si="213"/>
        <v>10074</v>
      </c>
      <c r="D146" s="219">
        <f t="shared" si="214"/>
        <v>5.1999999999999993</v>
      </c>
      <c r="E146" s="219">
        <f t="shared" si="215"/>
        <v>10078</v>
      </c>
      <c r="F146" s="219">
        <f t="shared" si="216"/>
        <v>11.999999999999998</v>
      </c>
      <c r="G146" s="219">
        <f t="shared" si="217"/>
        <v>4</v>
      </c>
      <c r="H146" s="219">
        <f t="shared" si="218"/>
        <v>26</v>
      </c>
      <c r="I146" s="155">
        <f t="shared" si="219"/>
        <v>0</v>
      </c>
      <c r="J146" s="155">
        <f t="shared" si="220"/>
        <v>0</v>
      </c>
      <c r="K146" s="155">
        <f t="shared" si="221"/>
        <v>23.999999999999996</v>
      </c>
      <c r="L146" s="155">
        <f t="shared" si="222"/>
        <v>10</v>
      </c>
      <c r="M146" s="156">
        <f t="shared" si="223"/>
        <v>0.2382370458606313</v>
      </c>
      <c r="N146" s="157">
        <f t="shared" si="224"/>
        <v>2.382370458606313E-2</v>
      </c>
      <c r="O146" s="155">
        <f t="shared" si="225"/>
        <v>100</v>
      </c>
      <c r="P146" s="250">
        <v>1</v>
      </c>
      <c r="Q146" s="250">
        <v>1000</v>
      </c>
      <c r="R146" s="148">
        <f t="shared" si="227"/>
        <v>2.3823704586063128</v>
      </c>
      <c r="S146" s="148">
        <f t="shared" si="228"/>
        <v>0.2382370458606313</v>
      </c>
      <c r="T146" s="148">
        <f t="shared" si="229"/>
        <v>2.382370458606313E-2</v>
      </c>
      <c r="U146" s="148">
        <f t="shared" si="230"/>
        <v>2.3823704586063132</v>
      </c>
      <c r="V146" s="7">
        <f t="shared" si="231"/>
        <v>1000</v>
      </c>
      <c r="W146" s="7">
        <f t="shared" si="232"/>
        <v>1000000</v>
      </c>
      <c r="X146" s="1345">
        <f t="shared" si="233"/>
        <v>23.82370458606313</v>
      </c>
      <c r="Y146" s="1345">
        <f t="shared" si="234"/>
        <v>2382.3704586063132</v>
      </c>
    </row>
    <row r="147" spans="1:26" ht="14.25" x14ac:dyDescent="0.2">
      <c r="H147" s="9"/>
      <c r="U147" s="152"/>
      <c r="V147" s="21"/>
      <c r="W147" s="21"/>
      <c r="X147" s="21"/>
      <c r="Y147" s="21"/>
      <c r="Z147" s="21"/>
    </row>
    <row r="148" spans="1:26" ht="15.75" x14ac:dyDescent="0.2">
      <c r="A148" s="103" t="str">
        <f>A428</f>
        <v>Propane, mixture III</v>
      </c>
      <c r="B148" s="97"/>
      <c r="C148" s="97"/>
      <c r="D148" s="97"/>
      <c r="E148" s="97"/>
      <c r="F148" s="97"/>
      <c r="G148" s="97"/>
      <c r="H148" s="97"/>
      <c r="I148" s="113"/>
      <c r="J148" s="113"/>
      <c r="K148" s="113"/>
      <c r="L148" s="113"/>
      <c r="M148" s="113"/>
      <c r="N148" s="113"/>
      <c r="O148" s="113"/>
      <c r="R148" s="113"/>
      <c r="S148" s="113"/>
      <c r="T148" s="146"/>
      <c r="U148" s="146"/>
    </row>
    <row r="149" spans="1:26" ht="102" x14ac:dyDescent="0.2">
      <c r="A149" s="211" t="s">
        <v>0</v>
      </c>
      <c r="B149" s="212" t="s">
        <v>1</v>
      </c>
      <c r="C149" s="212" t="s">
        <v>133</v>
      </c>
      <c r="D149" s="212" t="s">
        <v>199</v>
      </c>
      <c r="E149" s="212" t="s">
        <v>135</v>
      </c>
      <c r="F149" s="212" t="s">
        <v>200</v>
      </c>
      <c r="G149" s="212" t="s">
        <v>137</v>
      </c>
      <c r="H149" s="212" t="s">
        <v>201</v>
      </c>
      <c r="I149" s="104" t="s">
        <v>8</v>
      </c>
      <c r="J149" s="104" t="s">
        <v>9</v>
      </c>
      <c r="K149" s="104" t="s">
        <v>107</v>
      </c>
      <c r="L149" s="104" t="s">
        <v>14</v>
      </c>
      <c r="M149" s="104" t="s">
        <v>1057</v>
      </c>
      <c r="N149" s="104" t="s">
        <v>1058</v>
      </c>
      <c r="O149" s="104" t="s">
        <v>100</v>
      </c>
      <c r="P149" s="6" t="s">
        <v>105</v>
      </c>
      <c r="Q149" s="6" t="s">
        <v>106</v>
      </c>
      <c r="R149" s="104" t="s">
        <v>1051</v>
      </c>
      <c r="S149" s="104" t="s">
        <v>1052</v>
      </c>
      <c r="T149" s="147" t="s">
        <v>1053</v>
      </c>
      <c r="U149" s="147" t="s">
        <v>1054</v>
      </c>
      <c r="V149" s="5" t="s">
        <v>101</v>
      </c>
      <c r="W149" s="5" t="s">
        <v>102</v>
      </c>
      <c r="X149" s="112" t="s">
        <v>1055</v>
      </c>
      <c r="Y149" s="112" t="s">
        <v>1056</v>
      </c>
    </row>
    <row r="150" spans="1:26" x14ac:dyDescent="0.2">
      <c r="A150" s="213" t="str">
        <f>A430</f>
        <v>NPL</v>
      </c>
      <c r="B150" s="213" t="str">
        <f>B430</f>
        <v>VSL206333</v>
      </c>
      <c r="C150" s="219">
        <f t="shared" ref="C150:C165" si="249">C430*10000</f>
        <v>5001.6000000000004</v>
      </c>
      <c r="D150" s="219">
        <f t="shared" ref="D150:D165" si="250">F430*10000</f>
        <v>4.2</v>
      </c>
      <c r="E150" s="219">
        <f t="shared" ref="E150:E165" si="251">G430*10000</f>
        <v>5000</v>
      </c>
      <c r="F150" s="219">
        <f t="shared" ref="F150:F165" si="252">H430/I430*10000</f>
        <v>3.5</v>
      </c>
      <c r="G150" s="219">
        <f t="shared" ref="G150:G165" si="253">J430*10000</f>
        <v>-2</v>
      </c>
      <c r="H150" s="219">
        <f t="shared" ref="H150:H165" si="254">L430*10000</f>
        <v>11</v>
      </c>
      <c r="I150" s="155">
        <f t="shared" ref="I150:I165" si="255">IF(ABS(G150)&gt;ABS(H150), 1, 0)</f>
        <v>0</v>
      </c>
      <c r="J150" s="155">
        <f t="shared" ref="J150:J165" si="256">I150*ABS(C150-E150)</f>
        <v>0</v>
      </c>
      <c r="K150" s="155">
        <f t="shared" ref="K150:K165" si="257">SQRT(SUMSQ(F150,J150))*2</f>
        <v>7</v>
      </c>
      <c r="L150" s="155">
        <f t="shared" ref="L150:L165" si="258">IF(C150&lt;$K$2, C150, $K$1)</f>
        <v>10</v>
      </c>
      <c r="M150" s="156">
        <f t="shared" ref="M150:M165" si="259">IF(AND(C150&lt;$K$1,C150&gt; $K$2), K150/L150*100, K150/C150*100)</f>
        <v>0.13995521433141392</v>
      </c>
      <c r="N150" s="157">
        <f t="shared" ref="N150:N165" si="260">M150*L150/100</f>
        <v>1.3995521433141391E-2</v>
      </c>
      <c r="O150" s="155">
        <f t="shared" ref="O150:O165" si="261">N150/(M150*L150/100)*100</f>
        <v>100</v>
      </c>
      <c r="P150" s="250">
        <v>1</v>
      </c>
      <c r="Q150" s="250">
        <v>1000</v>
      </c>
      <c r="R150" s="148">
        <f>IF( IF(P150&lt;L150, M150*L150/P150, M150)&gt;100, "ERROR",  IF(P150&lt;L150, M150*L150/P150, M150))</f>
        <v>1.3995521433141391</v>
      </c>
      <c r="S150" s="148">
        <f>IF(IF(Q150&lt;L150, M150*L150/Q150, M150)&gt;100, "ERROR", IF(Q150&lt;L150, M150*L150/Q150, M150))</f>
        <v>0.13995521433141392</v>
      </c>
      <c r="T150" s="148">
        <f>R150*P150*0.01</f>
        <v>1.3995521433141391E-2</v>
      </c>
      <c r="U150" s="148">
        <f>S150*Q150*0.01</f>
        <v>1.3995521433141391</v>
      </c>
      <c r="V150" s="7">
        <f>P150*1000</f>
        <v>1000</v>
      </c>
      <c r="W150" s="7">
        <f>Q150*1000</f>
        <v>1000000</v>
      </c>
      <c r="X150" s="1345">
        <f>T150*1000</f>
        <v>13.995521433141391</v>
      </c>
      <c r="Y150" s="1345">
        <f>U150*1000</f>
        <v>1399.5521433141391</v>
      </c>
    </row>
    <row r="151" spans="1:26" x14ac:dyDescent="0.2">
      <c r="A151" s="213" t="str">
        <f t="shared" ref="A151:B151" si="262">A431</f>
        <v>SMU</v>
      </c>
      <c r="B151" s="213" t="str">
        <f t="shared" si="262"/>
        <v>VSL202622</v>
      </c>
      <c r="C151" s="219">
        <f t="shared" si="249"/>
        <v>5001.6000000000004</v>
      </c>
      <c r="D151" s="219">
        <f t="shared" si="250"/>
        <v>4.2</v>
      </c>
      <c r="E151" s="219">
        <f t="shared" si="251"/>
        <v>5069</v>
      </c>
      <c r="F151" s="219">
        <f t="shared" si="252"/>
        <v>12.5</v>
      </c>
      <c r="G151" s="219">
        <f t="shared" si="253"/>
        <v>67</v>
      </c>
      <c r="H151" s="219">
        <f t="shared" si="254"/>
        <v>26</v>
      </c>
      <c r="I151" s="155">
        <f t="shared" si="255"/>
        <v>1</v>
      </c>
      <c r="J151" s="155">
        <f t="shared" si="256"/>
        <v>67.399999999999636</v>
      </c>
      <c r="K151" s="155">
        <f t="shared" si="257"/>
        <v>137.09865061334412</v>
      </c>
      <c r="L151" s="155">
        <f t="shared" si="258"/>
        <v>10</v>
      </c>
      <c r="M151" s="156">
        <f t="shared" si="259"/>
        <v>2.7410958615911731</v>
      </c>
      <c r="N151" s="157">
        <f t="shared" si="260"/>
        <v>0.27410958615911729</v>
      </c>
      <c r="O151" s="155">
        <f t="shared" si="261"/>
        <v>100</v>
      </c>
      <c r="P151" s="250">
        <v>1</v>
      </c>
      <c r="Q151" s="250">
        <v>1000</v>
      </c>
      <c r="R151" s="148">
        <f t="shared" ref="R151:R165" si="263">IF( IF(P151&lt;L151, M151*L151/P151, M151)&gt;100, "ERROR",  IF(P151&lt;L151, M151*L151/P151, M151))</f>
        <v>27.410958615911731</v>
      </c>
      <c r="S151" s="148">
        <f t="shared" ref="S151:S165" si="264">IF(IF(Q151&lt;L151, M151*L151/Q151, M151)&gt;100, "ERROR", IF(Q151&lt;L151, M151*L151/Q151, M151))</f>
        <v>2.7410958615911731</v>
      </c>
      <c r="T151" s="148">
        <f t="shared" ref="T151:T165" si="265">R151*P151*0.01</f>
        <v>0.27410958615911735</v>
      </c>
      <c r="U151" s="148">
        <f t="shared" ref="U151:U165" si="266">S151*Q151*0.01</f>
        <v>27.410958615911731</v>
      </c>
      <c r="V151" s="7">
        <f t="shared" ref="V151:V165" si="267">P151*1000</f>
        <v>1000</v>
      </c>
      <c r="W151" s="7">
        <f t="shared" ref="W151:W165" si="268">Q151*1000</f>
        <v>1000000</v>
      </c>
      <c r="X151" s="1345">
        <f t="shared" ref="X151:X165" si="269">T151*1000</f>
        <v>274.10958615911733</v>
      </c>
      <c r="Y151" s="1345">
        <f t="shared" ref="Y151:Y165" si="270">U151*1000</f>
        <v>27410.958615911732</v>
      </c>
    </row>
    <row r="152" spans="1:26" x14ac:dyDescent="0.2">
      <c r="A152" s="213" t="str">
        <f t="shared" ref="A152:B152" si="271">A432</f>
        <v>CMI</v>
      </c>
      <c r="B152" s="213" t="str">
        <f t="shared" si="271"/>
        <v>VSL205133</v>
      </c>
      <c r="C152" s="219">
        <f t="shared" si="249"/>
        <v>4996.3</v>
      </c>
      <c r="D152" s="219">
        <f t="shared" si="250"/>
        <v>4.2</v>
      </c>
      <c r="E152" s="219">
        <f t="shared" si="251"/>
        <v>5020</v>
      </c>
      <c r="F152" s="219">
        <f t="shared" si="252"/>
        <v>80</v>
      </c>
      <c r="G152" s="219">
        <f t="shared" si="253"/>
        <v>23.999999999999996</v>
      </c>
      <c r="H152" s="219">
        <f t="shared" si="254"/>
        <v>160</v>
      </c>
      <c r="I152" s="155">
        <f t="shared" si="255"/>
        <v>0</v>
      </c>
      <c r="J152" s="155">
        <f t="shared" si="256"/>
        <v>0</v>
      </c>
      <c r="K152" s="155">
        <f t="shared" si="257"/>
        <v>160</v>
      </c>
      <c r="L152" s="155">
        <f t="shared" si="258"/>
        <v>10</v>
      </c>
      <c r="M152" s="156">
        <f t="shared" si="259"/>
        <v>3.2023697536176767</v>
      </c>
      <c r="N152" s="157">
        <f t="shared" si="260"/>
        <v>0.32023697536176771</v>
      </c>
      <c r="O152" s="155">
        <f t="shared" si="261"/>
        <v>100</v>
      </c>
      <c r="P152" s="250">
        <v>1</v>
      </c>
      <c r="Q152" s="250">
        <v>1000</v>
      </c>
      <c r="R152" s="148">
        <f t="shared" si="263"/>
        <v>32.023697536176769</v>
      </c>
      <c r="S152" s="148">
        <f t="shared" si="264"/>
        <v>3.2023697536176767</v>
      </c>
      <c r="T152" s="148">
        <f t="shared" si="265"/>
        <v>0.32023697536176771</v>
      </c>
      <c r="U152" s="148">
        <f t="shared" si="266"/>
        <v>32.023697536176769</v>
      </c>
      <c r="V152" s="7">
        <f t="shared" si="267"/>
        <v>1000</v>
      </c>
      <c r="W152" s="7">
        <f t="shared" si="268"/>
        <v>1000000</v>
      </c>
      <c r="X152" s="1345">
        <f t="shared" si="269"/>
        <v>320.23697536176769</v>
      </c>
      <c r="Y152" s="1345">
        <f t="shared" si="270"/>
        <v>32023.697536176769</v>
      </c>
    </row>
    <row r="153" spans="1:26" x14ac:dyDescent="0.2">
      <c r="A153" s="213" t="str">
        <f t="shared" ref="A153:B153" si="272">A433</f>
        <v>VNIIM</v>
      </c>
      <c r="B153" s="213" t="str">
        <f t="shared" si="272"/>
        <v>VSL202624</v>
      </c>
      <c r="C153" s="219">
        <f t="shared" si="249"/>
        <v>4999.8</v>
      </c>
      <c r="D153" s="219">
        <f t="shared" si="250"/>
        <v>4.2</v>
      </c>
      <c r="E153" s="219">
        <f t="shared" si="251"/>
        <v>4990</v>
      </c>
      <c r="F153" s="219">
        <f t="shared" si="252"/>
        <v>15</v>
      </c>
      <c r="G153" s="219">
        <f t="shared" si="253"/>
        <v>-10</v>
      </c>
      <c r="H153" s="219">
        <f t="shared" si="254"/>
        <v>31</v>
      </c>
      <c r="I153" s="155">
        <f t="shared" si="255"/>
        <v>0</v>
      </c>
      <c r="J153" s="155">
        <f t="shared" si="256"/>
        <v>0</v>
      </c>
      <c r="K153" s="155">
        <f t="shared" si="257"/>
        <v>30</v>
      </c>
      <c r="L153" s="155">
        <f t="shared" si="258"/>
        <v>10</v>
      </c>
      <c r="M153" s="156">
        <f t="shared" si="259"/>
        <v>0.60002400096003838</v>
      </c>
      <c r="N153" s="157">
        <f t="shared" si="260"/>
        <v>6.0002400096003841E-2</v>
      </c>
      <c r="O153" s="155">
        <f t="shared" si="261"/>
        <v>100</v>
      </c>
      <c r="P153" s="250">
        <v>1</v>
      </c>
      <c r="Q153" s="250">
        <v>1000</v>
      </c>
      <c r="R153" s="148">
        <f t="shared" si="263"/>
        <v>6.0002400096003843</v>
      </c>
      <c r="S153" s="148">
        <f t="shared" si="264"/>
        <v>0.60002400096003838</v>
      </c>
      <c r="T153" s="148">
        <f t="shared" si="265"/>
        <v>6.0002400096003841E-2</v>
      </c>
      <c r="U153" s="148">
        <f t="shared" si="266"/>
        <v>6.0002400096003843</v>
      </c>
      <c r="V153" s="7">
        <f t="shared" si="267"/>
        <v>1000</v>
      </c>
      <c r="W153" s="7">
        <f t="shared" si="268"/>
        <v>1000000</v>
      </c>
      <c r="X153" s="1345">
        <f t="shared" si="269"/>
        <v>60.002400096003839</v>
      </c>
      <c r="Y153" s="1345">
        <f t="shared" si="270"/>
        <v>6000.2400096003839</v>
      </c>
    </row>
    <row r="154" spans="1:26" x14ac:dyDescent="0.2">
      <c r="A154" s="213" t="str">
        <f t="shared" ref="A154:B154" si="273">A434</f>
        <v>OMH</v>
      </c>
      <c r="B154" s="213" t="str">
        <f t="shared" si="273"/>
        <v>VSL206344</v>
      </c>
      <c r="C154" s="219">
        <f t="shared" si="249"/>
        <v>4999.3</v>
      </c>
      <c r="D154" s="219">
        <f t="shared" si="250"/>
        <v>4.2</v>
      </c>
      <c r="E154" s="219">
        <f t="shared" si="251"/>
        <v>5006</v>
      </c>
      <c r="F154" s="219">
        <f t="shared" si="252"/>
        <v>3.1111111111111112</v>
      </c>
      <c r="G154" s="219">
        <f t="shared" si="253"/>
        <v>7</v>
      </c>
      <c r="H154" s="219">
        <f t="shared" si="254"/>
        <v>10</v>
      </c>
      <c r="I154" s="155">
        <f t="shared" si="255"/>
        <v>0</v>
      </c>
      <c r="J154" s="155">
        <f t="shared" si="256"/>
        <v>0</v>
      </c>
      <c r="K154" s="155">
        <f t="shared" si="257"/>
        <v>6.2222222222222223</v>
      </c>
      <c r="L154" s="155">
        <f t="shared" si="258"/>
        <v>10</v>
      </c>
      <c r="M154" s="156">
        <f t="shared" si="259"/>
        <v>0.1244618691061193</v>
      </c>
      <c r="N154" s="157">
        <f t="shared" si="260"/>
        <v>1.2446186910611929E-2</v>
      </c>
      <c r="O154" s="155">
        <f t="shared" si="261"/>
        <v>100</v>
      </c>
      <c r="P154" s="250">
        <v>1</v>
      </c>
      <c r="Q154" s="250">
        <v>1000</v>
      </c>
      <c r="R154" s="148">
        <f t="shared" si="263"/>
        <v>1.2446186910611929</v>
      </c>
      <c r="S154" s="148">
        <f t="shared" si="264"/>
        <v>0.1244618691061193</v>
      </c>
      <c r="T154" s="148">
        <f t="shared" si="265"/>
        <v>1.2446186910611929E-2</v>
      </c>
      <c r="U154" s="148">
        <f t="shared" si="266"/>
        <v>1.2446186910611929</v>
      </c>
      <c r="V154" s="7">
        <f t="shared" si="267"/>
        <v>1000</v>
      </c>
      <c r="W154" s="7">
        <f t="shared" si="268"/>
        <v>1000000</v>
      </c>
      <c r="X154" s="1345">
        <f t="shared" si="269"/>
        <v>12.44618691061193</v>
      </c>
      <c r="Y154" s="1345">
        <f t="shared" si="270"/>
        <v>1244.618691061193</v>
      </c>
    </row>
    <row r="155" spans="1:26" x14ac:dyDescent="0.2">
      <c r="A155" s="213" t="str">
        <f t="shared" ref="A155:B155" si="274">A435</f>
        <v>LNE</v>
      </c>
      <c r="B155" s="213" t="str">
        <f t="shared" si="274"/>
        <v>VSL202614</v>
      </c>
      <c r="C155" s="219">
        <f t="shared" si="249"/>
        <v>4979.2</v>
      </c>
      <c r="D155" s="219">
        <f t="shared" si="250"/>
        <v>4.2</v>
      </c>
      <c r="E155" s="219">
        <f t="shared" si="251"/>
        <v>4983</v>
      </c>
      <c r="F155" s="219">
        <f t="shared" si="252"/>
        <v>11.5</v>
      </c>
      <c r="G155" s="219">
        <f t="shared" si="253"/>
        <v>4</v>
      </c>
      <c r="H155" s="219">
        <f t="shared" si="254"/>
        <v>23.999999999999996</v>
      </c>
      <c r="I155" s="155">
        <f t="shared" si="255"/>
        <v>0</v>
      </c>
      <c r="J155" s="155">
        <f t="shared" si="256"/>
        <v>0</v>
      </c>
      <c r="K155" s="155">
        <f t="shared" si="257"/>
        <v>23</v>
      </c>
      <c r="L155" s="155">
        <f t="shared" si="258"/>
        <v>10</v>
      </c>
      <c r="M155" s="156">
        <f t="shared" si="259"/>
        <v>0.46192159383033427</v>
      </c>
      <c r="N155" s="157">
        <f t="shared" si="260"/>
        <v>4.6192159383033428E-2</v>
      </c>
      <c r="O155" s="155">
        <f t="shared" si="261"/>
        <v>100</v>
      </c>
      <c r="P155" s="250">
        <v>1</v>
      </c>
      <c r="Q155" s="250">
        <v>1000</v>
      </c>
      <c r="R155" s="148">
        <f t="shared" si="263"/>
        <v>4.6192159383033431</v>
      </c>
      <c r="S155" s="148">
        <f t="shared" si="264"/>
        <v>0.46192159383033427</v>
      </c>
      <c r="T155" s="148">
        <f t="shared" si="265"/>
        <v>4.6192159383033435E-2</v>
      </c>
      <c r="U155" s="148">
        <f t="shared" si="266"/>
        <v>4.6192159383033422</v>
      </c>
      <c r="V155" s="7">
        <f t="shared" si="267"/>
        <v>1000</v>
      </c>
      <c r="W155" s="7">
        <f t="shared" si="268"/>
        <v>1000000</v>
      </c>
      <c r="X155" s="1345">
        <f t="shared" si="269"/>
        <v>46.192159383033434</v>
      </c>
      <c r="Y155" s="1345">
        <f t="shared" si="270"/>
        <v>4619.2159383033422</v>
      </c>
    </row>
    <row r="156" spans="1:26" x14ac:dyDescent="0.2">
      <c r="A156" s="213" t="str">
        <f t="shared" ref="A156:B156" si="275">A436</f>
        <v>NMi VSL</v>
      </c>
      <c r="B156" s="213" t="str">
        <f t="shared" si="275"/>
        <v>VSL300636</v>
      </c>
      <c r="C156" s="219">
        <f t="shared" si="249"/>
        <v>4995.2</v>
      </c>
      <c r="D156" s="219">
        <f t="shared" si="250"/>
        <v>4.2</v>
      </c>
      <c r="E156" s="219">
        <f t="shared" si="251"/>
        <v>4996</v>
      </c>
      <c r="F156" s="219">
        <f t="shared" si="252"/>
        <v>7.5</v>
      </c>
      <c r="G156" s="219">
        <f t="shared" si="253"/>
        <v>1</v>
      </c>
      <c r="H156" s="219">
        <f t="shared" si="254"/>
        <v>17</v>
      </c>
      <c r="I156" s="155">
        <f t="shared" si="255"/>
        <v>0</v>
      </c>
      <c r="J156" s="155">
        <f t="shared" si="256"/>
        <v>0</v>
      </c>
      <c r="K156" s="155">
        <f t="shared" si="257"/>
        <v>15</v>
      </c>
      <c r="L156" s="155">
        <f t="shared" si="258"/>
        <v>10</v>
      </c>
      <c r="M156" s="156">
        <f t="shared" si="259"/>
        <v>0.30028827674567582</v>
      </c>
      <c r="N156" s="157">
        <f t="shared" si="260"/>
        <v>3.0028827674567583E-2</v>
      </c>
      <c r="O156" s="155">
        <f t="shared" si="261"/>
        <v>100</v>
      </c>
      <c r="P156" s="250">
        <v>1</v>
      </c>
      <c r="Q156" s="250">
        <v>1000</v>
      </c>
      <c r="R156" s="148">
        <f t="shared" si="263"/>
        <v>3.0028827674567582</v>
      </c>
      <c r="S156" s="148">
        <f t="shared" si="264"/>
        <v>0.30028827674567582</v>
      </c>
      <c r="T156" s="148">
        <f t="shared" si="265"/>
        <v>3.0028827674567583E-2</v>
      </c>
      <c r="U156" s="148">
        <f t="shared" si="266"/>
        <v>3.0028827674567582</v>
      </c>
      <c r="V156" s="7">
        <f t="shared" si="267"/>
        <v>1000</v>
      </c>
      <c r="W156" s="7">
        <f t="shared" si="268"/>
        <v>1000000</v>
      </c>
      <c r="X156" s="1345">
        <f t="shared" si="269"/>
        <v>30.028827674567584</v>
      </c>
      <c r="Y156" s="1345">
        <f t="shared" si="270"/>
        <v>3002.8827674567583</v>
      </c>
    </row>
    <row r="157" spans="1:26" x14ac:dyDescent="0.2">
      <c r="A157" s="213" t="str">
        <f t="shared" ref="A157:B157" si="276">A437</f>
        <v>CENAM</v>
      </c>
      <c r="B157" s="213" t="str">
        <f t="shared" si="276"/>
        <v>VSL160258</v>
      </c>
      <c r="C157" s="219">
        <f t="shared" si="249"/>
        <v>5005.7</v>
      </c>
      <c r="D157" s="219">
        <f t="shared" si="250"/>
        <v>4.2</v>
      </c>
      <c r="E157" s="219">
        <f t="shared" si="251"/>
        <v>5010</v>
      </c>
      <c r="F157" s="219">
        <f t="shared" si="252"/>
        <v>32.5</v>
      </c>
      <c r="G157" s="219">
        <f t="shared" si="253"/>
        <v>4</v>
      </c>
      <c r="H157" s="219">
        <f t="shared" si="254"/>
        <v>66</v>
      </c>
      <c r="I157" s="155">
        <f t="shared" si="255"/>
        <v>0</v>
      </c>
      <c r="J157" s="155">
        <f t="shared" si="256"/>
        <v>0</v>
      </c>
      <c r="K157" s="155">
        <f t="shared" si="257"/>
        <v>65</v>
      </c>
      <c r="L157" s="155">
        <f t="shared" si="258"/>
        <v>10</v>
      </c>
      <c r="M157" s="156">
        <f t="shared" si="259"/>
        <v>1.298519687556186</v>
      </c>
      <c r="N157" s="157">
        <f t="shared" si="260"/>
        <v>0.12985196875561861</v>
      </c>
      <c r="O157" s="155">
        <f t="shared" si="261"/>
        <v>100</v>
      </c>
      <c r="P157" s="250">
        <v>1</v>
      </c>
      <c r="Q157" s="250">
        <v>1000</v>
      </c>
      <c r="R157" s="148">
        <f t="shared" si="263"/>
        <v>12.98519687556186</v>
      </c>
      <c r="S157" s="148">
        <f t="shared" si="264"/>
        <v>1.298519687556186</v>
      </c>
      <c r="T157" s="148">
        <f t="shared" si="265"/>
        <v>0.12985196875561861</v>
      </c>
      <c r="U157" s="148">
        <f t="shared" si="266"/>
        <v>12.98519687556186</v>
      </c>
      <c r="V157" s="7">
        <f t="shared" si="267"/>
        <v>1000</v>
      </c>
      <c r="W157" s="7">
        <f t="shared" si="268"/>
        <v>1000000</v>
      </c>
      <c r="X157" s="1345">
        <f t="shared" si="269"/>
        <v>129.8519687556186</v>
      </c>
      <c r="Y157" s="1345">
        <f t="shared" si="270"/>
        <v>12985.19687556186</v>
      </c>
    </row>
    <row r="158" spans="1:26" x14ac:dyDescent="0.2">
      <c r="A158" s="213" t="str">
        <f t="shared" ref="A158:B158" si="277">A438</f>
        <v>CEM</v>
      </c>
      <c r="B158" s="213" t="str">
        <f t="shared" si="277"/>
        <v>VSL202677</v>
      </c>
      <c r="C158" s="219">
        <f t="shared" si="249"/>
        <v>4997.4000000000005</v>
      </c>
      <c r="D158" s="219">
        <f t="shared" si="250"/>
        <v>4.2</v>
      </c>
      <c r="E158" s="219">
        <f t="shared" si="251"/>
        <v>4982</v>
      </c>
      <c r="F158" s="219">
        <f t="shared" si="252"/>
        <v>27</v>
      </c>
      <c r="G158" s="219">
        <f t="shared" si="253"/>
        <v>-15</v>
      </c>
      <c r="H158" s="219">
        <f t="shared" si="254"/>
        <v>55</v>
      </c>
      <c r="I158" s="155">
        <f t="shared" si="255"/>
        <v>0</v>
      </c>
      <c r="J158" s="155">
        <f t="shared" si="256"/>
        <v>0</v>
      </c>
      <c r="K158" s="155">
        <f t="shared" si="257"/>
        <v>54</v>
      </c>
      <c r="L158" s="155">
        <f t="shared" si="258"/>
        <v>10</v>
      </c>
      <c r="M158" s="156">
        <f t="shared" si="259"/>
        <v>1.0805618921839355</v>
      </c>
      <c r="N158" s="157">
        <f t="shared" si="260"/>
        <v>0.10805618921839354</v>
      </c>
      <c r="O158" s="155">
        <f t="shared" si="261"/>
        <v>100</v>
      </c>
      <c r="P158" s="250">
        <v>1</v>
      </c>
      <c r="Q158" s="250">
        <v>1000</v>
      </c>
      <c r="R158" s="148">
        <f t="shared" si="263"/>
        <v>10.805618921839354</v>
      </c>
      <c r="S158" s="148">
        <f t="shared" si="264"/>
        <v>1.0805618921839355</v>
      </c>
      <c r="T158" s="148">
        <f t="shared" si="265"/>
        <v>0.10805618921839355</v>
      </c>
      <c r="U158" s="148">
        <f t="shared" si="266"/>
        <v>10.805618921839354</v>
      </c>
      <c r="V158" s="7">
        <f t="shared" si="267"/>
        <v>1000</v>
      </c>
      <c r="W158" s="7">
        <f t="shared" si="268"/>
        <v>1000000</v>
      </c>
      <c r="X158" s="1345">
        <f t="shared" si="269"/>
        <v>108.05618921839356</v>
      </c>
      <c r="Y158" s="1345">
        <f t="shared" si="270"/>
        <v>10805.618921839354</v>
      </c>
    </row>
    <row r="159" spans="1:26" x14ac:dyDescent="0.2">
      <c r="A159" s="213" t="str">
        <f t="shared" ref="A159:B159" si="278">A439</f>
        <v>BAM</v>
      </c>
      <c r="B159" s="213" t="str">
        <f t="shared" si="278"/>
        <v>VSL205189</v>
      </c>
      <c r="C159" s="219">
        <f t="shared" si="249"/>
        <v>5000.0999999999995</v>
      </c>
      <c r="D159" s="219">
        <f t="shared" si="250"/>
        <v>4.2</v>
      </c>
      <c r="E159" s="219">
        <f t="shared" si="251"/>
        <v>5003</v>
      </c>
      <c r="F159" s="219">
        <f t="shared" si="252"/>
        <v>12.5</v>
      </c>
      <c r="G159" s="219">
        <f t="shared" si="253"/>
        <v>2.9999999999999996</v>
      </c>
      <c r="H159" s="219">
        <f t="shared" si="254"/>
        <v>26</v>
      </c>
      <c r="I159" s="155">
        <f t="shared" si="255"/>
        <v>0</v>
      </c>
      <c r="J159" s="155">
        <f t="shared" si="256"/>
        <v>0</v>
      </c>
      <c r="K159" s="155">
        <f t="shared" si="257"/>
        <v>25</v>
      </c>
      <c r="L159" s="155">
        <f t="shared" si="258"/>
        <v>10</v>
      </c>
      <c r="M159" s="156">
        <f t="shared" si="259"/>
        <v>0.49999000019999607</v>
      </c>
      <c r="N159" s="157">
        <f t="shared" si="260"/>
        <v>4.9999000019999601E-2</v>
      </c>
      <c r="O159" s="155">
        <f t="shared" si="261"/>
        <v>100</v>
      </c>
      <c r="P159" s="250">
        <v>1</v>
      </c>
      <c r="Q159" s="250">
        <v>1000</v>
      </c>
      <c r="R159" s="148">
        <f t="shared" si="263"/>
        <v>4.9999000019999604</v>
      </c>
      <c r="S159" s="148">
        <f t="shared" si="264"/>
        <v>0.49999000019999607</v>
      </c>
      <c r="T159" s="148">
        <f t="shared" si="265"/>
        <v>4.9999000019999608E-2</v>
      </c>
      <c r="U159" s="148">
        <f t="shared" si="266"/>
        <v>4.9999000019999604</v>
      </c>
      <c r="V159" s="7">
        <f t="shared" si="267"/>
        <v>1000</v>
      </c>
      <c r="W159" s="7">
        <f t="shared" si="268"/>
        <v>1000000</v>
      </c>
      <c r="X159" s="1345">
        <f t="shared" si="269"/>
        <v>49.999000019999606</v>
      </c>
      <c r="Y159" s="1345">
        <f t="shared" si="270"/>
        <v>4999.9000019999603</v>
      </c>
    </row>
    <row r="160" spans="1:26" x14ac:dyDescent="0.2">
      <c r="A160" s="213" t="str">
        <f t="shared" ref="A160:B160" si="279">A440</f>
        <v>NMIA</v>
      </c>
      <c r="B160" s="213" t="str">
        <f t="shared" si="279"/>
        <v>VSL228583</v>
      </c>
      <c r="C160" s="219">
        <f t="shared" si="249"/>
        <v>4980.6000000000004</v>
      </c>
      <c r="D160" s="219">
        <f t="shared" si="250"/>
        <v>4.2</v>
      </c>
      <c r="E160" s="219">
        <f t="shared" si="251"/>
        <v>4976</v>
      </c>
      <c r="F160" s="219">
        <f t="shared" si="252"/>
        <v>6.4220183486238529</v>
      </c>
      <c r="G160" s="219">
        <f t="shared" si="253"/>
        <v>-5</v>
      </c>
      <c r="H160" s="219">
        <f t="shared" si="254"/>
        <v>15</v>
      </c>
      <c r="I160" s="155">
        <f t="shared" si="255"/>
        <v>0</v>
      </c>
      <c r="J160" s="155">
        <f t="shared" si="256"/>
        <v>0</v>
      </c>
      <c r="K160" s="155">
        <f t="shared" si="257"/>
        <v>12.844036697247706</v>
      </c>
      <c r="L160" s="155">
        <f t="shared" si="258"/>
        <v>10</v>
      </c>
      <c r="M160" s="156">
        <f t="shared" si="259"/>
        <v>0.2578813134411056</v>
      </c>
      <c r="N160" s="157">
        <f t="shared" si="260"/>
        <v>2.5788131344110558E-2</v>
      </c>
      <c r="O160" s="155">
        <f t="shared" si="261"/>
        <v>100</v>
      </c>
      <c r="P160" s="250">
        <v>1</v>
      </c>
      <c r="Q160" s="250">
        <v>1000</v>
      </c>
      <c r="R160" s="148">
        <f t="shared" si="263"/>
        <v>2.5788131344110559</v>
      </c>
      <c r="S160" s="148">
        <f t="shared" si="264"/>
        <v>0.2578813134411056</v>
      </c>
      <c r="T160" s="148">
        <f t="shared" si="265"/>
        <v>2.5788131344110558E-2</v>
      </c>
      <c r="U160" s="148">
        <f t="shared" si="266"/>
        <v>2.5788131344110559</v>
      </c>
      <c r="V160" s="7">
        <f t="shared" si="267"/>
        <v>1000</v>
      </c>
      <c r="W160" s="7">
        <f t="shared" si="268"/>
        <v>1000000</v>
      </c>
      <c r="X160" s="1345">
        <f t="shared" si="269"/>
        <v>25.788131344110557</v>
      </c>
      <c r="Y160" s="1345">
        <f t="shared" si="270"/>
        <v>2578.8131344110557</v>
      </c>
    </row>
    <row r="161" spans="1:26" x14ac:dyDescent="0.2">
      <c r="A161" s="213" t="str">
        <f t="shared" ref="A161:B161" si="280">A441</f>
        <v>IPQ</v>
      </c>
      <c r="B161" s="213" t="str">
        <f t="shared" si="280"/>
        <v>VSL220210</v>
      </c>
      <c r="C161" s="219">
        <f t="shared" si="249"/>
        <v>5024.8</v>
      </c>
      <c r="D161" s="219">
        <f t="shared" si="250"/>
        <v>4.2</v>
      </c>
      <c r="E161" s="219">
        <f t="shared" si="251"/>
        <v>5033</v>
      </c>
      <c r="F161" s="219">
        <f t="shared" si="252"/>
        <v>17.5</v>
      </c>
      <c r="G161" s="219">
        <f t="shared" si="253"/>
        <v>8</v>
      </c>
      <c r="H161" s="219">
        <f t="shared" si="254"/>
        <v>36</v>
      </c>
      <c r="I161" s="155">
        <f t="shared" si="255"/>
        <v>0</v>
      </c>
      <c r="J161" s="155">
        <f t="shared" si="256"/>
        <v>0</v>
      </c>
      <c r="K161" s="155">
        <f t="shared" si="257"/>
        <v>35</v>
      </c>
      <c r="L161" s="155">
        <f t="shared" si="258"/>
        <v>10</v>
      </c>
      <c r="M161" s="156">
        <f t="shared" si="259"/>
        <v>0.69654513612482083</v>
      </c>
      <c r="N161" s="157">
        <f t="shared" si="260"/>
        <v>6.965451361248208E-2</v>
      </c>
      <c r="O161" s="155">
        <f t="shared" si="261"/>
        <v>100</v>
      </c>
      <c r="P161" s="250">
        <v>1</v>
      </c>
      <c r="Q161" s="250">
        <v>1000</v>
      </c>
      <c r="R161" s="148">
        <f t="shared" si="263"/>
        <v>6.9654513612482081</v>
      </c>
      <c r="S161" s="148">
        <f t="shared" si="264"/>
        <v>0.69654513612482083</v>
      </c>
      <c r="T161" s="148">
        <f t="shared" si="265"/>
        <v>6.965451361248208E-2</v>
      </c>
      <c r="U161" s="148">
        <f t="shared" si="266"/>
        <v>6.9654513612482081</v>
      </c>
      <c r="V161" s="7">
        <f t="shared" si="267"/>
        <v>1000</v>
      </c>
      <c r="W161" s="7">
        <f t="shared" si="268"/>
        <v>1000000</v>
      </c>
      <c r="X161" s="1345">
        <f t="shared" si="269"/>
        <v>69.654513612482077</v>
      </c>
      <c r="Y161" s="1345">
        <f t="shared" si="270"/>
        <v>6965.4513612482078</v>
      </c>
    </row>
    <row r="162" spans="1:26" x14ac:dyDescent="0.2">
      <c r="A162" s="213" t="str">
        <f t="shared" ref="A162:B162" si="281">A442</f>
        <v>INMETRO</v>
      </c>
      <c r="B162" s="213" t="str">
        <f t="shared" si="281"/>
        <v>VSL202750</v>
      </c>
      <c r="C162" s="219">
        <f t="shared" si="249"/>
        <v>4996.9000000000005</v>
      </c>
      <c r="D162" s="219">
        <f t="shared" si="250"/>
        <v>4.2</v>
      </c>
      <c r="E162" s="219">
        <f t="shared" si="251"/>
        <v>5040</v>
      </c>
      <c r="F162" s="219">
        <f t="shared" si="252"/>
        <v>50</v>
      </c>
      <c r="G162" s="219">
        <f t="shared" si="253"/>
        <v>43</v>
      </c>
      <c r="H162" s="219">
        <f t="shared" si="254"/>
        <v>100</v>
      </c>
      <c r="I162" s="155">
        <f t="shared" si="255"/>
        <v>0</v>
      </c>
      <c r="J162" s="155">
        <f t="shared" si="256"/>
        <v>0</v>
      </c>
      <c r="K162" s="155">
        <f t="shared" si="257"/>
        <v>100</v>
      </c>
      <c r="L162" s="155">
        <f t="shared" si="258"/>
        <v>10</v>
      </c>
      <c r="M162" s="156">
        <f t="shared" si="259"/>
        <v>2.0012407692769516</v>
      </c>
      <c r="N162" s="157">
        <f t="shared" si="260"/>
        <v>0.20012407692769515</v>
      </c>
      <c r="O162" s="155">
        <f t="shared" si="261"/>
        <v>100</v>
      </c>
      <c r="P162" s="250">
        <v>1</v>
      </c>
      <c r="Q162" s="250">
        <v>1000</v>
      </c>
      <c r="R162" s="148">
        <f t="shared" si="263"/>
        <v>20.012407692769514</v>
      </c>
      <c r="S162" s="148">
        <f t="shared" si="264"/>
        <v>2.0012407692769516</v>
      </c>
      <c r="T162" s="148">
        <f t="shared" si="265"/>
        <v>0.20012407692769515</v>
      </c>
      <c r="U162" s="148">
        <f t="shared" si="266"/>
        <v>20.012407692769518</v>
      </c>
      <c r="V162" s="7">
        <f t="shared" si="267"/>
        <v>1000</v>
      </c>
      <c r="W162" s="7">
        <f t="shared" si="268"/>
        <v>1000000</v>
      </c>
      <c r="X162" s="1345">
        <f t="shared" si="269"/>
        <v>200.12407692769514</v>
      </c>
      <c r="Y162" s="1345">
        <f t="shared" si="270"/>
        <v>20012.407692769517</v>
      </c>
    </row>
    <row r="163" spans="1:26" x14ac:dyDescent="0.2">
      <c r="A163" s="213" t="str">
        <f t="shared" ref="A163:B163" si="282">A443</f>
        <v>GUM</v>
      </c>
      <c r="B163" s="213" t="str">
        <f t="shared" si="282"/>
        <v>VSL223562</v>
      </c>
      <c r="C163" s="219">
        <f t="shared" si="249"/>
        <v>4999.8999999999996</v>
      </c>
      <c r="D163" s="219">
        <f t="shared" si="250"/>
        <v>4.2</v>
      </c>
      <c r="E163" s="219">
        <f t="shared" si="251"/>
        <v>5014.9999999999991</v>
      </c>
      <c r="F163" s="219">
        <f t="shared" si="252"/>
        <v>12.5</v>
      </c>
      <c r="G163" s="219">
        <f t="shared" si="253"/>
        <v>15</v>
      </c>
      <c r="H163" s="219">
        <f t="shared" si="254"/>
        <v>26</v>
      </c>
      <c r="I163" s="155">
        <f t="shared" si="255"/>
        <v>0</v>
      </c>
      <c r="J163" s="155">
        <f t="shared" si="256"/>
        <v>0</v>
      </c>
      <c r="K163" s="155">
        <f t="shared" si="257"/>
        <v>25</v>
      </c>
      <c r="L163" s="155">
        <f t="shared" si="258"/>
        <v>10</v>
      </c>
      <c r="M163" s="156">
        <f t="shared" si="259"/>
        <v>0.50001000020000408</v>
      </c>
      <c r="N163" s="157">
        <f t="shared" si="260"/>
        <v>5.0001000020000408E-2</v>
      </c>
      <c r="O163" s="155">
        <f t="shared" si="261"/>
        <v>100</v>
      </c>
      <c r="P163" s="250">
        <v>1</v>
      </c>
      <c r="Q163" s="250">
        <v>1000</v>
      </c>
      <c r="R163" s="148">
        <f t="shared" si="263"/>
        <v>5.0001000020000408</v>
      </c>
      <c r="S163" s="148">
        <f t="shared" si="264"/>
        <v>0.50001000020000408</v>
      </c>
      <c r="T163" s="148">
        <f t="shared" si="265"/>
        <v>5.0001000020000408E-2</v>
      </c>
      <c r="U163" s="148">
        <f t="shared" si="266"/>
        <v>5.0001000020000408</v>
      </c>
      <c r="V163" s="7">
        <f t="shared" si="267"/>
        <v>1000</v>
      </c>
      <c r="W163" s="7">
        <f t="shared" si="268"/>
        <v>1000000</v>
      </c>
      <c r="X163" s="1345">
        <f t="shared" si="269"/>
        <v>50.001000020000404</v>
      </c>
      <c r="Y163" s="1345">
        <f t="shared" si="270"/>
        <v>5000.1000020000411</v>
      </c>
    </row>
    <row r="164" spans="1:26" x14ac:dyDescent="0.2">
      <c r="A164" s="213" t="str">
        <f t="shared" ref="A164:B164" si="283">A444</f>
        <v>NRCCRM</v>
      </c>
      <c r="B164" s="213" t="str">
        <f t="shared" si="283"/>
        <v>VSL228668</v>
      </c>
      <c r="C164" s="219">
        <f t="shared" si="249"/>
        <v>5003.5</v>
      </c>
      <c r="D164" s="219">
        <f t="shared" si="250"/>
        <v>4.2</v>
      </c>
      <c r="E164" s="219">
        <f t="shared" si="251"/>
        <v>5026.0000000000009</v>
      </c>
      <c r="F164" s="219">
        <f t="shared" si="252"/>
        <v>37.5</v>
      </c>
      <c r="G164" s="219">
        <f t="shared" si="253"/>
        <v>22</v>
      </c>
      <c r="H164" s="219">
        <f t="shared" si="254"/>
        <v>76</v>
      </c>
      <c r="I164" s="155">
        <f t="shared" si="255"/>
        <v>0</v>
      </c>
      <c r="J164" s="155">
        <f t="shared" si="256"/>
        <v>0</v>
      </c>
      <c r="K164" s="155">
        <f t="shared" si="257"/>
        <v>75</v>
      </c>
      <c r="L164" s="155">
        <f t="shared" si="258"/>
        <v>10</v>
      </c>
      <c r="M164" s="156">
        <f t="shared" si="259"/>
        <v>1.4989507344858599</v>
      </c>
      <c r="N164" s="157">
        <f t="shared" si="260"/>
        <v>0.14989507344858599</v>
      </c>
      <c r="O164" s="155">
        <f t="shared" si="261"/>
        <v>100</v>
      </c>
      <c r="P164" s="250">
        <v>1</v>
      </c>
      <c r="Q164" s="250">
        <v>1000</v>
      </c>
      <c r="R164" s="148">
        <f t="shared" si="263"/>
        <v>14.989507344858598</v>
      </c>
      <c r="S164" s="148">
        <f t="shared" si="264"/>
        <v>1.4989507344858599</v>
      </c>
      <c r="T164" s="148">
        <f t="shared" si="265"/>
        <v>0.14989507344858599</v>
      </c>
      <c r="U164" s="148">
        <f t="shared" si="266"/>
        <v>14.989507344858598</v>
      </c>
      <c r="V164" s="7">
        <f t="shared" si="267"/>
        <v>1000</v>
      </c>
      <c r="W164" s="7">
        <f t="shared" si="268"/>
        <v>1000000</v>
      </c>
      <c r="X164" s="1345">
        <f t="shared" si="269"/>
        <v>149.895073448586</v>
      </c>
      <c r="Y164" s="1345">
        <f t="shared" si="270"/>
        <v>14989.507344858599</v>
      </c>
    </row>
    <row r="165" spans="1:26" x14ac:dyDescent="0.2">
      <c r="A165" s="213" t="str">
        <f t="shared" ref="A165:B165" si="284">A445</f>
        <v>KRISS</v>
      </c>
      <c r="B165" s="213" t="str">
        <f t="shared" si="284"/>
        <v>VSL229332</v>
      </c>
      <c r="C165" s="219">
        <f t="shared" si="249"/>
        <v>4995</v>
      </c>
      <c r="D165" s="219">
        <f t="shared" si="250"/>
        <v>4.2</v>
      </c>
      <c r="E165" s="219">
        <f t="shared" si="251"/>
        <v>4999</v>
      </c>
      <c r="F165" s="219">
        <f t="shared" si="252"/>
        <v>5.9999999999999991</v>
      </c>
      <c r="G165" s="219">
        <f t="shared" si="253"/>
        <v>4</v>
      </c>
      <c r="H165" s="219">
        <f t="shared" si="254"/>
        <v>15</v>
      </c>
      <c r="I165" s="155">
        <f t="shared" si="255"/>
        <v>0</v>
      </c>
      <c r="J165" s="155">
        <f t="shared" si="256"/>
        <v>0</v>
      </c>
      <c r="K165" s="155">
        <f t="shared" si="257"/>
        <v>11.999999999999998</v>
      </c>
      <c r="L165" s="155">
        <f t="shared" si="258"/>
        <v>10</v>
      </c>
      <c r="M165" s="156">
        <f t="shared" si="259"/>
        <v>0.24024024024024018</v>
      </c>
      <c r="N165" s="157">
        <f t="shared" si="260"/>
        <v>2.402402402402402E-2</v>
      </c>
      <c r="O165" s="155">
        <f t="shared" si="261"/>
        <v>100</v>
      </c>
      <c r="P165" s="250">
        <v>1</v>
      </c>
      <c r="Q165" s="250">
        <v>1000</v>
      </c>
      <c r="R165" s="148">
        <f t="shared" si="263"/>
        <v>2.402402402402402</v>
      </c>
      <c r="S165" s="148">
        <f t="shared" si="264"/>
        <v>0.24024024024024018</v>
      </c>
      <c r="T165" s="148">
        <f t="shared" si="265"/>
        <v>2.402402402402402E-2</v>
      </c>
      <c r="U165" s="148">
        <f t="shared" si="266"/>
        <v>2.402402402402402</v>
      </c>
      <c r="V165" s="7">
        <f t="shared" si="267"/>
        <v>1000</v>
      </c>
      <c r="W165" s="7">
        <f t="shared" si="268"/>
        <v>1000000</v>
      </c>
      <c r="X165" s="1345">
        <f t="shared" si="269"/>
        <v>24.024024024024019</v>
      </c>
      <c r="Y165" s="1345">
        <f t="shared" si="270"/>
        <v>2402.402402402402</v>
      </c>
    </row>
    <row r="166" spans="1:26" ht="14.25" x14ac:dyDescent="0.2">
      <c r="H166" s="9"/>
      <c r="U166" s="152"/>
      <c r="V166" s="21"/>
      <c r="W166" s="21"/>
      <c r="X166" s="21"/>
      <c r="Y166" s="21"/>
      <c r="Z166" s="21"/>
    </row>
    <row r="167" spans="1:26" ht="15.75" x14ac:dyDescent="0.2">
      <c r="A167" s="103" t="str">
        <f>A447</f>
        <v>iso-butane, mixture I</v>
      </c>
      <c r="B167" s="97"/>
      <c r="C167" s="97"/>
      <c r="D167" s="97"/>
      <c r="E167" s="97"/>
      <c r="F167" s="97"/>
      <c r="G167" s="97"/>
      <c r="H167" s="97"/>
      <c r="I167" s="113"/>
      <c r="J167" s="113"/>
      <c r="K167" s="113"/>
      <c r="L167" s="113"/>
      <c r="M167" s="113"/>
      <c r="N167" s="113"/>
      <c r="O167" s="113"/>
      <c r="R167" s="113"/>
      <c r="S167" s="113"/>
      <c r="T167" s="146"/>
      <c r="U167" s="146"/>
    </row>
    <row r="168" spans="1:26" ht="102" x14ac:dyDescent="0.2">
      <c r="A168" s="211" t="s">
        <v>0</v>
      </c>
      <c r="B168" s="212" t="s">
        <v>1</v>
      </c>
      <c r="C168" s="212" t="s">
        <v>133</v>
      </c>
      <c r="D168" s="212" t="s">
        <v>199</v>
      </c>
      <c r="E168" s="212" t="s">
        <v>135</v>
      </c>
      <c r="F168" s="212" t="s">
        <v>200</v>
      </c>
      <c r="G168" s="212" t="s">
        <v>137</v>
      </c>
      <c r="H168" s="212" t="s">
        <v>201</v>
      </c>
      <c r="I168" s="104" t="s">
        <v>8</v>
      </c>
      <c r="J168" s="104" t="s">
        <v>9</v>
      </c>
      <c r="K168" s="104" t="s">
        <v>107</v>
      </c>
      <c r="L168" s="104" t="s">
        <v>14</v>
      </c>
      <c r="M168" s="104" t="s">
        <v>1057</v>
      </c>
      <c r="N168" s="104" t="s">
        <v>1058</v>
      </c>
      <c r="O168" s="104" t="s">
        <v>100</v>
      </c>
      <c r="P168" s="6" t="s">
        <v>105</v>
      </c>
      <c r="Q168" s="6" t="s">
        <v>106</v>
      </c>
      <c r="R168" s="104" t="s">
        <v>1051</v>
      </c>
      <c r="S168" s="104" t="s">
        <v>1052</v>
      </c>
      <c r="T168" s="147" t="s">
        <v>1053</v>
      </c>
      <c r="U168" s="147" t="s">
        <v>1054</v>
      </c>
      <c r="V168" s="5" t="s">
        <v>101</v>
      </c>
      <c r="W168" s="5" t="s">
        <v>102</v>
      </c>
      <c r="X168" s="112" t="s">
        <v>1055</v>
      </c>
      <c r="Y168" s="112" t="s">
        <v>1056</v>
      </c>
    </row>
    <row r="169" spans="1:26" x14ac:dyDescent="0.2">
      <c r="A169" s="213" t="str">
        <f>A449</f>
        <v>NPL</v>
      </c>
      <c r="B169" s="213" t="str">
        <f>B449</f>
        <v>VSL202748</v>
      </c>
      <c r="C169" s="219">
        <f t="shared" ref="C169:C184" si="285">C449*10000</f>
        <v>2002.92</v>
      </c>
      <c r="D169" s="219">
        <f t="shared" ref="D169:D184" si="286">F449*10000</f>
        <v>1.82</v>
      </c>
      <c r="E169" s="219">
        <f t="shared" ref="E169:E184" si="287">G449*10000</f>
        <v>2005.0000000000002</v>
      </c>
      <c r="F169" s="219">
        <f t="shared" ref="F169:F184" si="288">H449/I449*10000</f>
        <v>3.6</v>
      </c>
      <c r="G169" s="219">
        <f t="shared" ref="G169:G184" si="289">J449*10000</f>
        <v>2</v>
      </c>
      <c r="H169" s="219">
        <f t="shared" ref="H169:H184" si="290">L449*10000</f>
        <v>8</v>
      </c>
      <c r="I169" s="155">
        <f t="shared" ref="I169:I184" si="291">IF(ABS(G169)&gt;ABS(H169), 1, 0)</f>
        <v>0</v>
      </c>
      <c r="J169" s="155">
        <f t="shared" ref="J169:J184" si="292">I169*ABS(C169-E169)</f>
        <v>0</v>
      </c>
      <c r="K169" s="155">
        <f t="shared" ref="K169:K184" si="293">SQRT(SUMSQ(F169,J169))*2</f>
        <v>7.2</v>
      </c>
      <c r="L169" s="155">
        <f t="shared" ref="L169:L184" si="294">IF(C169&lt;$K$2, C169, $K$1)</f>
        <v>10</v>
      </c>
      <c r="M169" s="156">
        <f t="shared" ref="M169:M184" si="295">IF(AND(C169&lt;$K$1,C169&gt; $K$2), K169/L169*100, K169/C169*100)</f>
        <v>0.35947516625726439</v>
      </c>
      <c r="N169" s="157">
        <f t="shared" ref="N169:N184" si="296">M169*L169/100</f>
        <v>3.5947516625726442E-2</v>
      </c>
      <c r="O169" s="155">
        <f t="shared" ref="O169:O184" si="297">N169/(M169*L169/100)*100</f>
        <v>100</v>
      </c>
      <c r="P169" s="250">
        <v>1</v>
      </c>
      <c r="Q169" s="250">
        <v>1000</v>
      </c>
      <c r="R169" s="148">
        <f>IF( IF(P169&lt;L169, M169*L169/P169, M169)&gt;100, "ERROR",  IF(P169&lt;L169, M169*L169/P169, M169))</f>
        <v>3.5947516625726439</v>
      </c>
      <c r="S169" s="148">
        <f>IF(IF(Q169&lt;L169, M169*L169/Q169, M169)&gt;100, "ERROR", IF(Q169&lt;L169, M169*L169/Q169, M169))</f>
        <v>0.35947516625726439</v>
      </c>
      <c r="T169" s="148">
        <f>R169*P169*0.01</f>
        <v>3.5947516625726442E-2</v>
      </c>
      <c r="U169" s="148">
        <f>S169*Q169*0.01</f>
        <v>3.5947516625726439</v>
      </c>
      <c r="V169" s="7">
        <f>P169*1000</f>
        <v>1000</v>
      </c>
      <c r="W169" s="7">
        <f>Q169*1000</f>
        <v>1000000</v>
      </c>
      <c r="X169" s="1345">
        <f>T169*1000</f>
        <v>35.947516625726443</v>
      </c>
      <c r="Y169" s="1345">
        <f>U169*1000</f>
        <v>3594.7516625726439</v>
      </c>
    </row>
    <row r="170" spans="1:26" x14ac:dyDescent="0.2">
      <c r="A170" s="213" t="str">
        <f t="shared" ref="A170:B170" si="298">A450</f>
        <v>SMU</v>
      </c>
      <c r="B170" s="213" t="str">
        <f t="shared" si="298"/>
        <v>VSL100039</v>
      </c>
      <c r="C170" s="219">
        <f t="shared" si="285"/>
        <v>2003.3899999999999</v>
      </c>
      <c r="D170" s="219">
        <f t="shared" si="286"/>
        <v>1.21</v>
      </c>
      <c r="E170" s="219">
        <f t="shared" si="287"/>
        <v>2006.1000000000001</v>
      </c>
      <c r="F170" s="219">
        <f t="shared" si="288"/>
        <v>4</v>
      </c>
      <c r="G170" s="219">
        <f t="shared" si="289"/>
        <v>2.9999999999999996</v>
      </c>
      <c r="H170" s="219">
        <f t="shared" si="290"/>
        <v>8</v>
      </c>
      <c r="I170" s="155">
        <f t="shared" si="291"/>
        <v>0</v>
      </c>
      <c r="J170" s="155">
        <f t="shared" si="292"/>
        <v>0</v>
      </c>
      <c r="K170" s="155">
        <f t="shared" si="293"/>
        <v>8</v>
      </c>
      <c r="L170" s="155">
        <f t="shared" si="294"/>
        <v>10</v>
      </c>
      <c r="M170" s="156">
        <f t="shared" si="295"/>
        <v>0.39932314726538515</v>
      </c>
      <c r="N170" s="157">
        <f t="shared" si="296"/>
        <v>3.9932314726538513E-2</v>
      </c>
      <c r="O170" s="155">
        <f t="shared" si="297"/>
        <v>100</v>
      </c>
      <c r="P170" s="250">
        <v>1</v>
      </c>
      <c r="Q170" s="250">
        <v>1000</v>
      </c>
      <c r="R170" s="148">
        <f t="shared" ref="R170:R184" si="299">IF( IF(P170&lt;L170, M170*L170/P170, M170)&gt;100, "ERROR",  IF(P170&lt;L170, M170*L170/P170, M170))</f>
        <v>3.9932314726538514</v>
      </c>
      <c r="S170" s="148">
        <f t="shared" ref="S170:S184" si="300">IF(IF(Q170&lt;L170, M170*L170/Q170, M170)&gt;100, "ERROR", IF(Q170&lt;L170, M170*L170/Q170, M170))</f>
        <v>0.39932314726538515</v>
      </c>
      <c r="T170" s="148">
        <f t="shared" ref="T170:T184" si="301">R170*P170*0.01</f>
        <v>3.9932314726538513E-2</v>
      </c>
      <c r="U170" s="148">
        <f t="shared" ref="U170:U184" si="302">S170*Q170*0.01</f>
        <v>3.9932314726538518</v>
      </c>
      <c r="V170" s="7">
        <f t="shared" ref="V170:V184" si="303">P170*1000</f>
        <v>1000</v>
      </c>
      <c r="W170" s="7">
        <f t="shared" ref="W170:W184" si="304">Q170*1000</f>
        <v>1000000</v>
      </c>
      <c r="X170" s="1345">
        <f t="shared" ref="X170:X184" si="305">T170*1000</f>
        <v>39.932314726538515</v>
      </c>
      <c r="Y170" s="1345">
        <f t="shared" ref="Y170:Y184" si="306">U170*1000</f>
        <v>3993.2314726538516</v>
      </c>
    </row>
    <row r="171" spans="1:26" x14ac:dyDescent="0.2">
      <c r="A171" s="213" t="str">
        <f t="shared" ref="A171:B171" si="307">A451</f>
        <v>CMI</v>
      </c>
      <c r="B171" s="213" t="str">
        <f t="shared" si="307"/>
        <v>VSL100059</v>
      </c>
      <c r="C171" s="219">
        <f t="shared" si="285"/>
        <v>2010.33</v>
      </c>
      <c r="D171" s="219">
        <f t="shared" si="286"/>
        <v>1.22</v>
      </c>
      <c r="E171" s="219">
        <f t="shared" si="287"/>
        <v>2030.0000000000002</v>
      </c>
      <c r="F171" s="219">
        <f t="shared" si="288"/>
        <v>45</v>
      </c>
      <c r="G171" s="219">
        <f t="shared" si="289"/>
        <v>20</v>
      </c>
      <c r="H171" s="219">
        <f t="shared" si="290"/>
        <v>90</v>
      </c>
      <c r="I171" s="155">
        <f t="shared" si="291"/>
        <v>0</v>
      </c>
      <c r="J171" s="155">
        <f t="shared" si="292"/>
        <v>0</v>
      </c>
      <c r="K171" s="155">
        <f t="shared" si="293"/>
        <v>90</v>
      </c>
      <c r="L171" s="155">
        <f t="shared" si="294"/>
        <v>10</v>
      </c>
      <c r="M171" s="156">
        <f t="shared" si="295"/>
        <v>4.4768769306531766</v>
      </c>
      <c r="N171" s="157">
        <f t="shared" si="296"/>
        <v>0.44768769306531764</v>
      </c>
      <c r="O171" s="155">
        <f t="shared" si="297"/>
        <v>100</v>
      </c>
      <c r="P171" s="250">
        <v>1</v>
      </c>
      <c r="Q171" s="250">
        <v>1000</v>
      </c>
      <c r="R171" s="148">
        <f t="shared" si="299"/>
        <v>44.768769306531766</v>
      </c>
      <c r="S171" s="148">
        <f t="shared" si="300"/>
        <v>4.4768769306531766</v>
      </c>
      <c r="T171" s="148">
        <f t="shared" si="301"/>
        <v>0.44768769306531769</v>
      </c>
      <c r="U171" s="148">
        <f t="shared" si="302"/>
        <v>44.768769306531766</v>
      </c>
      <c r="V171" s="7">
        <f t="shared" si="303"/>
        <v>1000</v>
      </c>
      <c r="W171" s="7">
        <f t="shared" si="304"/>
        <v>1000000</v>
      </c>
      <c r="X171" s="1345">
        <f t="shared" si="305"/>
        <v>447.68769306531772</v>
      </c>
      <c r="Y171" s="1345">
        <f t="shared" si="306"/>
        <v>44768.769306531765</v>
      </c>
    </row>
    <row r="172" spans="1:26" x14ac:dyDescent="0.2">
      <c r="A172" s="213" t="str">
        <f t="shared" ref="A172:B172" si="308">A452</f>
        <v>VNIIM</v>
      </c>
      <c r="B172" s="213" t="str">
        <f t="shared" si="308"/>
        <v>VSL126708</v>
      </c>
      <c r="C172" s="219">
        <f t="shared" si="285"/>
        <v>2005.5700000000002</v>
      </c>
      <c r="D172" s="219">
        <f t="shared" si="286"/>
        <v>1.21</v>
      </c>
      <c r="E172" s="219">
        <f t="shared" si="287"/>
        <v>1999</v>
      </c>
      <c r="F172" s="219">
        <f t="shared" si="288"/>
        <v>8</v>
      </c>
      <c r="G172" s="219">
        <f t="shared" si="289"/>
        <v>-7</v>
      </c>
      <c r="H172" s="219">
        <f t="shared" si="290"/>
        <v>16</v>
      </c>
      <c r="I172" s="155">
        <f t="shared" si="291"/>
        <v>0</v>
      </c>
      <c r="J172" s="155">
        <f t="shared" si="292"/>
        <v>0</v>
      </c>
      <c r="K172" s="155">
        <f t="shared" si="293"/>
        <v>16</v>
      </c>
      <c r="L172" s="155">
        <f t="shared" si="294"/>
        <v>10</v>
      </c>
      <c r="M172" s="156">
        <f t="shared" si="295"/>
        <v>0.79777818774712417</v>
      </c>
      <c r="N172" s="157">
        <f t="shared" si="296"/>
        <v>7.977781877471242E-2</v>
      </c>
      <c r="O172" s="155">
        <f t="shared" si="297"/>
        <v>100</v>
      </c>
      <c r="P172" s="250">
        <v>1</v>
      </c>
      <c r="Q172" s="250">
        <v>1000</v>
      </c>
      <c r="R172" s="148">
        <f t="shared" si="299"/>
        <v>7.9777818774712417</v>
      </c>
      <c r="S172" s="148">
        <f t="shared" si="300"/>
        <v>0.79777818774712417</v>
      </c>
      <c r="T172" s="148">
        <f t="shared" si="301"/>
        <v>7.977781877471242E-2</v>
      </c>
      <c r="U172" s="148">
        <f t="shared" si="302"/>
        <v>7.9777818774712426</v>
      </c>
      <c r="V172" s="7">
        <f t="shared" si="303"/>
        <v>1000</v>
      </c>
      <c r="W172" s="7">
        <f t="shared" si="304"/>
        <v>1000000</v>
      </c>
      <c r="X172" s="1345">
        <f t="shared" si="305"/>
        <v>79.777818774712415</v>
      </c>
      <c r="Y172" s="1345">
        <f t="shared" si="306"/>
        <v>7977.7818774712423</v>
      </c>
    </row>
    <row r="173" spans="1:26" x14ac:dyDescent="0.2">
      <c r="A173" s="213" t="str">
        <f t="shared" ref="A173:B173" si="309">A453</f>
        <v>OMH</v>
      </c>
      <c r="B173" s="213" t="str">
        <f t="shared" si="309"/>
        <v>VSL100051</v>
      </c>
      <c r="C173" s="219">
        <f t="shared" si="285"/>
        <v>2006.48</v>
      </c>
      <c r="D173" s="219">
        <f t="shared" si="286"/>
        <v>1.21</v>
      </c>
      <c r="E173" s="219">
        <f t="shared" si="287"/>
        <v>2003</v>
      </c>
      <c r="F173" s="219">
        <f t="shared" si="288"/>
        <v>2.8806584362139915</v>
      </c>
      <c r="G173" s="219">
        <f t="shared" si="289"/>
        <v>-2.9999999999999996</v>
      </c>
      <c r="H173" s="219">
        <f t="shared" si="290"/>
        <v>5.9999999999999991</v>
      </c>
      <c r="I173" s="155">
        <f t="shared" si="291"/>
        <v>0</v>
      </c>
      <c r="J173" s="155">
        <f t="shared" si="292"/>
        <v>0</v>
      </c>
      <c r="K173" s="155">
        <f t="shared" si="293"/>
        <v>5.7613168724279831</v>
      </c>
      <c r="L173" s="155">
        <f t="shared" si="294"/>
        <v>10</v>
      </c>
      <c r="M173" s="156">
        <f t="shared" si="295"/>
        <v>0.28713552452194807</v>
      </c>
      <c r="N173" s="157">
        <f t="shared" si="296"/>
        <v>2.8713552452194806E-2</v>
      </c>
      <c r="O173" s="155">
        <f t="shared" si="297"/>
        <v>100</v>
      </c>
      <c r="P173" s="250">
        <v>1</v>
      </c>
      <c r="Q173" s="250">
        <v>1000</v>
      </c>
      <c r="R173" s="148">
        <f t="shared" si="299"/>
        <v>2.8713552452194806</v>
      </c>
      <c r="S173" s="148">
        <f t="shared" si="300"/>
        <v>0.28713552452194807</v>
      </c>
      <c r="T173" s="148">
        <f t="shared" si="301"/>
        <v>2.8713552452194806E-2</v>
      </c>
      <c r="U173" s="148">
        <f t="shared" si="302"/>
        <v>2.8713552452194806</v>
      </c>
      <c r="V173" s="7">
        <f t="shared" si="303"/>
        <v>1000</v>
      </c>
      <c r="W173" s="7">
        <f t="shared" si="304"/>
        <v>1000000</v>
      </c>
      <c r="X173" s="1345">
        <f t="shared" si="305"/>
        <v>28.713552452194804</v>
      </c>
      <c r="Y173" s="1345">
        <f t="shared" si="306"/>
        <v>2871.3552452194808</v>
      </c>
    </row>
    <row r="174" spans="1:26" x14ac:dyDescent="0.2">
      <c r="A174" s="213" t="str">
        <f t="shared" ref="A174:B174" si="310">A454</f>
        <v>LNE</v>
      </c>
      <c r="B174" s="213" t="str">
        <f t="shared" si="310"/>
        <v>VSL124466</v>
      </c>
      <c r="C174" s="219">
        <f t="shared" si="285"/>
        <v>1999.93</v>
      </c>
      <c r="D174" s="219">
        <f t="shared" si="286"/>
        <v>1.21</v>
      </c>
      <c r="E174" s="219">
        <f t="shared" si="287"/>
        <v>2003.6999999999998</v>
      </c>
      <c r="F174" s="219">
        <f t="shared" si="288"/>
        <v>3.6999999999999997</v>
      </c>
      <c r="G174" s="219">
        <f t="shared" si="289"/>
        <v>4</v>
      </c>
      <c r="H174" s="219">
        <f t="shared" si="290"/>
        <v>8</v>
      </c>
      <c r="I174" s="155">
        <f t="shared" si="291"/>
        <v>0</v>
      </c>
      <c r="J174" s="155">
        <f t="shared" si="292"/>
        <v>0</v>
      </c>
      <c r="K174" s="155">
        <f t="shared" si="293"/>
        <v>7.3999999999999995</v>
      </c>
      <c r="L174" s="155">
        <f t="shared" si="294"/>
        <v>10</v>
      </c>
      <c r="M174" s="156">
        <f t="shared" si="295"/>
        <v>0.37001295045326582</v>
      </c>
      <c r="N174" s="157">
        <f t="shared" si="296"/>
        <v>3.7001295045326586E-2</v>
      </c>
      <c r="O174" s="155">
        <f t="shared" si="297"/>
        <v>100</v>
      </c>
      <c r="P174" s="250">
        <v>1</v>
      </c>
      <c r="Q174" s="250">
        <v>1000</v>
      </c>
      <c r="R174" s="148">
        <f t="shared" si="299"/>
        <v>3.7001295045326583</v>
      </c>
      <c r="S174" s="148">
        <f t="shared" si="300"/>
        <v>0.37001295045326582</v>
      </c>
      <c r="T174" s="148">
        <f t="shared" si="301"/>
        <v>3.7001295045326586E-2</v>
      </c>
      <c r="U174" s="148">
        <f t="shared" si="302"/>
        <v>3.7001295045326583</v>
      </c>
      <c r="V174" s="7">
        <f t="shared" si="303"/>
        <v>1000</v>
      </c>
      <c r="W174" s="7">
        <f t="shared" si="304"/>
        <v>1000000</v>
      </c>
      <c r="X174" s="1345">
        <f t="shared" si="305"/>
        <v>37.001295045326586</v>
      </c>
      <c r="Y174" s="1345">
        <f t="shared" si="306"/>
        <v>3700.1295045326583</v>
      </c>
    </row>
    <row r="175" spans="1:26" x14ac:dyDescent="0.2">
      <c r="A175" s="213" t="str">
        <f t="shared" ref="A175:B175" si="311">A455</f>
        <v>NMi VSL</v>
      </c>
      <c r="B175" s="213" t="str">
        <f t="shared" si="311"/>
        <v>VSL226686</v>
      </c>
      <c r="C175" s="219">
        <f t="shared" si="285"/>
        <v>1999.55</v>
      </c>
      <c r="D175" s="219">
        <f t="shared" si="286"/>
        <v>1.82</v>
      </c>
      <c r="E175" s="219">
        <f t="shared" si="287"/>
        <v>2000</v>
      </c>
      <c r="F175" s="219">
        <f t="shared" si="288"/>
        <v>2.5</v>
      </c>
      <c r="G175" s="219">
        <f t="shared" si="289"/>
        <v>0</v>
      </c>
      <c r="H175" s="219">
        <f t="shared" si="290"/>
        <v>5.9999999999999991</v>
      </c>
      <c r="I175" s="155">
        <f t="shared" si="291"/>
        <v>0</v>
      </c>
      <c r="J175" s="155">
        <f t="shared" si="292"/>
        <v>0</v>
      </c>
      <c r="K175" s="155">
        <f t="shared" si="293"/>
        <v>5</v>
      </c>
      <c r="L175" s="155">
        <f t="shared" si="294"/>
        <v>10</v>
      </c>
      <c r="M175" s="156">
        <f t="shared" si="295"/>
        <v>0.25005626265909831</v>
      </c>
      <c r="N175" s="157">
        <f t="shared" si="296"/>
        <v>2.5005626265909832E-2</v>
      </c>
      <c r="O175" s="155">
        <f t="shared" si="297"/>
        <v>100</v>
      </c>
      <c r="P175" s="250">
        <v>1</v>
      </c>
      <c r="Q175" s="250">
        <v>1000</v>
      </c>
      <c r="R175" s="148">
        <f t="shared" si="299"/>
        <v>2.5005626265909831</v>
      </c>
      <c r="S175" s="148">
        <f t="shared" si="300"/>
        <v>0.25005626265909831</v>
      </c>
      <c r="T175" s="148">
        <f t="shared" si="301"/>
        <v>2.5005626265909832E-2</v>
      </c>
      <c r="U175" s="148">
        <f t="shared" si="302"/>
        <v>2.5005626265909831</v>
      </c>
      <c r="V175" s="7">
        <f t="shared" si="303"/>
        <v>1000</v>
      </c>
      <c r="W175" s="7">
        <f t="shared" si="304"/>
        <v>1000000</v>
      </c>
      <c r="X175" s="1345">
        <f t="shared" si="305"/>
        <v>25.005626265909832</v>
      </c>
      <c r="Y175" s="1345">
        <f t="shared" si="306"/>
        <v>2500.5626265909832</v>
      </c>
    </row>
    <row r="176" spans="1:26" x14ac:dyDescent="0.2">
      <c r="A176" s="213" t="str">
        <f t="shared" ref="A176:B176" si="312">A456</f>
        <v>CENAM</v>
      </c>
      <c r="B176" s="213" t="str">
        <f t="shared" si="312"/>
        <v>VSL126717</v>
      </c>
      <c r="C176" s="219">
        <f t="shared" si="285"/>
        <v>2004.97</v>
      </c>
      <c r="D176" s="219">
        <f t="shared" si="286"/>
        <v>1.21</v>
      </c>
      <c r="E176" s="219">
        <f t="shared" si="287"/>
        <v>2000</v>
      </c>
      <c r="F176" s="219">
        <f t="shared" si="288"/>
        <v>8.5</v>
      </c>
      <c r="G176" s="219">
        <f t="shared" si="289"/>
        <v>-5</v>
      </c>
      <c r="H176" s="219">
        <f t="shared" si="290"/>
        <v>17</v>
      </c>
      <c r="I176" s="155">
        <f t="shared" si="291"/>
        <v>0</v>
      </c>
      <c r="J176" s="155">
        <f t="shared" si="292"/>
        <v>0</v>
      </c>
      <c r="K176" s="155">
        <f t="shared" si="293"/>
        <v>17</v>
      </c>
      <c r="L176" s="155">
        <f t="shared" si="294"/>
        <v>10</v>
      </c>
      <c r="M176" s="156">
        <f t="shared" si="295"/>
        <v>0.84789298592996398</v>
      </c>
      <c r="N176" s="157">
        <f t="shared" si="296"/>
        <v>8.4789298592996401E-2</v>
      </c>
      <c r="O176" s="155">
        <f t="shared" si="297"/>
        <v>100</v>
      </c>
      <c r="P176" s="250">
        <v>1</v>
      </c>
      <c r="Q176" s="250">
        <v>1000</v>
      </c>
      <c r="R176" s="148">
        <f t="shared" si="299"/>
        <v>8.4789298592996403</v>
      </c>
      <c r="S176" s="148">
        <f t="shared" si="300"/>
        <v>0.84789298592996398</v>
      </c>
      <c r="T176" s="148">
        <f t="shared" si="301"/>
        <v>8.4789298592996401E-2</v>
      </c>
      <c r="U176" s="148">
        <f t="shared" si="302"/>
        <v>8.4789298592996403</v>
      </c>
      <c r="V176" s="7">
        <f t="shared" si="303"/>
        <v>1000</v>
      </c>
      <c r="W176" s="7">
        <f t="shared" si="304"/>
        <v>1000000</v>
      </c>
      <c r="X176" s="1345">
        <f t="shared" si="305"/>
        <v>84.789298592996403</v>
      </c>
      <c r="Y176" s="1345">
        <f t="shared" si="306"/>
        <v>8478.9298592996402</v>
      </c>
    </row>
    <row r="177" spans="1:26" x14ac:dyDescent="0.2">
      <c r="A177" s="213" t="str">
        <f t="shared" ref="A177:B177" si="313">A457</f>
        <v>CEM</v>
      </c>
      <c r="B177" s="213" t="str">
        <f t="shared" si="313"/>
        <v>VSL100066</v>
      </c>
      <c r="C177" s="219">
        <f t="shared" si="285"/>
        <v>2002.62</v>
      </c>
      <c r="D177" s="219">
        <f t="shared" si="286"/>
        <v>1.21</v>
      </c>
      <c r="E177" s="219">
        <f t="shared" si="287"/>
        <v>2001</v>
      </c>
      <c r="F177" s="219">
        <f t="shared" si="288"/>
        <v>5.9999999999999991</v>
      </c>
      <c r="G177" s="219">
        <f t="shared" si="289"/>
        <v>-2</v>
      </c>
      <c r="H177" s="219">
        <f t="shared" si="290"/>
        <v>11.999999999999998</v>
      </c>
      <c r="I177" s="155">
        <f t="shared" si="291"/>
        <v>0</v>
      </c>
      <c r="J177" s="155">
        <f t="shared" si="292"/>
        <v>0</v>
      </c>
      <c r="K177" s="155">
        <f t="shared" si="293"/>
        <v>11.999999999999998</v>
      </c>
      <c r="L177" s="155">
        <f t="shared" si="294"/>
        <v>10</v>
      </c>
      <c r="M177" s="156">
        <f t="shared" si="295"/>
        <v>0.59921502831290996</v>
      </c>
      <c r="N177" s="157">
        <f t="shared" si="296"/>
        <v>5.9921502831290996E-2</v>
      </c>
      <c r="O177" s="155">
        <f t="shared" si="297"/>
        <v>100</v>
      </c>
      <c r="P177" s="250">
        <v>1</v>
      </c>
      <c r="Q177" s="250">
        <v>1000</v>
      </c>
      <c r="R177" s="148">
        <f t="shared" si="299"/>
        <v>5.9921502831290994</v>
      </c>
      <c r="S177" s="148">
        <f t="shared" si="300"/>
        <v>0.59921502831290996</v>
      </c>
      <c r="T177" s="148">
        <f t="shared" si="301"/>
        <v>5.9921502831290996E-2</v>
      </c>
      <c r="U177" s="148">
        <f t="shared" si="302"/>
        <v>5.9921502831290994</v>
      </c>
      <c r="V177" s="7">
        <f t="shared" si="303"/>
        <v>1000</v>
      </c>
      <c r="W177" s="7">
        <f t="shared" si="304"/>
        <v>1000000</v>
      </c>
      <c r="X177" s="1345">
        <f t="shared" si="305"/>
        <v>59.921502831290994</v>
      </c>
      <c r="Y177" s="1345">
        <f t="shared" si="306"/>
        <v>5992.1502831290991</v>
      </c>
    </row>
    <row r="178" spans="1:26" x14ac:dyDescent="0.2">
      <c r="A178" s="213" t="str">
        <f t="shared" ref="A178:B178" si="314">A458</f>
        <v>BAM</v>
      </c>
      <c r="B178" s="213" t="str">
        <f t="shared" si="314"/>
        <v>VSL100042</v>
      </c>
      <c r="C178" s="219">
        <f t="shared" si="285"/>
        <v>1998.1499999999999</v>
      </c>
      <c r="D178" s="219">
        <f t="shared" si="286"/>
        <v>1.21</v>
      </c>
      <c r="E178" s="219">
        <f t="shared" si="287"/>
        <v>2003</v>
      </c>
      <c r="F178" s="219">
        <f t="shared" si="288"/>
        <v>8</v>
      </c>
      <c r="G178" s="219">
        <f t="shared" si="289"/>
        <v>5</v>
      </c>
      <c r="H178" s="219">
        <f t="shared" si="290"/>
        <v>16</v>
      </c>
      <c r="I178" s="155">
        <f t="shared" si="291"/>
        <v>0</v>
      </c>
      <c r="J178" s="155">
        <f t="shared" si="292"/>
        <v>0</v>
      </c>
      <c r="K178" s="155">
        <f t="shared" si="293"/>
        <v>16</v>
      </c>
      <c r="L178" s="155">
        <f t="shared" si="294"/>
        <v>10</v>
      </c>
      <c r="M178" s="156">
        <f t="shared" si="295"/>
        <v>0.80074068513374885</v>
      </c>
      <c r="N178" s="157">
        <f t="shared" si="296"/>
        <v>8.0074068513374896E-2</v>
      </c>
      <c r="O178" s="155">
        <f t="shared" si="297"/>
        <v>100</v>
      </c>
      <c r="P178" s="250">
        <v>1</v>
      </c>
      <c r="Q178" s="250">
        <v>1000</v>
      </c>
      <c r="R178" s="148">
        <f t="shared" si="299"/>
        <v>8.007406851337489</v>
      </c>
      <c r="S178" s="148">
        <f t="shared" si="300"/>
        <v>0.80074068513374885</v>
      </c>
      <c r="T178" s="148">
        <f t="shared" si="301"/>
        <v>8.0074068513374896E-2</v>
      </c>
      <c r="U178" s="148">
        <f t="shared" si="302"/>
        <v>8.007406851337489</v>
      </c>
      <c r="V178" s="7">
        <f t="shared" si="303"/>
        <v>1000</v>
      </c>
      <c r="W178" s="7">
        <f t="shared" si="304"/>
        <v>1000000</v>
      </c>
      <c r="X178" s="1345">
        <f t="shared" si="305"/>
        <v>80.074068513374897</v>
      </c>
      <c r="Y178" s="1345">
        <f t="shared" si="306"/>
        <v>8007.4068513374887</v>
      </c>
    </row>
    <row r="179" spans="1:26" x14ac:dyDescent="0.2">
      <c r="A179" s="213" t="str">
        <f t="shared" ref="A179:B179" si="315">A459</f>
        <v>NMIA</v>
      </c>
      <c r="B179" s="213" t="str">
        <f t="shared" si="315"/>
        <v>VSL126712</v>
      </c>
      <c r="C179" s="219">
        <f t="shared" si="285"/>
        <v>2007.04</v>
      </c>
      <c r="D179" s="219">
        <f t="shared" si="286"/>
        <v>1.21</v>
      </c>
      <c r="E179" s="219">
        <f t="shared" si="287"/>
        <v>2005.0000000000002</v>
      </c>
      <c r="F179" s="219">
        <f t="shared" si="288"/>
        <v>4.5871559633027523</v>
      </c>
      <c r="G179" s="219">
        <f t="shared" si="289"/>
        <v>-2</v>
      </c>
      <c r="H179" s="219">
        <f t="shared" si="290"/>
        <v>9</v>
      </c>
      <c r="I179" s="155">
        <f t="shared" si="291"/>
        <v>0</v>
      </c>
      <c r="J179" s="155">
        <f t="shared" si="292"/>
        <v>0</v>
      </c>
      <c r="K179" s="155">
        <f t="shared" si="293"/>
        <v>9.1743119266055047</v>
      </c>
      <c r="L179" s="155">
        <f t="shared" si="294"/>
        <v>10</v>
      </c>
      <c r="M179" s="156">
        <f t="shared" si="295"/>
        <v>0.45710658116457592</v>
      </c>
      <c r="N179" s="157">
        <f t="shared" si="296"/>
        <v>4.5710658116457595E-2</v>
      </c>
      <c r="O179" s="155">
        <f t="shared" si="297"/>
        <v>100</v>
      </c>
      <c r="P179" s="250">
        <v>1</v>
      </c>
      <c r="Q179" s="250">
        <v>1000</v>
      </c>
      <c r="R179" s="148">
        <f t="shared" si="299"/>
        <v>4.5710658116457594</v>
      </c>
      <c r="S179" s="148">
        <f t="shared" si="300"/>
        <v>0.45710658116457592</v>
      </c>
      <c r="T179" s="148">
        <f t="shared" si="301"/>
        <v>4.5710658116457595E-2</v>
      </c>
      <c r="U179" s="148">
        <f t="shared" si="302"/>
        <v>4.5710658116457594</v>
      </c>
      <c r="V179" s="7">
        <f t="shared" si="303"/>
        <v>1000</v>
      </c>
      <c r="W179" s="7">
        <f t="shared" si="304"/>
        <v>1000000</v>
      </c>
      <c r="X179" s="1345">
        <f t="shared" si="305"/>
        <v>45.710658116457594</v>
      </c>
      <c r="Y179" s="1345">
        <f t="shared" si="306"/>
        <v>4571.0658116457598</v>
      </c>
    </row>
    <row r="180" spans="1:26" x14ac:dyDescent="0.2">
      <c r="A180" s="213" t="str">
        <f t="shared" ref="A180:B180" si="316">A460</f>
        <v>IPQ</v>
      </c>
      <c r="B180" s="213" t="str">
        <f t="shared" si="316"/>
        <v>VSL100038</v>
      </c>
      <c r="C180" s="219">
        <f t="shared" si="285"/>
        <v>2006.02</v>
      </c>
      <c r="D180" s="219">
        <f t="shared" si="286"/>
        <v>1.21</v>
      </c>
      <c r="E180" s="219">
        <f t="shared" si="287"/>
        <v>2001</v>
      </c>
      <c r="F180" s="219">
        <f t="shared" si="288"/>
        <v>7</v>
      </c>
      <c r="G180" s="219">
        <f t="shared" si="289"/>
        <v>-5</v>
      </c>
      <c r="H180" s="219">
        <f t="shared" si="290"/>
        <v>14</v>
      </c>
      <c r="I180" s="155">
        <f t="shared" si="291"/>
        <v>0</v>
      </c>
      <c r="J180" s="155">
        <f t="shared" si="292"/>
        <v>0</v>
      </c>
      <c r="K180" s="155">
        <f t="shared" si="293"/>
        <v>14</v>
      </c>
      <c r="L180" s="155">
        <f t="shared" si="294"/>
        <v>10</v>
      </c>
      <c r="M180" s="156">
        <f t="shared" si="295"/>
        <v>0.69789932303765667</v>
      </c>
      <c r="N180" s="157">
        <f t="shared" si="296"/>
        <v>6.9789932303765664E-2</v>
      </c>
      <c r="O180" s="155">
        <f t="shared" si="297"/>
        <v>100</v>
      </c>
      <c r="P180" s="250">
        <v>1</v>
      </c>
      <c r="Q180" s="250">
        <v>1000</v>
      </c>
      <c r="R180" s="148">
        <f t="shared" si="299"/>
        <v>6.9789932303765667</v>
      </c>
      <c r="S180" s="148">
        <f t="shared" si="300"/>
        <v>0.69789932303765667</v>
      </c>
      <c r="T180" s="148">
        <f t="shared" si="301"/>
        <v>6.9789932303765664E-2</v>
      </c>
      <c r="U180" s="148">
        <f t="shared" si="302"/>
        <v>6.9789932303765667</v>
      </c>
      <c r="V180" s="7">
        <f t="shared" si="303"/>
        <v>1000</v>
      </c>
      <c r="W180" s="7">
        <f t="shared" si="304"/>
        <v>1000000</v>
      </c>
      <c r="X180" s="1345">
        <f t="shared" si="305"/>
        <v>69.789932303765667</v>
      </c>
      <c r="Y180" s="1345">
        <f t="shared" si="306"/>
        <v>6978.9932303765663</v>
      </c>
    </row>
    <row r="181" spans="1:26" x14ac:dyDescent="0.2">
      <c r="A181" s="213" t="str">
        <f t="shared" ref="A181:B181" si="317">A461</f>
        <v>INMETRO</v>
      </c>
      <c r="B181" s="213" t="str">
        <f t="shared" si="317"/>
        <v>VSL100041</v>
      </c>
      <c r="C181" s="219">
        <f t="shared" si="285"/>
        <v>1996.24</v>
      </c>
      <c r="D181" s="219">
        <f t="shared" si="286"/>
        <v>1.2</v>
      </c>
      <c r="E181" s="219">
        <f t="shared" si="287"/>
        <v>1962.0000000000002</v>
      </c>
      <c r="F181" s="219">
        <f t="shared" si="288"/>
        <v>18</v>
      </c>
      <c r="G181" s="219">
        <f t="shared" si="289"/>
        <v>-34</v>
      </c>
      <c r="H181" s="219">
        <f t="shared" si="290"/>
        <v>36</v>
      </c>
      <c r="I181" s="155">
        <f t="shared" si="291"/>
        <v>0</v>
      </c>
      <c r="J181" s="155">
        <f t="shared" si="292"/>
        <v>0</v>
      </c>
      <c r="K181" s="155">
        <f t="shared" si="293"/>
        <v>36</v>
      </c>
      <c r="L181" s="155">
        <f t="shared" si="294"/>
        <v>10</v>
      </c>
      <c r="M181" s="156">
        <f t="shared" si="295"/>
        <v>1.8033903739029375</v>
      </c>
      <c r="N181" s="157">
        <f t="shared" si="296"/>
        <v>0.18033903739029378</v>
      </c>
      <c r="O181" s="155">
        <f t="shared" si="297"/>
        <v>100</v>
      </c>
      <c r="P181" s="250">
        <v>1</v>
      </c>
      <c r="Q181" s="250">
        <v>1000</v>
      </c>
      <c r="R181" s="148">
        <f t="shared" si="299"/>
        <v>18.033903739029377</v>
      </c>
      <c r="S181" s="148">
        <f t="shared" si="300"/>
        <v>1.8033903739029375</v>
      </c>
      <c r="T181" s="148">
        <f t="shared" si="301"/>
        <v>0.18033903739029378</v>
      </c>
      <c r="U181" s="148">
        <f t="shared" si="302"/>
        <v>18.033903739029377</v>
      </c>
      <c r="V181" s="7">
        <f t="shared" si="303"/>
        <v>1000</v>
      </c>
      <c r="W181" s="7">
        <f t="shared" si="304"/>
        <v>1000000</v>
      </c>
      <c r="X181" s="1345">
        <f t="shared" si="305"/>
        <v>180.33903739029378</v>
      </c>
      <c r="Y181" s="1345">
        <f t="shared" si="306"/>
        <v>18033.903739029378</v>
      </c>
    </row>
    <row r="182" spans="1:26" x14ac:dyDescent="0.2">
      <c r="A182" s="213" t="str">
        <f t="shared" ref="A182:B182" si="318">A462</f>
        <v>GUM</v>
      </c>
      <c r="B182" s="213" t="str">
        <f t="shared" si="318"/>
        <v>VSL100044</v>
      </c>
      <c r="C182" s="219">
        <f t="shared" si="285"/>
        <v>2006.1999999999998</v>
      </c>
      <c r="D182" s="219">
        <f t="shared" si="286"/>
        <v>1.21</v>
      </c>
      <c r="E182" s="219">
        <f t="shared" si="287"/>
        <v>1999</v>
      </c>
      <c r="F182" s="219">
        <f t="shared" si="288"/>
        <v>10</v>
      </c>
      <c r="G182" s="219">
        <f t="shared" si="289"/>
        <v>-7</v>
      </c>
      <c r="H182" s="219">
        <f t="shared" si="290"/>
        <v>20</v>
      </c>
      <c r="I182" s="155">
        <f t="shared" si="291"/>
        <v>0</v>
      </c>
      <c r="J182" s="155">
        <f t="shared" si="292"/>
        <v>0</v>
      </c>
      <c r="K182" s="155">
        <f t="shared" si="293"/>
        <v>20</v>
      </c>
      <c r="L182" s="155">
        <f t="shared" si="294"/>
        <v>10</v>
      </c>
      <c r="M182" s="156">
        <f t="shared" si="295"/>
        <v>0.99690958030106669</v>
      </c>
      <c r="N182" s="157">
        <f t="shared" si="296"/>
        <v>9.9690958030106677E-2</v>
      </c>
      <c r="O182" s="155">
        <f t="shared" si="297"/>
        <v>100</v>
      </c>
      <c r="P182" s="250">
        <v>1</v>
      </c>
      <c r="Q182" s="250">
        <v>1000</v>
      </c>
      <c r="R182" s="148">
        <f t="shared" si="299"/>
        <v>9.9690958030106671</v>
      </c>
      <c r="S182" s="148">
        <f t="shared" si="300"/>
        <v>0.99690958030106669</v>
      </c>
      <c r="T182" s="148">
        <f t="shared" si="301"/>
        <v>9.9690958030106677E-2</v>
      </c>
      <c r="U182" s="148">
        <f t="shared" si="302"/>
        <v>9.9690958030106671</v>
      </c>
      <c r="V182" s="7">
        <f t="shared" si="303"/>
        <v>1000</v>
      </c>
      <c r="W182" s="7">
        <f t="shared" si="304"/>
        <v>1000000</v>
      </c>
      <c r="X182" s="1345">
        <f t="shared" si="305"/>
        <v>99.690958030106671</v>
      </c>
      <c r="Y182" s="1345">
        <f t="shared" si="306"/>
        <v>9969.0958030106667</v>
      </c>
    </row>
    <row r="183" spans="1:26" x14ac:dyDescent="0.2">
      <c r="A183" s="213" t="str">
        <f t="shared" ref="A183:B183" si="319">A463</f>
        <v>NRCCRM</v>
      </c>
      <c r="B183" s="213" t="str">
        <f t="shared" si="319"/>
        <v>VSL126730</v>
      </c>
      <c r="C183" s="219">
        <f t="shared" si="285"/>
        <v>2015.0199999999998</v>
      </c>
      <c r="D183" s="219">
        <f t="shared" si="286"/>
        <v>1.21</v>
      </c>
      <c r="E183" s="219">
        <f t="shared" si="287"/>
        <v>2010.0000000000002</v>
      </c>
      <c r="F183" s="219">
        <f t="shared" si="288"/>
        <v>15.100000000000001</v>
      </c>
      <c r="G183" s="219">
        <f t="shared" si="289"/>
        <v>-5</v>
      </c>
      <c r="H183" s="219">
        <f t="shared" si="290"/>
        <v>30</v>
      </c>
      <c r="I183" s="155">
        <f t="shared" si="291"/>
        <v>0</v>
      </c>
      <c r="J183" s="155">
        <f t="shared" si="292"/>
        <v>0</v>
      </c>
      <c r="K183" s="155">
        <f t="shared" si="293"/>
        <v>30.200000000000003</v>
      </c>
      <c r="L183" s="155">
        <f t="shared" si="294"/>
        <v>10</v>
      </c>
      <c r="M183" s="156">
        <f t="shared" si="295"/>
        <v>1.4987444293356893</v>
      </c>
      <c r="N183" s="157">
        <f t="shared" si="296"/>
        <v>0.14987444293356891</v>
      </c>
      <c r="O183" s="155">
        <f t="shared" si="297"/>
        <v>100</v>
      </c>
      <c r="P183" s="250">
        <v>1</v>
      </c>
      <c r="Q183" s="250">
        <v>1000</v>
      </c>
      <c r="R183" s="148">
        <f t="shared" si="299"/>
        <v>14.987444293356893</v>
      </c>
      <c r="S183" s="148">
        <f t="shared" si="300"/>
        <v>1.4987444293356893</v>
      </c>
      <c r="T183" s="148">
        <f t="shared" si="301"/>
        <v>0.14987444293356894</v>
      </c>
      <c r="U183" s="148">
        <f t="shared" si="302"/>
        <v>14.987444293356894</v>
      </c>
      <c r="V183" s="7">
        <f t="shared" si="303"/>
        <v>1000</v>
      </c>
      <c r="W183" s="7">
        <f t="shared" si="304"/>
        <v>1000000</v>
      </c>
      <c r="X183" s="1345">
        <f t="shared" si="305"/>
        <v>149.87444293356893</v>
      </c>
      <c r="Y183" s="1345">
        <f t="shared" si="306"/>
        <v>14987.444293356893</v>
      </c>
    </row>
    <row r="184" spans="1:26" x14ac:dyDescent="0.2">
      <c r="A184" s="213" t="str">
        <f t="shared" ref="A184:B184" si="320">A464</f>
        <v>KRISS</v>
      </c>
      <c r="B184" s="213" t="str">
        <f t="shared" si="320"/>
        <v>VSL126709</v>
      </c>
      <c r="C184" s="219">
        <f t="shared" si="285"/>
        <v>2016.31</v>
      </c>
      <c r="D184" s="219">
        <f t="shared" si="286"/>
        <v>1.22</v>
      </c>
      <c r="E184" s="219">
        <f t="shared" si="287"/>
        <v>2019</v>
      </c>
      <c r="F184" s="219">
        <f t="shared" si="288"/>
        <v>3.5</v>
      </c>
      <c r="G184" s="219">
        <f t="shared" si="289"/>
        <v>2.9999999999999996</v>
      </c>
      <c r="H184" s="219">
        <f t="shared" si="290"/>
        <v>7</v>
      </c>
      <c r="I184" s="155">
        <f t="shared" si="291"/>
        <v>0</v>
      </c>
      <c r="J184" s="155">
        <f t="shared" si="292"/>
        <v>0</v>
      </c>
      <c r="K184" s="155">
        <f t="shared" si="293"/>
        <v>7</v>
      </c>
      <c r="L184" s="155">
        <f t="shared" si="294"/>
        <v>10</v>
      </c>
      <c r="M184" s="156">
        <f t="shared" si="295"/>
        <v>0.34716883812508992</v>
      </c>
      <c r="N184" s="157">
        <f t="shared" si="296"/>
        <v>3.4716883812508995E-2</v>
      </c>
      <c r="O184" s="155">
        <f t="shared" si="297"/>
        <v>100</v>
      </c>
      <c r="P184" s="250">
        <v>1</v>
      </c>
      <c r="Q184" s="250">
        <v>1000</v>
      </c>
      <c r="R184" s="148">
        <f t="shared" si="299"/>
        <v>3.4716883812508992</v>
      </c>
      <c r="S184" s="148">
        <f t="shared" si="300"/>
        <v>0.34716883812508992</v>
      </c>
      <c r="T184" s="148">
        <f t="shared" si="301"/>
        <v>3.4716883812508995E-2</v>
      </c>
      <c r="U184" s="148">
        <f t="shared" si="302"/>
        <v>3.4716883812508992</v>
      </c>
      <c r="V184" s="7">
        <f t="shared" si="303"/>
        <v>1000</v>
      </c>
      <c r="W184" s="7">
        <f t="shared" si="304"/>
        <v>1000000</v>
      </c>
      <c r="X184" s="1345">
        <f t="shared" si="305"/>
        <v>34.716883812508996</v>
      </c>
      <c r="Y184" s="1345">
        <f t="shared" si="306"/>
        <v>3471.6883812508991</v>
      </c>
    </row>
    <row r="185" spans="1:26" ht="14.25" x14ac:dyDescent="0.2">
      <c r="H185" s="9"/>
      <c r="U185" s="152"/>
      <c r="V185" s="21"/>
      <c r="W185" s="21"/>
      <c r="X185" s="21"/>
      <c r="Y185" s="21"/>
      <c r="Z185" s="21"/>
    </row>
    <row r="186" spans="1:26" ht="15.75" x14ac:dyDescent="0.2">
      <c r="A186" s="103" t="str">
        <f>A466</f>
        <v>iso-butane, mixture III</v>
      </c>
      <c r="B186" s="97"/>
      <c r="C186" s="97"/>
      <c r="D186" s="97"/>
      <c r="E186" s="97"/>
      <c r="F186" s="97"/>
      <c r="G186" s="97"/>
      <c r="H186" s="97"/>
      <c r="I186" s="113"/>
      <c r="J186" s="113"/>
      <c r="K186" s="113"/>
      <c r="L186" s="113"/>
      <c r="M186" s="113"/>
      <c r="N186" s="113"/>
      <c r="O186" s="113"/>
      <c r="R186" s="113"/>
      <c r="S186" s="113"/>
      <c r="T186" s="146"/>
      <c r="U186" s="146"/>
    </row>
    <row r="187" spans="1:26" ht="102" x14ac:dyDescent="0.2">
      <c r="A187" s="211" t="s">
        <v>0</v>
      </c>
      <c r="B187" s="212" t="s">
        <v>1</v>
      </c>
      <c r="C187" s="212" t="s">
        <v>133</v>
      </c>
      <c r="D187" s="212" t="s">
        <v>199</v>
      </c>
      <c r="E187" s="212" t="s">
        <v>135</v>
      </c>
      <c r="F187" s="212" t="s">
        <v>200</v>
      </c>
      <c r="G187" s="212" t="s">
        <v>137</v>
      </c>
      <c r="H187" s="212" t="s">
        <v>201</v>
      </c>
      <c r="I187" s="104" t="s">
        <v>8</v>
      </c>
      <c r="J187" s="104" t="s">
        <v>9</v>
      </c>
      <c r="K187" s="104" t="s">
        <v>107</v>
      </c>
      <c r="L187" s="104" t="s">
        <v>14</v>
      </c>
      <c r="M187" s="104" t="s">
        <v>1057</v>
      </c>
      <c r="N187" s="104" t="s">
        <v>1058</v>
      </c>
      <c r="O187" s="104" t="s">
        <v>100</v>
      </c>
      <c r="P187" s="6" t="s">
        <v>105</v>
      </c>
      <c r="Q187" s="6" t="s">
        <v>106</v>
      </c>
      <c r="R187" s="104" t="s">
        <v>1051</v>
      </c>
      <c r="S187" s="104" t="s">
        <v>1052</v>
      </c>
      <c r="T187" s="147" t="s">
        <v>1053</v>
      </c>
      <c r="U187" s="147" t="s">
        <v>1054</v>
      </c>
      <c r="V187" s="5" t="s">
        <v>101</v>
      </c>
      <c r="W187" s="5" t="s">
        <v>102</v>
      </c>
      <c r="X187" s="112" t="s">
        <v>1055</v>
      </c>
      <c r="Y187" s="112" t="s">
        <v>1056</v>
      </c>
    </row>
    <row r="188" spans="1:26" x14ac:dyDescent="0.2">
      <c r="A188" s="213" t="str">
        <f>A468</f>
        <v>NPL</v>
      </c>
      <c r="B188" s="213" t="str">
        <f>B468</f>
        <v>VSL206333</v>
      </c>
      <c r="C188" s="219">
        <f t="shared" ref="C188:C203" si="321">C468*10000</f>
        <v>1002.81</v>
      </c>
      <c r="D188" s="219">
        <f t="shared" ref="D188:D203" si="322">F468*10000</f>
        <v>0.92999999999999994</v>
      </c>
      <c r="E188" s="219">
        <f t="shared" ref="E188:E203" si="323">G468*10000</f>
        <v>1003.4</v>
      </c>
      <c r="F188" s="219">
        <f t="shared" ref="F188:F203" si="324">H468/I468*10000</f>
        <v>2.15</v>
      </c>
      <c r="G188" s="219">
        <f t="shared" ref="G188:G203" si="325">J468*10000</f>
        <v>1</v>
      </c>
      <c r="H188" s="219">
        <f t="shared" ref="H188:H203" si="326">L468*10000</f>
        <v>5</v>
      </c>
      <c r="I188" s="155">
        <f t="shared" ref="I188:I203" si="327">IF(ABS(G188)&gt;ABS(H188), 1, 0)</f>
        <v>0</v>
      </c>
      <c r="J188" s="155">
        <f t="shared" ref="J188:J203" si="328">I188*ABS(C188-E188)</f>
        <v>0</v>
      </c>
      <c r="K188" s="155">
        <f t="shared" ref="K188:K203" si="329">SQRT(SUMSQ(F188,J188))*2</f>
        <v>4.3</v>
      </c>
      <c r="L188" s="155">
        <f t="shared" ref="L188:L203" si="330">IF(C188&lt;$K$2, C188, $K$1)</f>
        <v>10</v>
      </c>
      <c r="M188" s="156">
        <f t="shared" ref="M188:M203" si="331">IF(AND(C188&lt;$K$1,C188&gt; $K$2), K188/L188*100, K188/C188*100)</f>
        <v>0.42879508580887704</v>
      </c>
      <c r="N188" s="157">
        <f t="shared" ref="N188:N203" si="332">M188*L188/100</f>
        <v>4.2879508580887703E-2</v>
      </c>
      <c r="O188" s="155">
        <f t="shared" ref="O188:O203" si="333">N188/(M188*L188/100)*100</f>
        <v>100</v>
      </c>
      <c r="P188" s="250">
        <v>1</v>
      </c>
      <c r="Q188" s="250">
        <v>1000</v>
      </c>
      <c r="R188" s="148">
        <f>IF( IF(P188&lt;L188, M188*L188/P188, M188)&gt;100, "ERROR",  IF(P188&lt;L188, M188*L188/P188, M188))</f>
        <v>4.2879508580887702</v>
      </c>
      <c r="S188" s="148">
        <f>IF(IF(Q188&lt;L188, M188*L188/Q188, M188)&gt;100, "ERROR", IF(Q188&lt;L188, M188*L188/Q188, M188))</f>
        <v>0.42879508580887704</v>
      </c>
      <c r="T188" s="148">
        <f>R188*P188*0.01</f>
        <v>4.2879508580887703E-2</v>
      </c>
      <c r="U188" s="148">
        <f>S188*Q188*0.01</f>
        <v>4.2879508580887702</v>
      </c>
      <c r="V188" s="7">
        <f>P188*1000</f>
        <v>1000</v>
      </c>
      <c r="W188" s="7">
        <f>Q188*1000</f>
        <v>1000000</v>
      </c>
      <c r="X188" s="1345">
        <f>T188*1000</f>
        <v>42.879508580887702</v>
      </c>
      <c r="Y188" s="1345">
        <f>U188*1000</f>
        <v>4287.9508580887705</v>
      </c>
    </row>
    <row r="189" spans="1:26" x14ac:dyDescent="0.2">
      <c r="A189" s="213" t="str">
        <f t="shared" ref="A189:B189" si="334">A469</f>
        <v>SMU</v>
      </c>
      <c r="B189" s="213" t="str">
        <f t="shared" si="334"/>
        <v>VSL202622</v>
      </c>
      <c r="C189" s="219">
        <f t="shared" si="321"/>
        <v>1000.18</v>
      </c>
      <c r="D189" s="219">
        <f t="shared" si="322"/>
        <v>0.92999999999999994</v>
      </c>
      <c r="E189" s="219">
        <f t="shared" si="323"/>
        <v>1012.0999999999999</v>
      </c>
      <c r="F189" s="219">
        <f t="shared" si="324"/>
        <v>2</v>
      </c>
      <c r="G189" s="219">
        <f t="shared" si="325"/>
        <v>11.999999999999998</v>
      </c>
      <c r="H189" s="219">
        <f t="shared" si="326"/>
        <v>4</v>
      </c>
      <c r="I189" s="155">
        <f t="shared" si="327"/>
        <v>1</v>
      </c>
      <c r="J189" s="155">
        <f t="shared" si="328"/>
        <v>11.919999999999959</v>
      </c>
      <c r="K189" s="155">
        <f t="shared" si="329"/>
        <v>24.173241404495098</v>
      </c>
      <c r="L189" s="155">
        <f t="shared" si="330"/>
        <v>10</v>
      </c>
      <c r="M189" s="156">
        <f t="shared" si="331"/>
        <v>2.4168891004114359</v>
      </c>
      <c r="N189" s="157">
        <f t="shared" si="332"/>
        <v>0.24168891004114357</v>
      </c>
      <c r="O189" s="155">
        <f t="shared" si="333"/>
        <v>100</v>
      </c>
      <c r="P189" s="250">
        <v>1</v>
      </c>
      <c r="Q189" s="250">
        <v>1000</v>
      </c>
      <c r="R189" s="148">
        <f t="shared" ref="R189:R203" si="335">IF( IF(P189&lt;L189, M189*L189/P189, M189)&gt;100, "ERROR",  IF(P189&lt;L189, M189*L189/P189, M189))</f>
        <v>24.168891004114357</v>
      </c>
      <c r="S189" s="148">
        <f t="shared" ref="S189:S203" si="336">IF(IF(Q189&lt;L189, M189*L189/Q189, M189)&gt;100, "ERROR", IF(Q189&lt;L189, M189*L189/Q189, M189))</f>
        <v>2.4168891004114359</v>
      </c>
      <c r="T189" s="148">
        <f t="shared" ref="T189:T203" si="337">R189*P189*0.01</f>
        <v>0.24168891004114357</v>
      </c>
      <c r="U189" s="148">
        <f t="shared" ref="U189:U203" si="338">S189*Q189*0.01</f>
        <v>24.168891004114357</v>
      </c>
      <c r="V189" s="7">
        <f t="shared" ref="V189:V203" si="339">P189*1000</f>
        <v>1000</v>
      </c>
      <c r="W189" s="7">
        <f t="shared" ref="W189:W203" si="340">Q189*1000</f>
        <v>1000000</v>
      </c>
      <c r="X189" s="1345">
        <f t="shared" ref="X189:X203" si="341">T189*1000</f>
        <v>241.68891004114357</v>
      </c>
      <c r="Y189" s="1345">
        <f t="shared" ref="Y189:Y203" si="342">U189*1000</f>
        <v>24168.891004114357</v>
      </c>
    </row>
    <row r="190" spans="1:26" x14ac:dyDescent="0.2">
      <c r="A190" s="213" t="str">
        <f t="shared" ref="A190:B190" si="343">A470</f>
        <v>CMI</v>
      </c>
      <c r="B190" s="213" t="str">
        <f t="shared" si="343"/>
        <v>VSL205133</v>
      </c>
      <c r="C190" s="219">
        <f t="shared" si="321"/>
        <v>999.12</v>
      </c>
      <c r="D190" s="219">
        <f t="shared" si="322"/>
        <v>0.92999999999999994</v>
      </c>
      <c r="E190" s="219">
        <f t="shared" si="323"/>
        <v>980</v>
      </c>
      <c r="F190" s="219">
        <f t="shared" si="324"/>
        <v>15</v>
      </c>
      <c r="G190" s="219">
        <f t="shared" si="325"/>
        <v>-19</v>
      </c>
      <c r="H190" s="219">
        <f t="shared" si="326"/>
        <v>30</v>
      </c>
      <c r="I190" s="155">
        <f t="shared" si="327"/>
        <v>0</v>
      </c>
      <c r="J190" s="155">
        <f t="shared" si="328"/>
        <v>0</v>
      </c>
      <c r="K190" s="155">
        <f t="shared" si="329"/>
        <v>30</v>
      </c>
      <c r="L190" s="155">
        <f t="shared" si="330"/>
        <v>10</v>
      </c>
      <c r="M190" s="156">
        <f t="shared" si="331"/>
        <v>3.0026423252462164</v>
      </c>
      <c r="N190" s="157">
        <f t="shared" si="332"/>
        <v>0.30026423252462164</v>
      </c>
      <c r="O190" s="155">
        <f t="shared" si="333"/>
        <v>100</v>
      </c>
      <c r="P190" s="250">
        <v>1</v>
      </c>
      <c r="Q190" s="250">
        <v>1000</v>
      </c>
      <c r="R190" s="148">
        <f t="shared" si="335"/>
        <v>30.026423252462166</v>
      </c>
      <c r="S190" s="148">
        <f t="shared" si="336"/>
        <v>3.0026423252462164</v>
      </c>
      <c r="T190" s="148">
        <f t="shared" si="337"/>
        <v>0.30026423252462164</v>
      </c>
      <c r="U190" s="148">
        <f t="shared" si="338"/>
        <v>30.026423252462166</v>
      </c>
      <c r="V190" s="7">
        <f t="shared" si="339"/>
        <v>1000</v>
      </c>
      <c r="W190" s="7">
        <f t="shared" si="340"/>
        <v>1000000</v>
      </c>
      <c r="X190" s="1345">
        <f t="shared" si="341"/>
        <v>300.26423252462166</v>
      </c>
      <c r="Y190" s="1345">
        <f t="shared" si="342"/>
        <v>30026.423252462166</v>
      </c>
    </row>
    <row r="191" spans="1:26" x14ac:dyDescent="0.2">
      <c r="A191" s="213" t="str">
        <f t="shared" ref="A191:B191" si="344">A471</f>
        <v>VNIIM</v>
      </c>
      <c r="B191" s="213" t="str">
        <f t="shared" si="344"/>
        <v>VSL202624</v>
      </c>
      <c r="C191" s="219">
        <f t="shared" si="321"/>
        <v>1003.0500000000001</v>
      </c>
      <c r="D191" s="219">
        <f t="shared" si="322"/>
        <v>0.92999999999999994</v>
      </c>
      <c r="E191" s="219">
        <f t="shared" si="323"/>
        <v>995.99999999999989</v>
      </c>
      <c r="F191" s="219">
        <f t="shared" si="324"/>
        <v>8</v>
      </c>
      <c r="G191" s="219">
        <f t="shared" si="325"/>
        <v>-7</v>
      </c>
      <c r="H191" s="219">
        <f t="shared" si="326"/>
        <v>16</v>
      </c>
      <c r="I191" s="155">
        <f t="shared" si="327"/>
        <v>0</v>
      </c>
      <c r="J191" s="155">
        <f t="shared" si="328"/>
        <v>0</v>
      </c>
      <c r="K191" s="155">
        <f t="shared" si="329"/>
        <v>16</v>
      </c>
      <c r="L191" s="155">
        <f t="shared" si="330"/>
        <v>10</v>
      </c>
      <c r="M191" s="156">
        <f t="shared" si="331"/>
        <v>1.5951348387418371</v>
      </c>
      <c r="N191" s="157">
        <f t="shared" si="332"/>
        <v>0.15951348387418371</v>
      </c>
      <c r="O191" s="155">
        <f t="shared" si="333"/>
        <v>100</v>
      </c>
      <c r="P191" s="250">
        <v>1</v>
      </c>
      <c r="Q191" s="250">
        <v>1000</v>
      </c>
      <c r="R191" s="148">
        <f t="shared" si="335"/>
        <v>15.951348387418371</v>
      </c>
      <c r="S191" s="148">
        <f t="shared" si="336"/>
        <v>1.5951348387418371</v>
      </c>
      <c r="T191" s="148">
        <f t="shared" si="337"/>
        <v>0.15951348387418371</v>
      </c>
      <c r="U191" s="148">
        <f t="shared" si="338"/>
        <v>15.951348387418372</v>
      </c>
      <c r="V191" s="7">
        <f t="shared" si="339"/>
        <v>1000</v>
      </c>
      <c r="W191" s="7">
        <f t="shared" si="340"/>
        <v>1000000</v>
      </c>
      <c r="X191" s="1345">
        <f t="shared" si="341"/>
        <v>159.51348387418372</v>
      </c>
      <c r="Y191" s="1345">
        <f t="shared" si="342"/>
        <v>15951.348387418373</v>
      </c>
    </row>
    <row r="192" spans="1:26" x14ac:dyDescent="0.2">
      <c r="A192" s="213" t="str">
        <f t="shared" ref="A192:B192" si="345">A472</f>
        <v>OMH</v>
      </c>
      <c r="B192" s="213" t="str">
        <f t="shared" si="345"/>
        <v>VSL206344</v>
      </c>
      <c r="C192" s="219">
        <f t="shared" si="321"/>
        <v>1002.36</v>
      </c>
      <c r="D192" s="219">
        <f t="shared" si="322"/>
        <v>0.92999999999999994</v>
      </c>
      <c r="E192" s="219">
        <f t="shared" si="323"/>
        <v>1003</v>
      </c>
      <c r="F192" s="219">
        <f t="shared" si="324"/>
        <v>1.2345679012345676</v>
      </c>
      <c r="G192" s="219">
        <f t="shared" si="325"/>
        <v>1</v>
      </c>
      <c r="H192" s="219">
        <f t="shared" si="326"/>
        <v>2.9999999999999996</v>
      </c>
      <c r="I192" s="155">
        <f t="shared" si="327"/>
        <v>0</v>
      </c>
      <c r="J192" s="155">
        <f t="shared" si="328"/>
        <v>0</v>
      </c>
      <c r="K192" s="155">
        <f t="shared" si="329"/>
        <v>2.4691358024691352</v>
      </c>
      <c r="L192" s="155">
        <f t="shared" si="330"/>
        <v>10</v>
      </c>
      <c r="M192" s="156">
        <f t="shared" si="331"/>
        <v>0.24633223616955338</v>
      </c>
      <c r="N192" s="157">
        <f t="shared" si="332"/>
        <v>2.4633223616955337E-2</v>
      </c>
      <c r="O192" s="155">
        <f t="shared" si="333"/>
        <v>100</v>
      </c>
      <c r="P192" s="250">
        <v>1</v>
      </c>
      <c r="Q192" s="250">
        <v>1000</v>
      </c>
      <c r="R192" s="148">
        <f t="shared" si="335"/>
        <v>2.4633223616955338</v>
      </c>
      <c r="S192" s="148">
        <f t="shared" si="336"/>
        <v>0.24633223616955338</v>
      </c>
      <c r="T192" s="148">
        <f t="shared" si="337"/>
        <v>2.4633223616955337E-2</v>
      </c>
      <c r="U192" s="148">
        <f t="shared" si="338"/>
        <v>2.4633223616955338</v>
      </c>
      <c r="V192" s="7">
        <f t="shared" si="339"/>
        <v>1000</v>
      </c>
      <c r="W192" s="7">
        <f t="shared" si="340"/>
        <v>1000000</v>
      </c>
      <c r="X192" s="1345">
        <f t="shared" si="341"/>
        <v>24.633223616955338</v>
      </c>
      <c r="Y192" s="1345">
        <f t="shared" si="342"/>
        <v>2463.3223616955338</v>
      </c>
    </row>
    <row r="193" spans="1:26" x14ac:dyDescent="0.2">
      <c r="A193" s="213" t="str">
        <f t="shared" ref="A193:B193" si="346">A473</f>
        <v>LNE</v>
      </c>
      <c r="B193" s="213" t="str">
        <f t="shared" si="346"/>
        <v>VSL202614</v>
      </c>
      <c r="C193" s="219">
        <f t="shared" si="321"/>
        <v>998.91</v>
      </c>
      <c r="D193" s="219">
        <f t="shared" si="322"/>
        <v>0.92999999999999994</v>
      </c>
      <c r="E193" s="219">
        <f t="shared" si="323"/>
        <v>1000</v>
      </c>
      <c r="F193" s="219">
        <f t="shared" si="324"/>
        <v>2.1</v>
      </c>
      <c r="G193" s="219">
        <f t="shared" si="325"/>
        <v>1</v>
      </c>
      <c r="H193" s="219">
        <f t="shared" si="326"/>
        <v>5</v>
      </c>
      <c r="I193" s="155">
        <f t="shared" si="327"/>
        <v>0</v>
      </c>
      <c r="J193" s="155">
        <f t="shared" si="328"/>
        <v>0</v>
      </c>
      <c r="K193" s="155">
        <f t="shared" si="329"/>
        <v>4.2</v>
      </c>
      <c r="L193" s="155">
        <f t="shared" si="330"/>
        <v>10</v>
      </c>
      <c r="M193" s="156">
        <f t="shared" si="331"/>
        <v>0.42045829954650571</v>
      </c>
      <c r="N193" s="157">
        <f t="shared" si="332"/>
        <v>4.2045829954650574E-2</v>
      </c>
      <c r="O193" s="155">
        <f t="shared" si="333"/>
        <v>100</v>
      </c>
      <c r="P193" s="250">
        <v>1</v>
      </c>
      <c r="Q193" s="250">
        <v>1000</v>
      </c>
      <c r="R193" s="148">
        <f t="shared" si="335"/>
        <v>4.2045829954650573</v>
      </c>
      <c r="S193" s="148">
        <f t="shared" si="336"/>
        <v>0.42045829954650571</v>
      </c>
      <c r="T193" s="148">
        <f t="shared" si="337"/>
        <v>4.2045829954650574E-2</v>
      </c>
      <c r="U193" s="148">
        <f t="shared" si="338"/>
        <v>4.2045829954650573</v>
      </c>
      <c r="V193" s="7">
        <f t="shared" si="339"/>
        <v>1000</v>
      </c>
      <c r="W193" s="7">
        <f t="shared" si="340"/>
        <v>1000000</v>
      </c>
      <c r="X193" s="1345">
        <f t="shared" si="341"/>
        <v>42.045829954650571</v>
      </c>
      <c r="Y193" s="1345">
        <f t="shared" si="342"/>
        <v>4204.5829954650571</v>
      </c>
    </row>
    <row r="194" spans="1:26" x14ac:dyDescent="0.2">
      <c r="A194" s="213" t="str">
        <f t="shared" ref="A194:B194" si="347">A474</f>
        <v>NMi VSL</v>
      </c>
      <c r="B194" s="213" t="str">
        <f t="shared" si="347"/>
        <v>VSL300636</v>
      </c>
      <c r="C194" s="219">
        <f t="shared" si="321"/>
        <v>998.8900000000001</v>
      </c>
      <c r="D194" s="219">
        <f t="shared" si="322"/>
        <v>0.92999999999999994</v>
      </c>
      <c r="E194" s="219">
        <f t="shared" si="323"/>
        <v>1000</v>
      </c>
      <c r="F194" s="219">
        <f t="shared" si="324"/>
        <v>2</v>
      </c>
      <c r="G194" s="219">
        <f t="shared" si="325"/>
        <v>1</v>
      </c>
      <c r="H194" s="219">
        <f t="shared" si="326"/>
        <v>4</v>
      </c>
      <c r="I194" s="155">
        <f t="shared" si="327"/>
        <v>0</v>
      </c>
      <c r="J194" s="155">
        <f t="shared" si="328"/>
        <v>0</v>
      </c>
      <c r="K194" s="155">
        <f t="shared" si="329"/>
        <v>4</v>
      </c>
      <c r="L194" s="155">
        <f t="shared" si="330"/>
        <v>10</v>
      </c>
      <c r="M194" s="156">
        <f t="shared" si="331"/>
        <v>0.40044449338766031</v>
      </c>
      <c r="N194" s="157">
        <f t="shared" si="332"/>
        <v>4.0044449338766032E-2</v>
      </c>
      <c r="O194" s="155">
        <f t="shared" si="333"/>
        <v>100</v>
      </c>
      <c r="P194" s="250">
        <v>1</v>
      </c>
      <c r="Q194" s="250">
        <v>1000</v>
      </c>
      <c r="R194" s="148">
        <f t="shared" si="335"/>
        <v>4.0044449338766031</v>
      </c>
      <c r="S194" s="148">
        <f t="shared" si="336"/>
        <v>0.40044449338766031</v>
      </c>
      <c r="T194" s="148">
        <f t="shared" si="337"/>
        <v>4.0044449338766032E-2</v>
      </c>
      <c r="U194" s="148">
        <f t="shared" si="338"/>
        <v>4.0044449338766031</v>
      </c>
      <c r="V194" s="7">
        <f t="shared" si="339"/>
        <v>1000</v>
      </c>
      <c r="W194" s="7">
        <f t="shared" si="340"/>
        <v>1000000</v>
      </c>
      <c r="X194" s="1345">
        <f t="shared" si="341"/>
        <v>40.044449338766029</v>
      </c>
      <c r="Y194" s="1345">
        <f t="shared" si="342"/>
        <v>4004.444933876603</v>
      </c>
    </row>
    <row r="195" spans="1:26" x14ac:dyDescent="0.2">
      <c r="A195" s="213" t="str">
        <f t="shared" ref="A195:B195" si="348">A475</f>
        <v>CENAM</v>
      </c>
      <c r="B195" s="213" t="str">
        <f t="shared" si="348"/>
        <v>VSL160258</v>
      </c>
      <c r="C195" s="219">
        <f t="shared" si="321"/>
        <v>1004.24</v>
      </c>
      <c r="D195" s="219">
        <f t="shared" si="322"/>
        <v>0.92999999999999994</v>
      </c>
      <c r="E195" s="219">
        <f t="shared" si="323"/>
        <v>1000</v>
      </c>
      <c r="F195" s="219">
        <f t="shared" si="324"/>
        <v>6.5</v>
      </c>
      <c r="G195" s="219">
        <f t="shared" si="325"/>
        <v>-4</v>
      </c>
      <c r="H195" s="219">
        <f t="shared" si="326"/>
        <v>13</v>
      </c>
      <c r="I195" s="155">
        <f t="shared" si="327"/>
        <v>0</v>
      </c>
      <c r="J195" s="155">
        <f t="shared" si="328"/>
        <v>0</v>
      </c>
      <c r="K195" s="155">
        <f t="shared" si="329"/>
        <v>13</v>
      </c>
      <c r="L195" s="155">
        <f t="shared" si="330"/>
        <v>10</v>
      </c>
      <c r="M195" s="156">
        <f t="shared" si="331"/>
        <v>1.2945112722058472</v>
      </c>
      <c r="N195" s="157">
        <f t="shared" si="332"/>
        <v>0.12945112722058472</v>
      </c>
      <c r="O195" s="155">
        <f t="shared" si="333"/>
        <v>100</v>
      </c>
      <c r="P195" s="250">
        <v>1</v>
      </c>
      <c r="Q195" s="250">
        <v>1000</v>
      </c>
      <c r="R195" s="148">
        <f t="shared" si="335"/>
        <v>12.945112722058472</v>
      </c>
      <c r="S195" s="148">
        <f t="shared" si="336"/>
        <v>1.2945112722058472</v>
      </c>
      <c r="T195" s="148">
        <f t="shared" si="337"/>
        <v>0.12945112722058472</v>
      </c>
      <c r="U195" s="148">
        <f t="shared" si="338"/>
        <v>12.945112722058473</v>
      </c>
      <c r="V195" s="7">
        <f t="shared" si="339"/>
        <v>1000</v>
      </c>
      <c r="W195" s="7">
        <f t="shared" si="340"/>
        <v>1000000</v>
      </c>
      <c r="X195" s="1345">
        <f t="shared" si="341"/>
        <v>129.45112722058471</v>
      </c>
      <c r="Y195" s="1345">
        <f t="shared" si="342"/>
        <v>12945.112722058473</v>
      </c>
    </row>
    <row r="196" spans="1:26" x14ac:dyDescent="0.2">
      <c r="A196" s="213" t="str">
        <f t="shared" ref="A196:B196" si="349">A476</f>
        <v>CEM</v>
      </c>
      <c r="B196" s="213" t="str">
        <f t="shared" si="349"/>
        <v>VSL202677</v>
      </c>
      <c r="C196" s="219">
        <f t="shared" si="321"/>
        <v>999.33999999999992</v>
      </c>
      <c r="D196" s="219">
        <f t="shared" si="322"/>
        <v>0.92999999999999994</v>
      </c>
      <c r="E196" s="219">
        <f t="shared" si="323"/>
        <v>999</v>
      </c>
      <c r="F196" s="219">
        <f t="shared" si="324"/>
        <v>7</v>
      </c>
      <c r="G196" s="219">
        <f t="shared" si="325"/>
        <v>0</v>
      </c>
      <c r="H196" s="219">
        <f t="shared" si="326"/>
        <v>14</v>
      </c>
      <c r="I196" s="155">
        <f t="shared" si="327"/>
        <v>0</v>
      </c>
      <c r="J196" s="155">
        <f t="shared" si="328"/>
        <v>0</v>
      </c>
      <c r="K196" s="155">
        <f t="shared" si="329"/>
        <v>14</v>
      </c>
      <c r="L196" s="155">
        <f t="shared" si="330"/>
        <v>10</v>
      </c>
      <c r="M196" s="156">
        <f t="shared" si="331"/>
        <v>1.4009246102427604</v>
      </c>
      <c r="N196" s="157">
        <f t="shared" si="332"/>
        <v>0.14009246102427603</v>
      </c>
      <c r="O196" s="155">
        <f t="shared" si="333"/>
        <v>100</v>
      </c>
      <c r="P196" s="250">
        <v>1</v>
      </c>
      <c r="Q196" s="250">
        <v>1000</v>
      </c>
      <c r="R196" s="148">
        <f t="shared" si="335"/>
        <v>14.009246102427603</v>
      </c>
      <c r="S196" s="148">
        <f t="shared" si="336"/>
        <v>1.4009246102427604</v>
      </c>
      <c r="T196" s="148">
        <f t="shared" si="337"/>
        <v>0.14009246102427603</v>
      </c>
      <c r="U196" s="148">
        <f t="shared" si="338"/>
        <v>14.009246102427603</v>
      </c>
      <c r="V196" s="7">
        <f t="shared" si="339"/>
        <v>1000</v>
      </c>
      <c r="W196" s="7">
        <f t="shared" si="340"/>
        <v>1000000</v>
      </c>
      <c r="X196" s="1345">
        <f t="shared" si="341"/>
        <v>140.09246102427602</v>
      </c>
      <c r="Y196" s="1345">
        <f t="shared" si="342"/>
        <v>14009.246102427604</v>
      </c>
    </row>
    <row r="197" spans="1:26" x14ac:dyDescent="0.2">
      <c r="A197" s="213" t="str">
        <f t="shared" ref="A197:B197" si="350">A477</f>
        <v>BAM</v>
      </c>
      <c r="B197" s="213" t="str">
        <f t="shared" si="350"/>
        <v>VSL205189</v>
      </c>
      <c r="C197" s="219">
        <f t="shared" si="321"/>
        <v>1002.5000000000001</v>
      </c>
      <c r="D197" s="219">
        <f t="shared" si="322"/>
        <v>0.92999999999999994</v>
      </c>
      <c r="E197" s="219">
        <f t="shared" si="323"/>
        <v>1000</v>
      </c>
      <c r="F197" s="219">
        <f t="shared" si="324"/>
        <v>4</v>
      </c>
      <c r="G197" s="219">
        <f t="shared" si="325"/>
        <v>-2</v>
      </c>
      <c r="H197" s="219">
        <f t="shared" si="326"/>
        <v>8</v>
      </c>
      <c r="I197" s="155">
        <f t="shared" si="327"/>
        <v>0</v>
      </c>
      <c r="J197" s="155">
        <f t="shared" si="328"/>
        <v>0</v>
      </c>
      <c r="K197" s="155">
        <f t="shared" si="329"/>
        <v>8</v>
      </c>
      <c r="L197" s="155">
        <f t="shared" si="330"/>
        <v>10</v>
      </c>
      <c r="M197" s="156">
        <f t="shared" si="331"/>
        <v>0.79800498753117199</v>
      </c>
      <c r="N197" s="157">
        <f t="shared" si="332"/>
        <v>7.9800498753117205E-2</v>
      </c>
      <c r="O197" s="155">
        <f t="shared" si="333"/>
        <v>100</v>
      </c>
      <c r="P197" s="250">
        <v>1</v>
      </c>
      <c r="Q197" s="250">
        <v>1000</v>
      </c>
      <c r="R197" s="148">
        <f t="shared" si="335"/>
        <v>7.9800498753117202</v>
      </c>
      <c r="S197" s="148">
        <f t="shared" si="336"/>
        <v>0.79800498753117199</v>
      </c>
      <c r="T197" s="148">
        <f t="shared" si="337"/>
        <v>7.9800498753117205E-2</v>
      </c>
      <c r="U197" s="148">
        <f t="shared" si="338"/>
        <v>7.9800498753117202</v>
      </c>
      <c r="V197" s="7">
        <f t="shared" si="339"/>
        <v>1000</v>
      </c>
      <c r="W197" s="7">
        <f t="shared" si="340"/>
        <v>1000000</v>
      </c>
      <c r="X197" s="1345">
        <f t="shared" si="341"/>
        <v>79.800498753117211</v>
      </c>
      <c r="Y197" s="1345">
        <f t="shared" si="342"/>
        <v>7980.0498753117199</v>
      </c>
    </row>
    <row r="198" spans="1:26" x14ac:dyDescent="0.2">
      <c r="A198" s="213" t="str">
        <f t="shared" ref="A198:B198" si="351">A478</f>
        <v>NMIA</v>
      </c>
      <c r="B198" s="213" t="str">
        <f t="shared" si="351"/>
        <v>VSL228583</v>
      </c>
      <c r="C198" s="219">
        <f t="shared" si="321"/>
        <v>999.18999999999994</v>
      </c>
      <c r="D198" s="219">
        <f t="shared" si="322"/>
        <v>0.92999999999999994</v>
      </c>
      <c r="E198" s="219">
        <f t="shared" si="323"/>
        <v>998</v>
      </c>
      <c r="F198" s="219">
        <f t="shared" si="324"/>
        <v>4.5871559633027523</v>
      </c>
      <c r="G198" s="219">
        <f t="shared" si="325"/>
        <v>-1</v>
      </c>
      <c r="H198" s="219">
        <f t="shared" si="326"/>
        <v>9</v>
      </c>
      <c r="I198" s="155">
        <f t="shared" si="327"/>
        <v>0</v>
      </c>
      <c r="J198" s="155">
        <f t="shared" si="328"/>
        <v>0</v>
      </c>
      <c r="K198" s="155">
        <f t="shared" si="329"/>
        <v>9.1743119266055047</v>
      </c>
      <c r="L198" s="155">
        <f t="shared" si="330"/>
        <v>10</v>
      </c>
      <c r="M198" s="156">
        <f t="shared" si="331"/>
        <v>0.91817491434116694</v>
      </c>
      <c r="N198" s="157">
        <f t="shared" si="332"/>
        <v>9.1817491434116702E-2</v>
      </c>
      <c r="O198" s="155">
        <f t="shared" si="333"/>
        <v>100</v>
      </c>
      <c r="P198" s="250">
        <v>1</v>
      </c>
      <c r="Q198" s="250">
        <v>1000</v>
      </c>
      <c r="R198" s="148">
        <f t="shared" si="335"/>
        <v>9.18174914341167</v>
      </c>
      <c r="S198" s="148">
        <f t="shared" si="336"/>
        <v>0.91817491434116694</v>
      </c>
      <c r="T198" s="148">
        <f t="shared" si="337"/>
        <v>9.1817491434116702E-2</v>
      </c>
      <c r="U198" s="148">
        <f t="shared" si="338"/>
        <v>9.18174914341167</v>
      </c>
      <c r="V198" s="7">
        <f t="shared" si="339"/>
        <v>1000</v>
      </c>
      <c r="W198" s="7">
        <f t="shared" si="340"/>
        <v>1000000</v>
      </c>
      <c r="X198" s="1345">
        <f t="shared" si="341"/>
        <v>91.817491434116704</v>
      </c>
      <c r="Y198" s="1345">
        <f t="shared" si="342"/>
        <v>9181.7491434116691</v>
      </c>
    </row>
    <row r="199" spans="1:26" x14ac:dyDescent="0.2">
      <c r="A199" s="213" t="str">
        <f t="shared" ref="A199:B199" si="352">A479</f>
        <v>IPQ</v>
      </c>
      <c r="B199" s="213" t="str">
        <f t="shared" si="352"/>
        <v>VSL220210</v>
      </c>
      <c r="C199" s="219">
        <f t="shared" si="321"/>
        <v>1004.8100000000001</v>
      </c>
      <c r="D199" s="219">
        <f t="shared" si="322"/>
        <v>0.92999999999999994</v>
      </c>
      <c r="E199" s="219">
        <f t="shared" si="323"/>
        <v>1003</v>
      </c>
      <c r="F199" s="219">
        <f t="shared" si="324"/>
        <v>7.5</v>
      </c>
      <c r="G199" s="219">
        <f t="shared" si="325"/>
        <v>-2</v>
      </c>
      <c r="H199" s="219">
        <f t="shared" si="326"/>
        <v>15</v>
      </c>
      <c r="I199" s="155">
        <f t="shared" si="327"/>
        <v>0</v>
      </c>
      <c r="J199" s="155">
        <f t="shared" si="328"/>
        <v>0</v>
      </c>
      <c r="K199" s="155">
        <f t="shared" si="329"/>
        <v>15</v>
      </c>
      <c r="L199" s="155">
        <f t="shared" si="330"/>
        <v>10</v>
      </c>
      <c r="M199" s="156">
        <f t="shared" si="331"/>
        <v>1.4928195380221136</v>
      </c>
      <c r="N199" s="157">
        <f t="shared" si="332"/>
        <v>0.14928195380221138</v>
      </c>
      <c r="O199" s="155">
        <f t="shared" si="333"/>
        <v>100</v>
      </c>
      <c r="P199" s="250">
        <v>1</v>
      </c>
      <c r="Q199" s="250">
        <v>1000</v>
      </c>
      <c r="R199" s="148">
        <f t="shared" si="335"/>
        <v>14.928195380221137</v>
      </c>
      <c r="S199" s="148">
        <f t="shared" si="336"/>
        <v>1.4928195380221136</v>
      </c>
      <c r="T199" s="148">
        <f t="shared" si="337"/>
        <v>0.14928195380221138</v>
      </c>
      <c r="U199" s="148">
        <f t="shared" si="338"/>
        <v>14.928195380221137</v>
      </c>
      <c r="V199" s="7">
        <f t="shared" si="339"/>
        <v>1000</v>
      </c>
      <c r="W199" s="7">
        <f t="shared" si="340"/>
        <v>1000000</v>
      </c>
      <c r="X199" s="1345">
        <f t="shared" si="341"/>
        <v>149.28195380221138</v>
      </c>
      <c r="Y199" s="1345">
        <f t="shared" si="342"/>
        <v>14928.195380221137</v>
      </c>
    </row>
    <row r="200" spans="1:26" x14ac:dyDescent="0.2">
      <c r="A200" s="213" t="str">
        <f t="shared" ref="A200:B200" si="353">A480</f>
        <v>INMETRO</v>
      </c>
      <c r="B200" s="213" t="str">
        <f t="shared" si="353"/>
        <v>VSL202750</v>
      </c>
      <c r="C200" s="219">
        <f t="shared" si="321"/>
        <v>999.23</v>
      </c>
      <c r="D200" s="219">
        <f t="shared" si="322"/>
        <v>0.92999999999999994</v>
      </c>
      <c r="E200" s="219">
        <f t="shared" si="323"/>
        <v>1021</v>
      </c>
      <c r="F200" s="219">
        <f t="shared" si="324"/>
        <v>15.5</v>
      </c>
      <c r="G200" s="219">
        <f t="shared" si="325"/>
        <v>22</v>
      </c>
      <c r="H200" s="219">
        <f t="shared" si="326"/>
        <v>31</v>
      </c>
      <c r="I200" s="155">
        <f t="shared" si="327"/>
        <v>0</v>
      </c>
      <c r="J200" s="155">
        <f t="shared" si="328"/>
        <v>0</v>
      </c>
      <c r="K200" s="155">
        <f t="shared" si="329"/>
        <v>31</v>
      </c>
      <c r="L200" s="155">
        <f t="shared" si="330"/>
        <v>10</v>
      </c>
      <c r="M200" s="156">
        <f t="shared" si="331"/>
        <v>3.1023888394063426</v>
      </c>
      <c r="N200" s="157">
        <f t="shared" si="332"/>
        <v>0.31023888394063426</v>
      </c>
      <c r="O200" s="155">
        <f t="shared" si="333"/>
        <v>100</v>
      </c>
      <c r="P200" s="250">
        <v>1</v>
      </c>
      <c r="Q200" s="250">
        <v>1000</v>
      </c>
      <c r="R200" s="148">
        <f t="shared" si="335"/>
        <v>31.023888394063427</v>
      </c>
      <c r="S200" s="148">
        <f t="shared" si="336"/>
        <v>3.1023888394063426</v>
      </c>
      <c r="T200" s="148">
        <f t="shared" si="337"/>
        <v>0.31023888394063426</v>
      </c>
      <c r="U200" s="148">
        <f t="shared" si="338"/>
        <v>31.023888394063423</v>
      </c>
      <c r="V200" s="7">
        <f t="shared" si="339"/>
        <v>1000</v>
      </c>
      <c r="W200" s="7">
        <f t="shared" si="340"/>
        <v>1000000</v>
      </c>
      <c r="X200" s="1345">
        <f t="shared" si="341"/>
        <v>310.23888394063425</v>
      </c>
      <c r="Y200" s="1345">
        <f t="shared" si="342"/>
        <v>31023.888394063422</v>
      </c>
    </row>
    <row r="201" spans="1:26" x14ac:dyDescent="0.2">
      <c r="A201" s="213" t="str">
        <f t="shared" ref="A201:B201" si="354">A481</f>
        <v>GUM</v>
      </c>
      <c r="B201" s="213" t="str">
        <f t="shared" si="354"/>
        <v>VSL223562</v>
      </c>
      <c r="C201" s="219">
        <f t="shared" si="321"/>
        <v>1002.47</v>
      </c>
      <c r="D201" s="219">
        <f t="shared" si="322"/>
        <v>0.92999999999999994</v>
      </c>
      <c r="E201" s="219">
        <f t="shared" si="323"/>
        <v>1005.0000000000001</v>
      </c>
      <c r="F201" s="219">
        <f t="shared" si="324"/>
        <v>5</v>
      </c>
      <c r="G201" s="219">
        <f t="shared" si="325"/>
        <v>2.9999999999999996</v>
      </c>
      <c r="H201" s="219">
        <f t="shared" si="326"/>
        <v>10</v>
      </c>
      <c r="I201" s="155">
        <f t="shared" si="327"/>
        <v>0</v>
      </c>
      <c r="J201" s="155">
        <f t="shared" si="328"/>
        <v>0</v>
      </c>
      <c r="K201" s="155">
        <f t="shared" si="329"/>
        <v>10</v>
      </c>
      <c r="L201" s="155">
        <f t="shared" si="330"/>
        <v>10</v>
      </c>
      <c r="M201" s="156">
        <f t="shared" si="331"/>
        <v>0.99753608586790632</v>
      </c>
      <c r="N201" s="157">
        <f t="shared" si="332"/>
        <v>9.9753608586790637E-2</v>
      </c>
      <c r="O201" s="155">
        <f t="shared" si="333"/>
        <v>100</v>
      </c>
      <c r="P201" s="250">
        <v>1</v>
      </c>
      <c r="Q201" s="250">
        <v>1000</v>
      </c>
      <c r="R201" s="148">
        <f t="shared" si="335"/>
        <v>9.9753608586790641</v>
      </c>
      <c r="S201" s="148">
        <f t="shared" si="336"/>
        <v>0.99753608586790632</v>
      </c>
      <c r="T201" s="148">
        <f t="shared" si="337"/>
        <v>9.9753608586790637E-2</v>
      </c>
      <c r="U201" s="148">
        <f t="shared" si="338"/>
        <v>9.9753608586790641</v>
      </c>
      <c r="V201" s="7">
        <f t="shared" si="339"/>
        <v>1000</v>
      </c>
      <c r="W201" s="7">
        <f t="shared" si="340"/>
        <v>1000000</v>
      </c>
      <c r="X201" s="1345">
        <f t="shared" si="341"/>
        <v>99.753608586790634</v>
      </c>
      <c r="Y201" s="1345">
        <f t="shared" si="342"/>
        <v>9975.3608586790633</v>
      </c>
    </row>
    <row r="202" spans="1:26" x14ac:dyDescent="0.2">
      <c r="A202" s="213" t="str">
        <f t="shared" ref="A202:B202" si="355">A482</f>
        <v>NRCCRM</v>
      </c>
      <c r="B202" s="213" t="str">
        <f t="shared" si="355"/>
        <v>VSL228668</v>
      </c>
      <c r="C202" s="219">
        <f t="shared" si="321"/>
        <v>1003.79</v>
      </c>
      <c r="D202" s="219">
        <f t="shared" si="322"/>
        <v>0.92999999999999994</v>
      </c>
      <c r="E202" s="219">
        <f t="shared" si="323"/>
        <v>1002</v>
      </c>
      <c r="F202" s="219">
        <f t="shared" si="324"/>
        <v>7.5</v>
      </c>
      <c r="G202" s="219">
        <f t="shared" si="325"/>
        <v>-2</v>
      </c>
      <c r="H202" s="219">
        <f t="shared" si="326"/>
        <v>15</v>
      </c>
      <c r="I202" s="155">
        <f t="shared" si="327"/>
        <v>0</v>
      </c>
      <c r="J202" s="155">
        <f t="shared" si="328"/>
        <v>0</v>
      </c>
      <c r="K202" s="155">
        <f t="shared" si="329"/>
        <v>15</v>
      </c>
      <c r="L202" s="155">
        <f t="shared" si="330"/>
        <v>10</v>
      </c>
      <c r="M202" s="156">
        <f t="shared" si="331"/>
        <v>1.4943364647984141</v>
      </c>
      <c r="N202" s="157">
        <f t="shared" si="332"/>
        <v>0.14943364647984139</v>
      </c>
      <c r="O202" s="155">
        <f t="shared" si="333"/>
        <v>100</v>
      </c>
      <c r="P202" s="250">
        <v>1</v>
      </c>
      <c r="Q202" s="250">
        <v>1000</v>
      </c>
      <c r="R202" s="148">
        <f t="shared" si="335"/>
        <v>14.94336464798414</v>
      </c>
      <c r="S202" s="148">
        <f t="shared" si="336"/>
        <v>1.4943364647984141</v>
      </c>
      <c r="T202" s="148">
        <f t="shared" si="337"/>
        <v>0.14943364647984139</v>
      </c>
      <c r="U202" s="148">
        <f t="shared" si="338"/>
        <v>14.94336464798414</v>
      </c>
      <c r="V202" s="7">
        <f t="shared" si="339"/>
        <v>1000</v>
      </c>
      <c r="W202" s="7">
        <f t="shared" si="340"/>
        <v>1000000</v>
      </c>
      <c r="X202" s="1345">
        <f t="shared" si="341"/>
        <v>149.4336464798414</v>
      </c>
      <c r="Y202" s="1345">
        <f t="shared" si="342"/>
        <v>14943.364647984141</v>
      </c>
    </row>
    <row r="203" spans="1:26" x14ac:dyDescent="0.2">
      <c r="A203" s="213" t="str">
        <f t="shared" ref="A203:B203" si="356">A483</f>
        <v>KRISS</v>
      </c>
      <c r="B203" s="213" t="str">
        <f t="shared" si="356"/>
        <v>VSL229332</v>
      </c>
      <c r="C203" s="219">
        <f t="shared" si="321"/>
        <v>1002.09</v>
      </c>
      <c r="D203" s="219">
        <f t="shared" si="322"/>
        <v>0.92999999999999994</v>
      </c>
      <c r="E203" s="219">
        <f t="shared" si="323"/>
        <v>1003</v>
      </c>
      <c r="F203" s="219">
        <f t="shared" si="324"/>
        <v>2.5</v>
      </c>
      <c r="G203" s="219">
        <f t="shared" si="325"/>
        <v>1</v>
      </c>
      <c r="H203" s="219">
        <f t="shared" si="326"/>
        <v>5</v>
      </c>
      <c r="I203" s="155">
        <f t="shared" si="327"/>
        <v>0</v>
      </c>
      <c r="J203" s="155">
        <f t="shared" si="328"/>
        <v>0</v>
      </c>
      <c r="K203" s="155">
        <f t="shared" si="329"/>
        <v>5</v>
      </c>
      <c r="L203" s="155">
        <f t="shared" si="330"/>
        <v>10</v>
      </c>
      <c r="M203" s="156">
        <f t="shared" si="331"/>
        <v>0.49895717949485574</v>
      </c>
      <c r="N203" s="157">
        <f t="shared" si="332"/>
        <v>4.9895717949485573E-2</v>
      </c>
      <c r="O203" s="155">
        <f t="shared" si="333"/>
        <v>100</v>
      </c>
      <c r="P203" s="250">
        <v>1</v>
      </c>
      <c r="Q203" s="250">
        <v>1000</v>
      </c>
      <c r="R203" s="148">
        <f t="shared" si="335"/>
        <v>4.9895717949485574</v>
      </c>
      <c r="S203" s="148">
        <f t="shared" si="336"/>
        <v>0.49895717949485574</v>
      </c>
      <c r="T203" s="148">
        <f t="shared" si="337"/>
        <v>4.9895717949485573E-2</v>
      </c>
      <c r="U203" s="148">
        <f t="shared" si="338"/>
        <v>4.9895717949485574</v>
      </c>
      <c r="V203" s="7">
        <f t="shared" si="339"/>
        <v>1000</v>
      </c>
      <c r="W203" s="7">
        <f t="shared" si="340"/>
        <v>1000000</v>
      </c>
      <c r="X203" s="1345">
        <f t="shared" si="341"/>
        <v>49.895717949485572</v>
      </c>
      <c r="Y203" s="1345">
        <f t="shared" si="342"/>
        <v>4989.571794948557</v>
      </c>
    </row>
    <row r="204" spans="1:26" ht="14.25" x14ac:dyDescent="0.2">
      <c r="H204" s="9"/>
      <c r="U204" s="152"/>
      <c r="V204" s="21"/>
      <c r="W204" s="21"/>
      <c r="X204" s="21"/>
      <c r="Y204" s="21"/>
      <c r="Z204" s="21"/>
    </row>
    <row r="205" spans="1:26" ht="15.75" x14ac:dyDescent="0.2">
      <c r="A205" s="103" t="str">
        <f>A485</f>
        <v>n-butane, mixture I</v>
      </c>
      <c r="B205" s="97"/>
      <c r="C205" s="97"/>
      <c r="D205" s="97"/>
      <c r="E205" s="97"/>
      <c r="F205" s="97"/>
      <c r="G205" s="97"/>
      <c r="H205" s="97"/>
      <c r="I205" s="113"/>
      <c r="J205" s="113"/>
      <c r="K205" s="113"/>
      <c r="L205" s="113"/>
      <c r="M205" s="113"/>
      <c r="N205" s="113"/>
      <c r="O205" s="113"/>
      <c r="R205" s="113"/>
      <c r="S205" s="113"/>
      <c r="T205" s="146"/>
      <c r="U205" s="146"/>
    </row>
    <row r="206" spans="1:26" ht="102" x14ac:dyDescent="0.2">
      <c r="A206" s="211" t="s">
        <v>0</v>
      </c>
      <c r="B206" s="212" t="s">
        <v>1</v>
      </c>
      <c r="C206" s="212" t="s">
        <v>133</v>
      </c>
      <c r="D206" s="212" t="s">
        <v>199</v>
      </c>
      <c r="E206" s="212" t="s">
        <v>135</v>
      </c>
      <c r="F206" s="212" t="s">
        <v>200</v>
      </c>
      <c r="G206" s="212" t="s">
        <v>137</v>
      </c>
      <c r="H206" s="212" t="s">
        <v>201</v>
      </c>
      <c r="I206" s="104" t="s">
        <v>8</v>
      </c>
      <c r="J206" s="104" t="s">
        <v>9</v>
      </c>
      <c r="K206" s="104" t="s">
        <v>107</v>
      </c>
      <c r="L206" s="104" t="s">
        <v>14</v>
      </c>
      <c r="M206" s="104" t="s">
        <v>1057</v>
      </c>
      <c r="N206" s="104" t="s">
        <v>1058</v>
      </c>
      <c r="O206" s="104" t="s">
        <v>100</v>
      </c>
      <c r="P206" s="6" t="s">
        <v>105</v>
      </c>
      <c r="Q206" s="6" t="s">
        <v>106</v>
      </c>
      <c r="R206" s="104" t="s">
        <v>1051</v>
      </c>
      <c r="S206" s="104" t="s">
        <v>1052</v>
      </c>
      <c r="T206" s="147" t="s">
        <v>1053</v>
      </c>
      <c r="U206" s="147" t="s">
        <v>1054</v>
      </c>
      <c r="V206" s="5" t="s">
        <v>101</v>
      </c>
      <c r="W206" s="5" t="s">
        <v>102</v>
      </c>
      <c r="X206" s="112" t="s">
        <v>1055</v>
      </c>
      <c r="Y206" s="112" t="s">
        <v>1056</v>
      </c>
    </row>
    <row r="207" spans="1:26" x14ac:dyDescent="0.2">
      <c r="A207" s="213" t="str">
        <f>A487</f>
        <v>NPL</v>
      </c>
      <c r="B207" s="213" t="str">
        <f>B487</f>
        <v>VSL202748</v>
      </c>
      <c r="C207" s="219">
        <f t="shared" ref="C207:C222" si="357">C487*10000</f>
        <v>1994.06</v>
      </c>
      <c r="D207" s="219">
        <f t="shared" ref="D207:D222" si="358">F487*10000</f>
        <v>1.81</v>
      </c>
      <c r="E207" s="219">
        <f t="shared" ref="E207:E222" si="359">G487*10000</f>
        <v>1989.1000000000001</v>
      </c>
      <c r="F207" s="219">
        <f t="shared" ref="F207:F222" si="360">H487/I487*10000</f>
        <v>2.9999999999999996</v>
      </c>
      <c r="G207" s="219">
        <f t="shared" ref="G207:G222" si="361">J487*10000</f>
        <v>-5</v>
      </c>
      <c r="H207" s="219">
        <f t="shared" ref="H207:H222" si="362">L487*10000</f>
        <v>7</v>
      </c>
      <c r="I207" s="155">
        <f t="shared" ref="I207:I222" si="363">IF(ABS(G207)&gt;ABS(H207), 1, 0)</f>
        <v>0</v>
      </c>
      <c r="J207" s="155">
        <f t="shared" ref="J207:J222" si="364">I207*ABS(C207-E207)</f>
        <v>0</v>
      </c>
      <c r="K207" s="155">
        <f t="shared" ref="K207:K222" si="365">SQRT(SUMSQ(F207,J207))*2</f>
        <v>5.9999999999999991</v>
      </c>
      <c r="L207" s="155">
        <f t="shared" ref="L207:L222" si="366">IF(C207&lt;$K$2, C207, $K$1)</f>
        <v>10</v>
      </c>
      <c r="M207" s="156">
        <f t="shared" ref="M207:M222" si="367">IF(AND(C207&lt;$K$1,C207&gt; $K$2), K207/L207*100, K207/C207*100)</f>
        <v>0.30089365415283387</v>
      </c>
      <c r="N207" s="157">
        <f t="shared" ref="N207:N222" si="368">M207*L207/100</f>
        <v>3.0089365415283387E-2</v>
      </c>
      <c r="O207" s="155">
        <f t="shared" ref="O207:O222" si="369">N207/(M207*L207/100)*100</f>
        <v>100</v>
      </c>
      <c r="P207" s="250">
        <v>1</v>
      </c>
      <c r="Q207" s="250">
        <v>1000</v>
      </c>
      <c r="R207" s="148">
        <f>IF( IF(P207&lt;L207, M207*L207/P207, M207)&gt;100, "ERROR",  IF(P207&lt;L207, M207*L207/P207, M207))</f>
        <v>3.0089365415283389</v>
      </c>
      <c r="S207" s="148">
        <f>IF(IF(Q207&lt;L207, M207*L207/Q207, M207)&gt;100, "ERROR", IF(Q207&lt;L207, M207*L207/Q207, M207))</f>
        <v>0.30089365415283387</v>
      </c>
      <c r="T207" s="148">
        <f>R207*P207*0.01</f>
        <v>3.0089365415283391E-2</v>
      </c>
      <c r="U207" s="148">
        <f>S207*Q207*0.01</f>
        <v>3.0089365415283384</v>
      </c>
      <c r="V207" s="7">
        <f>P207*1000</f>
        <v>1000</v>
      </c>
      <c r="W207" s="7">
        <f>Q207*1000</f>
        <v>1000000</v>
      </c>
      <c r="X207" s="1345">
        <f>T207*1000</f>
        <v>30.089365415283392</v>
      </c>
      <c r="Y207" s="1345">
        <f>U207*1000</f>
        <v>3008.9365415283382</v>
      </c>
    </row>
    <row r="208" spans="1:26" x14ac:dyDescent="0.2">
      <c r="A208" s="213" t="str">
        <f t="shared" ref="A208:B208" si="370">A488</f>
        <v>SMU</v>
      </c>
      <c r="B208" s="213" t="str">
        <f t="shared" si="370"/>
        <v>VSL100039</v>
      </c>
      <c r="C208" s="219">
        <f t="shared" si="357"/>
        <v>1988.6100000000001</v>
      </c>
      <c r="D208" s="219">
        <f t="shared" si="358"/>
        <v>1.21</v>
      </c>
      <c r="E208" s="219">
        <f t="shared" si="359"/>
        <v>1988.3</v>
      </c>
      <c r="F208" s="219">
        <f t="shared" si="360"/>
        <v>4</v>
      </c>
      <c r="G208" s="219">
        <f t="shared" si="361"/>
        <v>0</v>
      </c>
      <c r="H208" s="219">
        <f t="shared" si="362"/>
        <v>8</v>
      </c>
      <c r="I208" s="155">
        <f t="shared" si="363"/>
        <v>0</v>
      </c>
      <c r="J208" s="155">
        <f t="shared" si="364"/>
        <v>0</v>
      </c>
      <c r="K208" s="155">
        <f t="shared" si="365"/>
        <v>8</v>
      </c>
      <c r="L208" s="155">
        <f t="shared" si="366"/>
        <v>10</v>
      </c>
      <c r="M208" s="156">
        <f t="shared" si="367"/>
        <v>0.4022910475156013</v>
      </c>
      <c r="N208" s="157">
        <f t="shared" si="368"/>
        <v>4.0229104751560128E-2</v>
      </c>
      <c r="O208" s="155">
        <f t="shared" si="369"/>
        <v>100</v>
      </c>
      <c r="P208" s="250">
        <v>1</v>
      </c>
      <c r="Q208" s="250">
        <v>1000</v>
      </c>
      <c r="R208" s="148">
        <f t="shared" ref="R208:R222" si="371">IF( IF(P208&lt;L208, M208*L208/P208, M208)&gt;100, "ERROR",  IF(P208&lt;L208, M208*L208/P208, M208))</f>
        <v>4.0229104751560127</v>
      </c>
      <c r="S208" s="148">
        <f t="shared" ref="S208:S222" si="372">IF(IF(Q208&lt;L208, M208*L208/Q208, M208)&gt;100, "ERROR", IF(Q208&lt;L208, M208*L208/Q208, M208))</f>
        <v>0.4022910475156013</v>
      </c>
      <c r="T208" s="148">
        <f t="shared" ref="T208:T222" si="373">R208*P208*0.01</f>
        <v>4.0229104751560128E-2</v>
      </c>
      <c r="U208" s="148">
        <f t="shared" ref="U208:U222" si="374">S208*Q208*0.01</f>
        <v>4.0229104751560127</v>
      </c>
      <c r="V208" s="7">
        <f t="shared" ref="V208:V222" si="375">P208*1000</f>
        <v>1000</v>
      </c>
      <c r="W208" s="7">
        <f t="shared" ref="W208:W222" si="376">Q208*1000</f>
        <v>1000000</v>
      </c>
      <c r="X208" s="1345">
        <f t="shared" ref="X208:X222" si="377">T208*1000</f>
        <v>40.229104751560129</v>
      </c>
      <c r="Y208" s="1345">
        <f t="shared" ref="Y208:Y222" si="378">U208*1000</f>
        <v>4022.9104751560126</v>
      </c>
    </row>
    <row r="209" spans="1:26" x14ac:dyDescent="0.2">
      <c r="A209" s="213" t="str">
        <f t="shared" ref="A209:B209" si="379">A489</f>
        <v>CMI</v>
      </c>
      <c r="B209" s="213" t="str">
        <f t="shared" si="379"/>
        <v>VSL100059</v>
      </c>
      <c r="C209" s="219">
        <f t="shared" si="357"/>
        <v>1990.04</v>
      </c>
      <c r="D209" s="219">
        <f t="shared" si="358"/>
        <v>1.21</v>
      </c>
      <c r="E209" s="219">
        <f t="shared" si="359"/>
        <v>2039.9999999999998</v>
      </c>
      <c r="F209" s="219">
        <f t="shared" si="360"/>
        <v>50</v>
      </c>
      <c r="G209" s="219">
        <f t="shared" si="361"/>
        <v>50</v>
      </c>
      <c r="H209" s="219">
        <f t="shared" si="362"/>
        <v>100</v>
      </c>
      <c r="I209" s="155">
        <f t="shared" si="363"/>
        <v>0</v>
      </c>
      <c r="J209" s="155">
        <f t="shared" si="364"/>
        <v>0</v>
      </c>
      <c r="K209" s="155">
        <f t="shared" si="365"/>
        <v>100</v>
      </c>
      <c r="L209" s="155">
        <f t="shared" si="366"/>
        <v>10</v>
      </c>
      <c r="M209" s="156">
        <f t="shared" si="367"/>
        <v>5.0250246226206512</v>
      </c>
      <c r="N209" s="157">
        <f t="shared" si="368"/>
        <v>0.50250246226206519</v>
      </c>
      <c r="O209" s="155">
        <f t="shared" si="369"/>
        <v>100</v>
      </c>
      <c r="P209" s="250">
        <v>1</v>
      </c>
      <c r="Q209" s="250">
        <v>1000</v>
      </c>
      <c r="R209" s="148">
        <f t="shared" si="371"/>
        <v>50.250246226206514</v>
      </c>
      <c r="S209" s="148">
        <f t="shared" si="372"/>
        <v>5.0250246226206512</v>
      </c>
      <c r="T209" s="148">
        <f t="shared" si="373"/>
        <v>0.50250246226206519</v>
      </c>
      <c r="U209" s="148">
        <f t="shared" si="374"/>
        <v>50.250246226206514</v>
      </c>
      <c r="V209" s="7">
        <f t="shared" si="375"/>
        <v>1000</v>
      </c>
      <c r="W209" s="7">
        <f t="shared" si="376"/>
        <v>1000000</v>
      </c>
      <c r="X209" s="1345">
        <f t="shared" si="377"/>
        <v>502.50246226206519</v>
      </c>
      <c r="Y209" s="1345">
        <f t="shared" si="378"/>
        <v>50250.246226206516</v>
      </c>
    </row>
    <row r="210" spans="1:26" x14ac:dyDescent="0.2">
      <c r="A210" s="213" t="str">
        <f t="shared" ref="A210:B210" si="380">A490</f>
        <v>VNIIM</v>
      </c>
      <c r="B210" s="213" t="str">
        <f t="shared" si="380"/>
        <v>VSL126708</v>
      </c>
      <c r="C210" s="219">
        <f t="shared" si="357"/>
        <v>1986.92</v>
      </c>
      <c r="D210" s="219">
        <f t="shared" si="358"/>
        <v>1.2</v>
      </c>
      <c r="E210" s="219">
        <f t="shared" si="359"/>
        <v>1981.9999999999998</v>
      </c>
      <c r="F210" s="219">
        <f t="shared" si="360"/>
        <v>8</v>
      </c>
      <c r="G210" s="219">
        <f t="shared" si="361"/>
        <v>-5</v>
      </c>
      <c r="H210" s="219">
        <f t="shared" si="362"/>
        <v>16</v>
      </c>
      <c r="I210" s="155">
        <f t="shared" si="363"/>
        <v>0</v>
      </c>
      <c r="J210" s="155">
        <f t="shared" si="364"/>
        <v>0</v>
      </c>
      <c r="K210" s="155">
        <f t="shared" si="365"/>
        <v>16</v>
      </c>
      <c r="L210" s="155">
        <f t="shared" si="366"/>
        <v>10</v>
      </c>
      <c r="M210" s="156">
        <f t="shared" si="367"/>
        <v>0.80526644253417357</v>
      </c>
      <c r="N210" s="157">
        <f t="shared" si="368"/>
        <v>8.0526644253417351E-2</v>
      </c>
      <c r="O210" s="155">
        <f t="shared" si="369"/>
        <v>100</v>
      </c>
      <c r="P210" s="250">
        <v>1</v>
      </c>
      <c r="Q210" s="250">
        <v>1000</v>
      </c>
      <c r="R210" s="148">
        <f t="shared" si="371"/>
        <v>8.0526644253417352</v>
      </c>
      <c r="S210" s="148">
        <f t="shared" si="372"/>
        <v>0.80526644253417357</v>
      </c>
      <c r="T210" s="148">
        <f t="shared" si="373"/>
        <v>8.0526644253417351E-2</v>
      </c>
      <c r="U210" s="148">
        <f t="shared" si="374"/>
        <v>8.052664425341737</v>
      </c>
      <c r="V210" s="7">
        <f t="shared" si="375"/>
        <v>1000</v>
      </c>
      <c r="W210" s="7">
        <f t="shared" si="376"/>
        <v>1000000</v>
      </c>
      <c r="X210" s="1345">
        <f t="shared" si="377"/>
        <v>80.526644253417345</v>
      </c>
      <c r="Y210" s="1345">
        <f t="shared" si="378"/>
        <v>8052.6644253417371</v>
      </c>
    </row>
    <row r="211" spans="1:26" x14ac:dyDescent="0.2">
      <c r="A211" s="213" t="str">
        <f t="shared" ref="A211:B211" si="381">A491</f>
        <v>OMH</v>
      </c>
      <c r="B211" s="213" t="str">
        <f t="shared" si="381"/>
        <v>VSL100051</v>
      </c>
      <c r="C211" s="219">
        <f t="shared" si="357"/>
        <v>1986.22</v>
      </c>
      <c r="D211" s="219">
        <f t="shared" si="358"/>
        <v>1.21</v>
      </c>
      <c r="E211" s="219">
        <f t="shared" si="359"/>
        <v>1988</v>
      </c>
      <c r="F211" s="219">
        <f t="shared" si="360"/>
        <v>2.8806584362139915</v>
      </c>
      <c r="G211" s="219">
        <f t="shared" si="361"/>
        <v>2</v>
      </c>
      <c r="H211" s="219">
        <f t="shared" si="362"/>
        <v>5.9999999999999991</v>
      </c>
      <c r="I211" s="155">
        <f t="shared" si="363"/>
        <v>0</v>
      </c>
      <c r="J211" s="155">
        <f t="shared" si="364"/>
        <v>0</v>
      </c>
      <c r="K211" s="155">
        <f t="shared" si="365"/>
        <v>5.7613168724279831</v>
      </c>
      <c r="L211" s="155">
        <f t="shared" si="366"/>
        <v>10</v>
      </c>
      <c r="M211" s="156">
        <f t="shared" si="367"/>
        <v>0.29006438724954853</v>
      </c>
      <c r="N211" s="157">
        <f t="shared" si="368"/>
        <v>2.9006438724954852E-2</v>
      </c>
      <c r="O211" s="155">
        <f t="shared" si="369"/>
        <v>100</v>
      </c>
      <c r="P211" s="250">
        <v>1</v>
      </c>
      <c r="Q211" s="250">
        <v>1000</v>
      </c>
      <c r="R211" s="148">
        <f t="shared" si="371"/>
        <v>2.9006438724954853</v>
      </c>
      <c r="S211" s="148">
        <f t="shared" si="372"/>
        <v>0.29006438724954853</v>
      </c>
      <c r="T211" s="148">
        <f t="shared" si="373"/>
        <v>2.9006438724954852E-2</v>
      </c>
      <c r="U211" s="148">
        <f t="shared" si="374"/>
        <v>2.9006438724954853</v>
      </c>
      <c r="V211" s="7">
        <f t="shared" si="375"/>
        <v>1000</v>
      </c>
      <c r="W211" s="7">
        <f t="shared" si="376"/>
        <v>1000000</v>
      </c>
      <c r="X211" s="1345">
        <f t="shared" si="377"/>
        <v>29.006438724954851</v>
      </c>
      <c r="Y211" s="1345">
        <f t="shared" si="378"/>
        <v>2900.6438724954851</v>
      </c>
    </row>
    <row r="212" spans="1:26" x14ac:dyDescent="0.2">
      <c r="A212" s="213" t="str">
        <f t="shared" ref="A212:B212" si="382">A492</f>
        <v>LNE</v>
      </c>
      <c r="B212" s="213" t="str">
        <f t="shared" si="382"/>
        <v>VSL124466</v>
      </c>
      <c r="C212" s="219">
        <f t="shared" si="357"/>
        <v>1981.33</v>
      </c>
      <c r="D212" s="219">
        <f t="shared" si="358"/>
        <v>1.2</v>
      </c>
      <c r="E212" s="219">
        <f t="shared" si="359"/>
        <v>1976</v>
      </c>
      <c r="F212" s="219">
        <f t="shared" si="360"/>
        <v>3.65</v>
      </c>
      <c r="G212" s="219">
        <f t="shared" si="361"/>
        <v>-5</v>
      </c>
      <c r="H212" s="219">
        <f t="shared" si="362"/>
        <v>8</v>
      </c>
      <c r="I212" s="155">
        <f t="shared" si="363"/>
        <v>0</v>
      </c>
      <c r="J212" s="155">
        <f t="shared" si="364"/>
        <v>0</v>
      </c>
      <c r="K212" s="155">
        <f t="shared" si="365"/>
        <v>7.3</v>
      </c>
      <c r="L212" s="155">
        <f t="shared" si="366"/>
        <v>10</v>
      </c>
      <c r="M212" s="156">
        <f t="shared" si="367"/>
        <v>0.36843938162749262</v>
      </c>
      <c r="N212" s="157">
        <f t="shared" si="368"/>
        <v>3.6843938162749265E-2</v>
      </c>
      <c r="O212" s="155">
        <f t="shared" si="369"/>
        <v>100</v>
      </c>
      <c r="P212" s="250">
        <v>1</v>
      </c>
      <c r="Q212" s="250">
        <v>1000</v>
      </c>
      <c r="R212" s="148">
        <f t="shared" si="371"/>
        <v>3.6843938162749263</v>
      </c>
      <c r="S212" s="148">
        <f t="shared" si="372"/>
        <v>0.36843938162749262</v>
      </c>
      <c r="T212" s="148">
        <f t="shared" si="373"/>
        <v>3.6843938162749265E-2</v>
      </c>
      <c r="U212" s="148">
        <f t="shared" si="374"/>
        <v>3.6843938162749268</v>
      </c>
      <c r="V212" s="7">
        <f t="shared" si="375"/>
        <v>1000</v>
      </c>
      <c r="W212" s="7">
        <f t="shared" si="376"/>
        <v>1000000</v>
      </c>
      <c r="X212" s="1345">
        <f t="shared" si="377"/>
        <v>36.843938162749268</v>
      </c>
      <c r="Y212" s="1345">
        <f t="shared" si="378"/>
        <v>3684.3938162749268</v>
      </c>
    </row>
    <row r="213" spans="1:26" x14ac:dyDescent="0.2">
      <c r="A213" s="213" t="str">
        <f t="shared" ref="A213:B213" si="383">A493</f>
        <v>NMi VSL</v>
      </c>
      <c r="B213" s="213" t="str">
        <f t="shared" si="383"/>
        <v>VSL226686</v>
      </c>
      <c r="C213" s="219">
        <f t="shared" si="357"/>
        <v>1990.7</v>
      </c>
      <c r="D213" s="219">
        <f t="shared" si="358"/>
        <v>1.81</v>
      </c>
      <c r="E213" s="219">
        <f t="shared" si="359"/>
        <v>1993</v>
      </c>
      <c r="F213" s="219">
        <f t="shared" si="360"/>
        <v>2.5</v>
      </c>
      <c r="G213" s="219">
        <f t="shared" si="361"/>
        <v>2</v>
      </c>
      <c r="H213" s="219">
        <f t="shared" si="362"/>
        <v>5.9999999999999991</v>
      </c>
      <c r="I213" s="155">
        <f t="shared" si="363"/>
        <v>0</v>
      </c>
      <c r="J213" s="155">
        <f t="shared" si="364"/>
        <v>0</v>
      </c>
      <c r="K213" s="155">
        <f t="shared" si="365"/>
        <v>5</v>
      </c>
      <c r="L213" s="155">
        <f t="shared" si="366"/>
        <v>10</v>
      </c>
      <c r="M213" s="156">
        <f t="shared" si="367"/>
        <v>0.25116793087858541</v>
      </c>
      <c r="N213" s="157">
        <f t="shared" si="368"/>
        <v>2.5116793087858542E-2</v>
      </c>
      <c r="O213" s="155">
        <f t="shared" si="369"/>
        <v>100</v>
      </c>
      <c r="P213" s="250">
        <v>1</v>
      </c>
      <c r="Q213" s="250">
        <v>1000</v>
      </c>
      <c r="R213" s="148">
        <f t="shared" si="371"/>
        <v>2.5116793087858542</v>
      </c>
      <c r="S213" s="148">
        <f t="shared" si="372"/>
        <v>0.25116793087858541</v>
      </c>
      <c r="T213" s="148">
        <f t="shared" si="373"/>
        <v>2.5116793087858542E-2</v>
      </c>
      <c r="U213" s="148">
        <f t="shared" si="374"/>
        <v>2.5116793087858542</v>
      </c>
      <c r="V213" s="7">
        <f t="shared" si="375"/>
        <v>1000</v>
      </c>
      <c r="W213" s="7">
        <f t="shared" si="376"/>
        <v>1000000</v>
      </c>
      <c r="X213" s="1345">
        <f t="shared" si="377"/>
        <v>25.116793087858543</v>
      </c>
      <c r="Y213" s="1345">
        <f t="shared" si="378"/>
        <v>2511.6793087858541</v>
      </c>
    </row>
    <row r="214" spans="1:26" x14ac:dyDescent="0.2">
      <c r="A214" s="213" t="str">
        <f t="shared" ref="A214:B214" si="384">A494</f>
        <v>CENAM</v>
      </c>
      <c r="B214" s="213" t="str">
        <f t="shared" si="384"/>
        <v>VSL126717</v>
      </c>
      <c r="C214" s="219">
        <f t="shared" si="357"/>
        <v>1986.32</v>
      </c>
      <c r="D214" s="219">
        <f t="shared" si="358"/>
        <v>1.2</v>
      </c>
      <c r="E214" s="219">
        <f t="shared" si="359"/>
        <v>1990</v>
      </c>
      <c r="F214" s="219">
        <f t="shared" si="360"/>
        <v>8.5</v>
      </c>
      <c r="G214" s="219">
        <f t="shared" si="361"/>
        <v>4</v>
      </c>
      <c r="H214" s="219">
        <f t="shared" si="362"/>
        <v>17</v>
      </c>
      <c r="I214" s="155">
        <f t="shared" si="363"/>
        <v>0</v>
      </c>
      <c r="J214" s="155">
        <f t="shared" si="364"/>
        <v>0</v>
      </c>
      <c r="K214" s="155">
        <f t="shared" si="365"/>
        <v>17</v>
      </c>
      <c r="L214" s="155">
        <f t="shared" si="366"/>
        <v>10</v>
      </c>
      <c r="M214" s="156">
        <f t="shared" si="367"/>
        <v>0.85585404164485079</v>
      </c>
      <c r="N214" s="157">
        <f t="shared" si="368"/>
        <v>8.5585404164485082E-2</v>
      </c>
      <c r="O214" s="155">
        <f t="shared" si="369"/>
        <v>100</v>
      </c>
      <c r="P214" s="250">
        <v>1</v>
      </c>
      <c r="Q214" s="250">
        <v>1000</v>
      </c>
      <c r="R214" s="148">
        <f t="shared" si="371"/>
        <v>8.5585404164485084</v>
      </c>
      <c r="S214" s="148">
        <f t="shared" si="372"/>
        <v>0.85585404164485079</v>
      </c>
      <c r="T214" s="148">
        <f t="shared" si="373"/>
        <v>8.5585404164485082E-2</v>
      </c>
      <c r="U214" s="148">
        <f t="shared" si="374"/>
        <v>8.5585404164485084</v>
      </c>
      <c r="V214" s="7">
        <f t="shared" si="375"/>
        <v>1000</v>
      </c>
      <c r="W214" s="7">
        <f t="shared" si="376"/>
        <v>1000000</v>
      </c>
      <c r="X214" s="1345">
        <f t="shared" si="377"/>
        <v>85.585404164485084</v>
      </c>
      <c r="Y214" s="1345">
        <f t="shared" si="378"/>
        <v>8558.540416448508</v>
      </c>
    </row>
    <row r="215" spans="1:26" x14ac:dyDescent="0.2">
      <c r="A215" s="213" t="str">
        <f t="shared" ref="A215:B215" si="385">A495</f>
        <v>CEM</v>
      </c>
      <c r="B215" s="213" t="str">
        <f t="shared" si="385"/>
        <v>VSL100066</v>
      </c>
      <c r="C215" s="219">
        <f t="shared" si="357"/>
        <v>1987.85</v>
      </c>
      <c r="D215" s="219">
        <f t="shared" si="358"/>
        <v>1.21</v>
      </c>
      <c r="E215" s="219">
        <f t="shared" si="359"/>
        <v>1986.9999999999998</v>
      </c>
      <c r="F215" s="219">
        <f t="shared" si="360"/>
        <v>5.9999999999999991</v>
      </c>
      <c r="G215" s="219">
        <f t="shared" si="361"/>
        <v>-1</v>
      </c>
      <c r="H215" s="219">
        <f t="shared" si="362"/>
        <v>11.999999999999998</v>
      </c>
      <c r="I215" s="155">
        <f t="shared" si="363"/>
        <v>0</v>
      </c>
      <c r="J215" s="155">
        <f t="shared" si="364"/>
        <v>0</v>
      </c>
      <c r="K215" s="155">
        <f t="shared" si="365"/>
        <v>11.999999999999998</v>
      </c>
      <c r="L215" s="155">
        <f t="shared" si="366"/>
        <v>10</v>
      </c>
      <c r="M215" s="156">
        <f t="shared" si="367"/>
        <v>0.60366727871821313</v>
      </c>
      <c r="N215" s="157">
        <f t="shared" si="368"/>
        <v>6.0366727871821312E-2</v>
      </c>
      <c r="O215" s="155">
        <f t="shared" si="369"/>
        <v>100</v>
      </c>
      <c r="P215" s="250">
        <v>1</v>
      </c>
      <c r="Q215" s="250">
        <v>1000</v>
      </c>
      <c r="R215" s="148">
        <f t="shared" si="371"/>
        <v>6.0366727871821313</v>
      </c>
      <c r="S215" s="148">
        <f t="shared" si="372"/>
        <v>0.60366727871821313</v>
      </c>
      <c r="T215" s="148">
        <f t="shared" si="373"/>
        <v>6.0366727871821312E-2</v>
      </c>
      <c r="U215" s="148">
        <f t="shared" si="374"/>
        <v>6.0366727871821313</v>
      </c>
      <c r="V215" s="7">
        <f t="shared" si="375"/>
        <v>1000</v>
      </c>
      <c r="W215" s="7">
        <f t="shared" si="376"/>
        <v>1000000</v>
      </c>
      <c r="X215" s="1345">
        <f t="shared" si="377"/>
        <v>60.366727871821311</v>
      </c>
      <c r="Y215" s="1345">
        <f t="shared" si="378"/>
        <v>6036.6727871821313</v>
      </c>
    </row>
    <row r="216" spans="1:26" x14ac:dyDescent="0.2">
      <c r="A216" s="213" t="str">
        <f t="shared" ref="A216:B216" si="386">A496</f>
        <v>BAM</v>
      </c>
      <c r="B216" s="213" t="str">
        <f t="shared" si="386"/>
        <v>VSL100042</v>
      </c>
      <c r="C216" s="219">
        <f t="shared" si="357"/>
        <v>1967.58</v>
      </c>
      <c r="D216" s="219">
        <f t="shared" si="358"/>
        <v>1.1900000000000002</v>
      </c>
      <c r="E216" s="219">
        <f t="shared" si="359"/>
        <v>1967.0000000000002</v>
      </c>
      <c r="F216" s="219">
        <f t="shared" si="360"/>
        <v>7.85</v>
      </c>
      <c r="G216" s="219">
        <f t="shared" si="361"/>
        <v>-1</v>
      </c>
      <c r="H216" s="219">
        <f t="shared" si="362"/>
        <v>16</v>
      </c>
      <c r="I216" s="155">
        <f t="shared" si="363"/>
        <v>0</v>
      </c>
      <c r="J216" s="155">
        <f t="shared" si="364"/>
        <v>0</v>
      </c>
      <c r="K216" s="155">
        <f t="shared" si="365"/>
        <v>15.7</v>
      </c>
      <c r="L216" s="155">
        <f t="shared" si="366"/>
        <v>10</v>
      </c>
      <c r="M216" s="156">
        <f t="shared" si="367"/>
        <v>0.79793451854562458</v>
      </c>
      <c r="N216" s="157">
        <f t="shared" si="368"/>
        <v>7.9793451854562464E-2</v>
      </c>
      <c r="O216" s="155">
        <f t="shared" si="369"/>
        <v>100</v>
      </c>
      <c r="P216" s="250">
        <v>1</v>
      </c>
      <c r="Q216" s="250">
        <v>1000</v>
      </c>
      <c r="R216" s="148">
        <f t="shared" si="371"/>
        <v>7.9793451854562463</v>
      </c>
      <c r="S216" s="148">
        <f t="shared" si="372"/>
        <v>0.79793451854562458</v>
      </c>
      <c r="T216" s="148">
        <f t="shared" si="373"/>
        <v>7.9793451854562464E-2</v>
      </c>
      <c r="U216" s="148">
        <f t="shared" si="374"/>
        <v>7.9793451854562454</v>
      </c>
      <c r="V216" s="7">
        <f t="shared" si="375"/>
        <v>1000</v>
      </c>
      <c r="W216" s="7">
        <f t="shared" si="376"/>
        <v>1000000</v>
      </c>
      <c r="X216" s="1345">
        <f t="shared" si="377"/>
        <v>79.793451854562463</v>
      </c>
      <c r="Y216" s="1345">
        <f t="shared" si="378"/>
        <v>7979.3451854562454</v>
      </c>
    </row>
    <row r="217" spans="1:26" x14ac:dyDescent="0.2">
      <c r="A217" s="213" t="str">
        <f t="shared" ref="A217:B217" si="387">A497</f>
        <v>NMIA</v>
      </c>
      <c r="B217" s="213" t="str">
        <f t="shared" si="387"/>
        <v>VSL126712</v>
      </c>
      <c r="C217" s="219">
        <f t="shared" si="357"/>
        <v>1980.8400000000001</v>
      </c>
      <c r="D217" s="219">
        <f t="shared" si="358"/>
        <v>1.2</v>
      </c>
      <c r="E217" s="219">
        <f t="shared" si="359"/>
        <v>1978</v>
      </c>
      <c r="F217" s="219">
        <f t="shared" si="360"/>
        <v>4.5871559633027523</v>
      </c>
      <c r="G217" s="219">
        <f t="shared" si="361"/>
        <v>-2.9999999999999996</v>
      </c>
      <c r="H217" s="219">
        <f t="shared" si="362"/>
        <v>9</v>
      </c>
      <c r="I217" s="155">
        <f t="shared" si="363"/>
        <v>0</v>
      </c>
      <c r="J217" s="155">
        <f t="shared" si="364"/>
        <v>0</v>
      </c>
      <c r="K217" s="155">
        <f t="shared" si="365"/>
        <v>9.1743119266055047</v>
      </c>
      <c r="L217" s="155">
        <f t="shared" si="366"/>
        <v>10</v>
      </c>
      <c r="M217" s="156">
        <f t="shared" si="367"/>
        <v>0.46315259822123461</v>
      </c>
      <c r="N217" s="157">
        <f t="shared" si="368"/>
        <v>4.6315259822123457E-2</v>
      </c>
      <c r="O217" s="155">
        <f t="shared" si="369"/>
        <v>100</v>
      </c>
      <c r="P217" s="250">
        <v>1</v>
      </c>
      <c r="Q217" s="250">
        <v>1000</v>
      </c>
      <c r="R217" s="148">
        <f t="shared" si="371"/>
        <v>4.631525982212346</v>
      </c>
      <c r="S217" s="148">
        <f t="shared" si="372"/>
        <v>0.46315259822123461</v>
      </c>
      <c r="T217" s="148">
        <f t="shared" si="373"/>
        <v>4.6315259822123464E-2</v>
      </c>
      <c r="U217" s="148">
        <f t="shared" si="374"/>
        <v>4.631525982212346</v>
      </c>
      <c r="V217" s="7">
        <f t="shared" si="375"/>
        <v>1000</v>
      </c>
      <c r="W217" s="7">
        <f t="shared" si="376"/>
        <v>1000000</v>
      </c>
      <c r="X217" s="1345">
        <f t="shared" si="377"/>
        <v>46.315259822123465</v>
      </c>
      <c r="Y217" s="1345">
        <f t="shared" si="378"/>
        <v>4631.5259822123462</v>
      </c>
    </row>
    <row r="218" spans="1:26" x14ac:dyDescent="0.2">
      <c r="A218" s="213" t="str">
        <f t="shared" ref="A218:B218" si="388">A498</f>
        <v>IPQ</v>
      </c>
      <c r="B218" s="213" t="str">
        <f t="shared" si="388"/>
        <v>VSL100038</v>
      </c>
      <c r="C218" s="219">
        <f t="shared" si="357"/>
        <v>1991.22</v>
      </c>
      <c r="D218" s="219">
        <f t="shared" si="358"/>
        <v>1.21</v>
      </c>
      <c r="E218" s="219">
        <f t="shared" si="359"/>
        <v>1985</v>
      </c>
      <c r="F218" s="219">
        <f t="shared" si="360"/>
        <v>8</v>
      </c>
      <c r="G218" s="219">
        <f t="shared" si="361"/>
        <v>-5.9999999999999991</v>
      </c>
      <c r="H218" s="219">
        <f t="shared" si="362"/>
        <v>16</v>
      </c>
      <c r="I218" s="155">
        <f t="shared" si="363"/>
        <v>0</v>
      </c>
      <c r="J218" s="155">
        <f t="shared" si="364"/>
        <v>0</v>
      </c>
      <c r="K218" s="155">
        <f t="shared" si="365"/>
        <v>16</v>
      </c>
      <c r="L218" s="155">
        <f t="shared" si="366"/>
        <v>10</v>
      </c>
      <c r="M218" s="156">
        <f t="shared" si="367"/>
        <v>0.80352748566205645</v>
      </c>
      <c r="N218" s="157">
        <f t="shared" si="368"/>
        <v>8.035274856620564E-2</v>
      </c>
      <c r="O218" s="155">
        <f t="shared" si="369"/>
        <v>100</v>
      </c>
      <c r="P218" s="250">
        <v>1</v>
      </c>
      <c r="Q218" s="250">
        <v>1000</v>
      </c>
      <c r="R218" s="148">
        <f t="shared" si="371"/>
        <v>8.0352748566205641</v>
      </c>
      <c r="S218" s="148">
        <f t="shared" si="372"/>
        <v>0.80352748566205645</v>
      </c>
      <c r="T218" s="148">
        <f t="shared" si="373"/>
        <v>8.035274856620564E-2</v>
      </c>
      <c r="U218" s="148">
        <f t="shared" si="374"/>
        <v>8.0352748566205658</v>
      </c>
      <c r="V218" s="7">
        <f t="shared" si="375"/>
        <v>1000</v>
      </c>
      <c r="W218" s="7">
        <f t="shared" si="376"/>
        <v>1000000</v>
      </c>
      <c r="X218" s="1345">
        <f t="shared" si="377"/>
        <v>80.352748566205634</v>
      </c>
      <c r="Y218" s="1345">
        <f t="shared" si="378"/>
        <v>8035.2748566205655</v>
      </c>
    </row>
    <row r="219" spans="1:26" x14ac:dyDescent="0.2">
      <c r="A219" s="213" t="str">
        <f t="shared" ref="A219:B219" si="389">A499</f>
        <v>INMETRO</v>
      </c>
      <c r="B219" s="213" t="str">
        <f t="shared" si="389"/>
        <v>VSL100041</v>
      </c>
      <c r="C219" s="219">
        <f t="shared" si="357"/>
        <v>1965.7</v>
      </c>
      <c r="D219" s="219">
        <f t="shared" si="358"/>
        <v>1.1900000000000002</v>
      </c>
      <c r="E219" s="219">
        <f t="shared" si="359"/>
        <v>1978</v>
      </c>
      <c r="F219" s="219">
        <f t="shared" si="360"/>
        <v>16.5</v>
      </c>
      <c r="G219" s="219">
        <f t="shared" si="361"/>
        <v>11.999999999999998</v>
      </c>
      <c r="H219" s="219">
        <f t="shared" si="362"/>
        <v>33</v>
      </c>
      <c r="I219" s="155">
        <f t="shared" si="363"/>
        <v>0</v>
      </c>
      <c r="J219" s="155">
        <f t="shared" si="364"/>
        <v>0</v>
      </c>
      <c r="K219" s="155">
        <f t="shared" si="365"/>
        <v>33</v>
      </c>
      <c r="L219" s="155">
        <f t="shared" si="366"/>
        <v>10</v>
      </c>
      <c r="M219" s="156">
        <f t="shared" si="367"/>
        <v>1.6787912702853944</v>
      </c>
      <c r="N219" s="157">
        <f t="shared" si="368"/>
        <v>0.16787912702853944</v>
      </c>
      <c r="O219" s="155">
        <f t="shared" si="369"/>
        <v>100</v>
      </c>
      <c r="P219" s="250">
        <v>1</v>
      </c>
      <c r="Q219" s="250">
        <v>1000</v>
      </c>
      <c r="R219" s="148">
        <f t="shared" si="371"/>
        <v>16.787912702853944</v>
      </c>
      <c r="S219" s="148">
        <f t="shared" si="372"/>
        <v>1.6787912702853944</v>
      </c>
      <c r="T219" s="148">
        <f t="shared" si="373"/>
        <v>0.16787912702853944</v>
      </c>
      <c r="U219" s="148">
        <f t="shared" si="374"/>
        <v>16.787912702853944</v>
      </c>
      <c r="V219" s="7">
        <f t="shared" si="375"/>
        <v>1000</v>
      </c>
      <c r="W219" s="7">
        <f t="shared" si="376"/>
        <v>1000000</v>
      </c>
      <c r="X219" s="1345">
        <f t="shared" si="377"/>
        <v>167.87912702853944</v>
      </c>
      <c r="Y219" s="1345">
        <f t="shared" si="378"/>
        <v>16787.912702853944</v>
      </c>
    </row>
    <row r="220" spans="1:26" x14ac:dyDescent="0.2">
      <c r="A220" s="213" t="str">
        <f t="shared" ref="A220:B220" si="390">A500</f>
        <v>GUM</v>
      </c>
      <c r="B220" s="213" t="str">
        <f t="shared" si="390"/>
        <v>VSL100044</v>
      </c>
      <c r="C220" s="219">
        <f t="shared" si="357"/>
        <v>1985.95</v>
      </c>
      <c r="D220" s="219">
        <f t="shared" si="358"/>
        <v>1.21</v>
      </c>
      <c r="E220" s="219">
        <f t="shared" si="359"/>
        <v>2008</v>
      </c>
      <c r="F220" s="219">
        <f t="shared" si="360"/>
        <v>25</v>
      </c>
      <c r="G220" s="219">
        <f t="shared" si="361"/>
        <v>22</v>
      </c>
      <c r="H220" s="219">
        <f t="shared" si="362"/>
        <v>50</v>
      </c>
      <c r="I220" s="155">
        <f t="shared" si="363"/>
        <v>0</v>
      </c>
      <c r="J220" s="155">
        <f t="shared" si="364"/>
        <v>0</v>
      </c>
      <c r="K220" s="155">
        <f t="shared" si="365"/>
        <v>50</v>
      </c>
      <c r="L220" s="155">
        <f t="shared" si="366"/>
        <v>10</v>
      </c>
      <c r="M220" s="156">
        <f t="shared" si="367"/>
        <v>2.5176867494146378</v>
      </c>
      <c r="N220" s="157">
        <f t="shared" si="368"/>
        <v>0.25176867494146377</v>
      </c>
      <c r="O220" s="155">
        <f t="shared" si="369"/>
        <v>100</v>
      </c>
      <c r="P220" s="250">
        <v>1</v>
      </c>
      <c r="Q220" s="250">
        <v>1000</v>
      </c>
      <c r="R220" s="148">
        <f t="shared" si="371"/>
        <v>25.176867494146379</v>
      </c>
      <c r="S220" s="148">
        <f t="shared" si="372"/>
        <v>2.5176867494146378</v>
      </c>
      <c r="T220" s="148">
        <f t="shared" si="373"/>
        <v>0.25176867494146377</v>
      </c>
      <c r="U220" s="148">
        <f t="shared" si="374"/>
        <v>25.176867494146379</v>
      </c>
      <c r="V220" s="7">
        <f t="shared" si="375"/>
        <v>1000</v>
      </c>
      <c r="W220" s="7">
        <f t="shared" si="376"/>
        <v>1000000</v>
      </c>
      <c r="X220" s="1345">
        <f t="shared" si="377"/>
        <v>251.76867494146376</v>
      </c>
      <c r="Y220" s="1345">
        <f t="shared" si="378"/>
        <v>25176.86749414638</v>
      </c>
    </row>
    <row r="221" spans="1:26" x14ac:dyDescent="0.2">
      <c r="A221" s="213" t="str">
        <f t="shared" ref="A221:B221" si="391">A501</f>
        <v>NRCCRM</v>
      </c>
      <c r="B221" s="213" t="str">
        <f t="shared" si="391"/>
        <v>VSL126730</v>
      </c>
      <c r="C221" s="219">
        <f t="shared" si="357"/>
        <v>1988.72</v>
      </c>
      <c r="D221" s="219">
        <f t="shared" si="358"/>
        <v>1.2</v>
      </c>
      <c r="E221" s="219">
        <f t="shared" si="359"/>
        <v>1990</v>
      </c>
      <c r="F221" s="219">
        <f t="shared" si="360"/>
        <v>14.950000000000001</v>
      </c>
      <c r="G221" s="219">
        <f t="shared" si="361"/>
        <v>1</v>
      </c>
      <c r="H221" s="219">
        <f t="shared" si="362"/>
        <v>30</v>
      </c>
      <c r="I221" s="155">
        <f t="shared" si="363"/>
        <v>0</v>
      </c>
      <c r="J221" s="155">
        <f t="shared" si="364"/>
        <v>0</v>
      </c>
      <c r="K221" s="155">
        <f t="shared" si="365"/>
        <v>29.900000000000002</v>
      </c>
      <c r="L221" s="155">
        <f t="shared" si="366"/>
        <v>10</v>
      </c>
      <c r="M221" s="156">
        <f t="shared" si="367"/>
        <v>1.5034796250854823</v>
      </c>
      <c r="N221" s="157">
        <f t="shared" si="368"/>
        <v>0.15034796250854823</v>
      </c>
      <c r="O221" s="155">
        <f t="shared" si="369"/>
        <v>100</v>
      </c>
      <c r="P221" s="250">
        <v>1</v>
      </c>
      <c r="Q221" s="250">
        <v>1000</v>
      </c>
      <c r="R221" s="148">
        <f t="shared" si="371"/>
        <v>15.034796250854823</v>
      </c>
      <c r="S221" s="148">
        <f t="shared" si="372"/>
        <v>1.5034796250854823</v>
      </c>
      <c r="T221" s="148">
        <f t="shared" si="373"/>
        <v>0.15034796250854823</v>
      </c>
      <c r="U221" s="148">
        <f t="shared" si="374"/>
        <v>15.034796250854823</v>
      </c>
      <c r="V221" s="7">
        <f t="shared" si="375"/>
        <v>1000</v>
      </c>
      <c r="W221" s="7">
        <f t="shared" si="376"/>
        <v>1000000</v>
      </c>
      <c r="X221" s="1345">
        <f t="shared" si="377"/>
        <v>150.34796250854822</v>
      </c>
      <c r="Y221" s="1345">
        <f t="shared" si="378"/>
        <v>15034.796250854823</v>
      </c>
    </row>
    <row r="222" spans="1:26" x14ac:dyDescent="0.2">
      <c r="A222" s="213" t="str">
        <f t="shared" ref="A222:B222" si="392">A502</f>
        <v>KRISS</v>
      </c>
      <c r="B222" s="213" t="str">
        <f t="shared" si="392"/>
        <v>VSL126709</v>
      </c>
      <c r="C222" s="219">
        <f t="shared" si="357"/>
        <v>1990</v>
      </c>
      <c r="D222" s="219">
        <f t="shared" si="358"/>
        <v>1.2</v>
      </c>
      <c r="E222" s="219">
        <f t="shared" si="359"/>
        <v>1991</v>
      </c>
      <c r="F222" s="219">
        <f t="shared" si="360"/>
        <v>3.5</v>
      </c>
      <c r="G222" s="219">
        <f t="shared" si="361"/>
        <v>1</v>
      </c>
      <c r="H222" s="219">
        <f t="shared" si="362"/>
        <v>7</v>
      </c>
      <c r="I222" s="155">
        <f t="shared" si="363"/>
        <v>0</v>
      </c>
      <c r="J222" s="155">
        <f t="shared" si="364"/>
        <v>0</v>
      </c>
      <c r="K222" s="155">
        <f t="shared" si="365"/>
        <v>7</v>
      </c>
      <c r="L222" s="155">
        <f t="shared" si="366"/>
        <v>10</v>
      </c>
      <c r="M222" s="156">
        <f t="shared" si="367"/>
        <v>0.35175879396984927</v>
      </c>
      <c r="N222" s="157">
        <f t="shared" si="368"/>
        <v>3.5175879396984924E-2</v>
      </c>
      <c r="O222" s="155">
        <f t="shared" si="369"/>
        <v>100</v>
      </c>
      <c r="P222" s="250">
        <v>1</v>
      </c>
      <c r="Q222" s="250">
        <v>1000</v>
      </c>
      <c r="R222" s="148">
        <f t="shared" si="371"/>
        <v>3.5175879396984926</v>
      </c>
      <c r="S222" s="148">
        <f t="shared" si="372"/>
        <v>0.35175879396984927</v>
      </c>
      <c r="T222" s="148">
        <f t="shared" si="373"/>
        <v>3.5175879396984924E-2</v>
      </c>
      <c r="U222" s="148">
        <f t="shared" si="374"/>
        <v>3.5175879396984926</v>
      </c>
      <c r="V222" s="7">
        <f t="shared" si="375"/>
        <v>1000</v>
      </c>
      <c r="W222" s="7">
        <f t="shared" si="376"/>
        <v>1000000</v>
      </c>
      <c r="X222" s="1345">
        <f t="shared" si="377"/>
        <v>35.175879396984925</v>
      </c>
      <c r="Y222" s="1345">
        <f t="shared" si="378"/>
        <v>3517.5879396984924</v>
      </c>
    </row>
    <row r="223" spans="1:26" ht="14.25" x14ac:dyDescent="0.2">
      <c r="H223" s="9"/>
      <c r="U223" s="152"/>
      <c r="V223" s="21"/>
      <c r="W223" s="21"/>
      <c r="X223" s="21"/>
      <c r="Y223" s="21"/>
      <c r="Z223" s="21"/>
    </row>
    <row r="224" spans="1:26" ht="15.75" x14ac:dyDescent="0.2">
      <c r="A224" s="103" t="str">
        <f>A504</f>
        <v>n-butane, mixture III</v>
      </c>
      <c r="B224" s="97"/>
      <c r="C224" s="97"/>
      <c r="D224" s="97"/>
      <c r="E224" s="97"/>
      <c r="F224" s="97"/>
      <c r="G224" s="97"/>
      <c r="H224" s="97"/>
      <c r="I224" s="113"/>
      <c r="J224" s="113"/>
      <c r="K224" s="113"/>
      <c r="L224" s="113"/>
      <c r="M224" s="113"/>
      <c r="N224" s="113"/>
      <c r="O224" s="113"/>
      <c r="R224" s="113"/>
      <c r="S224" s="113"/>
      <c r="T224" s="146"/>
      <c r="U224" s="146"/>
    </row>
    <row r="225" spans="1:25" ht="102" x14ac:dyDescent="0.2">
      <c r="A225" s="211" t="s">
        <v>0</v>
      </c>
      <c r="B225" s="212" t="s">
        <v>1</v>
      </c>
      <c r="C225" s="212" t="s">
        <v>133</v>
      </c>
      <c r="D225" s="212" t="s">
        <v>199</v>
      </c>
      <c r="E225" s="212" t="s">
        <v>135</v>
      </c>
      <c r="F225" s="212" t="s">
        <v>200</v>
      </c>
      <c r="G225" s="212" t="s">
        <v>137</v>
      </c>
      <c r="H225" s="212" t="s">
        <v>201</v>
      </c>
      <c r="I225" s="104" t="s">
        <v>8</v>
      </c>
      <c r="J225" s="104" t="s">
        <v>9</v>
      </c>
      <c r="K225" s="104" t="s">
        <v>107</v>
      </c>
      <c r="L225" s="104" t="s">
        <v>14</v>
      </c>
      <c r="M225" s="104" t="s">
        <v>1057</v>
      </c>
      <c r="N225" s="104" t="s">
        <v>1058</v>
      </c>
      <c r="O225" s="104" t="s">
        <v>100</v>
      </c>
      <c r="P225" s="6" t="s">
        <v>105</v>
      </c>
      <c r="Q225" s="6" t="s">
        <v>106</v>
      </c>
      <c r="R225" s="104" t="s">
        <v>1051</v>
      </c>
      <c r="S225" s="104" t="s">
        <v>1052</v>
      </c>
      <c r="T225" s="147" t="s">
        <v>1053</v>
      </c>
      <c r="U225" s="147" t="s">
        <v>1054</v>
      </c>
      <c r="V225" s="5" t="s">
        <v>101</v>
      </c>
      <c r="W225" s="5" t="s">
        <v>102</v>
      </c>
      <c r="X225" s="112" t="s">
        <v>1055</v>
      </c>
      <c r="Y225" s="112" t="s">
        <v>1056</v>
      </c>
    </row>
    <row r="226" spans="1:25" x14ac:dyDescent="0.2">
      <c r="A226" s="213" t="str">
        <f>A506</f>
        <v>NPL</v>
      </c>
      <c r="B226" s="213" t="str">
        <f>B506</f>
        <v>VSL206333</v>
      </c>
      <c r="C226" s="219">
        <f t="shared" ref="C226:C241" si="393">C506*10000</f>
        <v>999.17000000000007</v>
      </c>
      <c r="D226" s="219">
        <f t="shared" ref="D226:D241" si="394">F506*10000</f>
        <v>1.27</v>
      </c>
      <c r="E226" s="219">
        <f t="shared" ref="E226:E241" si="395">G506*10000</f>
        <v>996.9</v>
      </c>
      <c r="F226" s="219">
        <f t="shared" ref="F226:F241" si="396">H506/I506*10000</f>
        <v>1.8</v>
      </c>
      <c r="G226" s="219">
        <f t="shared" ref="G226:G241" si="397">J506*10000</f>
        <v>-2</v>
      </c>
      <c r="H226" s="219">
        <f t="shared" ref="H226:H241" si="398">L506*10000</f>
        <v>4</v>
      </c>
      <c r="I226" s="155">
        <f t="shared" ref="I226:I241" si="399">IF(ABS(G226)&gt;ABS(H226), 1, 0)</f>
        <v>0</v>
      </c>
      <c r="J226" s="155">
        <f t="shared" ref="J226:J241" si="400">I226*ABS(C226-E226)</f>
        <v>0</v>
      </c>
      <c r="K226" s="155">
        <f t="shared" ref="K226:K241" si="401">SQRT(SUMSQ(F226,J226))*2</f>
        <v>3.6</v>
      </c>
      <c r="L226" s="155">
        <f t="shared" ref="L226:L241" si="402">IF(C226&lt;$K$2, C226, $K$1)</f>
        <v>10</v>
      </c>
      <c r="M226" s="156">
        <f t="shared" ref="M226:M241" si="403">IF(AND(C226&lt;$K$1,C226&gt; $K$2), K226/L226*100, K226/C226*100)</f>
        <v>0.36029904821001429</v>
      </c>
      <c r="N226" s="157">
        <f t="shared" ref="N226:N241" si="404">M226*L226/100</f>
        <v>3.6029904821001428E-2</v>
      </c>
      <c r="O226" s="155">
        <f t="shared" ref="O226:O241" si="405">N226/(M226*L226/100)*100</f>
        <v>100</v>
      </c>
      <c r="P226" s="250">
        <v>1</v>
      </c>
      <c r="Q226" s="250">
        <v>1000</v>
      </c>
      <c r="R226" s="148">
        <f>IF( IF(P226&lt;L226, M226*L226/P226, M226)&gt;100, "ERROR",  IF(P226&lt;L226, M226*L226/P226, M226))</f>
        <v>3.6029904821001431</v>
      </c>
      <c r="S226" s="148">
        <f>IF(IF(Q226&lt;L226, M226*L226/Q226, M226)&gt;100, "ERROR", IF(Q226&lt;L226, M226*L226/Q226, M226))</f>
        <v>0.36029904821001429</v>
      </c>
      <c r="T226" s="148">
        <f>R226*P226*0.01</f>
        <v>3.6029904821001428E-2</v>
      </c>
      <c r="U226" s="148">
        <f>S226*Q226*0.01</f>
        <v>3.6029904821001431</v>
      </c>
      <c r="V226" s="7">
        <f>P226*1000</f>
        <v>1000</v>
      </c>
      <c r="W226" s="7">
        <f>Q226*1000</f>
        <v>1000000</v>
      </c>
      <c r="X226" s="1345">
        <f>T226*1000</f>
        <v>36.029904821001431</v>
      </c>
      <c r="Y226" s="1345">
        <f>U226*1000</f>
        <v>3602.9904821001433</v>
      </c>
    </row>
    <row r="227" spans="1:25" x14ac:dyDescent="0.2">
      <c r="A227" s="213" t="str">
        <f t="shared" ref="A227:B227" si="406">A507</f>
        <v>SMU</v>
      </c>
      <c r="B227" s="213" t="str">
        <f t="shared" si="406"/>
        <v>VSL202622</v>
      </c>
      <c r="C227" s="219">
        <f t="shared" si="393"/>
        <v>998</v>
      </c>
      <c r="D227" s="219">
        <f t="shared" si="394"/>
        <v>1.27</v>
      </c>
      <c r="E227" s="219">
        <f t="shared" si="395"/>
        <v>1007.6999999999999</v>
      </c>
      <c r="F227" s="219">
        <f t="shared" si="396"/>
        <v>2.5</v>
      </c>
      <c r="G227" s="219">
        <f t="shared" si="397"/>
        <v>10</v>
      </c>
      <c r="H227" s="219">
        <f t="shared" si="398"/>
        <v>5.9999999999999991</v>
      </c>
      <c r="I227" s="155">
        <f t="shared" si="399"/>
        <v>1</v>
      </c>
      <c r="J227" s="155">
        <f t="shared" si="400"/>
        <v>9.6999999999999318</v>
      </c>
      <c r="K227" s="155">
        <f t="shared" si="401"/>
        <v>20.033971149025714</v>
      </c>
      <c r="L227" s="155">
        <f t="shared" si="402"/>
        <v>10</v>
      </c>
      <c r="M227" s="156">
        <f t="shared" si="403"/>
        <v>2.0074119387801317</v>
      </c>
      <c r="N227" s="157">
        <f t="shared" si="404"/>
        <v>0.20074119387801317</v>
      </c>
      <c r="O227" s="155">
        <f t="shared" si="405"/>
        <v>100</v>
      </c>
      <c r="P227" s="250">
        <v>1</v>
      </c>
      <c r="Q227" s="250">
        <v>1000</v>
      </c>
      <c r="R227" s="148">
        <f t="shared" ref="R227:R241" si="407">IF( IF(P227&lt;L227, M227*L227/P227, M227)&gt;100, "ERROR",  IF(P227&lt;L227, M227*L227/P227, M227))</f>
        <v>20.074119387801318</v>
      </c>
      <c r="S227" s="148">
        <f t="shared" ref="S227:S241" si="408">IF(IF(Q227&lt;L227, M227*L227/Q227, M227)&gt;100, "ERROR", IF(Q227&lt;L227, M227*L227/Q227, M227))</f>
        <v>2.0074119387801317</v>
      </c>
      <c r="T227" s="148">
        <f t="shared" ref="T227:T241" si="409">R227*P227*0.01</f>
        <v>0.20074119387801317</v>
      </c>
      <c r="U227" s="148">
        <f t="shared" ref="U227:U241" si="410">S227*Q227*0.01</f>
        <v>20.074119387801318</v>
      </c>
      <c r="V227" s="7">
        <f t="shared" ref="V227:V241" si="411">P227*1000</f>
        <v>1000</v>
      </c>
      <c r="W227" s="7">
        <f t="shared" ref="W227:W241" si="412">Q227*1000</f>
        <v>1000000</v>
      </c>
      <c r="X227" s="1345">
        <f t="shared" ref="X227:X241" si="413">T227*1000</f>
        <v>200.74119387801318</v>
      </c>
      <c r="Y227" s="1345">
        <f t="shared" ref="Y227:Y241" si="414">U227*1000</f>
        <v>20074.119387801318</v>
      </c>
    </row>
    <row r="228" spans="1:25" x14ac:dyDescent="0.2">
      <c r="A228" s="213" t="str">
        <f t="shared" ref="A228:B228" si="415">A508</f>
        <v>CMI</v>
      </c>
      <c r="B228" s="213" t="str">
        <f t="shared" si="415"/>
        <v>VSL205133</v>
      </c>
      <c r="C228" s="219">
        <f t="shared" si="393"/>
        <v>996.95</v>
      </c>
      <c r="D228" s="219">
        <f t="shared" si="394"/>
        <v>1.27</v>
      </c>
      <c r="E228" s="219">
        <f t="shared" si="395"/>
        <v>970</v>
      </c>
      <c r="F228" s="219">
        <f t="shared" si="396"/>
        <v>20</v>
      </c>
      <c r="G228" s="219">
        <f t="shared" si="397"/>
        <v>-27</v>
      </c>
      <c r="H228" s="219">
        <f t="shared" si="398"/>
        <v>40</v>
      </c>
      <c r="I228" s="155">
        <f t="shared" si="399"/>
        <v>0</v>
      </c>
      <c r="J228" s="155">
        <f t="shared" si="400"/>
        <v>0</v>
      </c>
      <c r="K228" s="155">
        <f t="shared" si="401"/>
        <v>40</v>
      </c>
      <c r="L228" s="155">
        <f t="shared" si="402"/>
        <v>10</v>
      </c>
      <c r="M228" s="156">
        <f t="shared" si="403"/>
        <v>4.0122373238377049</v>
      </c>
      <c r="N228" s="157">
        <f t="shared" si="404"/>
        <v>0.40122373238377051</v>
      </c>
      <c r="O228" s="155">
        <f t="shared" si="405"/>
        <v>100</v>
      </c>
      <c r="P228" s="250">
        <v>1</v>
      </c>
      <c r="Q228" s="250">
        <v>1000</v>
      </c>
      <c r="R228" s="148">
        <f t="shared" si="407"/>
        <v>40.122373238377051</v>
      </c>
      <c r="S228" s="148">
        <f t="shared" si="408"/>
        <v>4.0122373238377049</v>
      </c>
      <c r="T228" s="148">
        <f t="shared" si="409"/>
        <v>0.40122373238377051</v>
      </c>
      <c r="U228" s="148">
        <f t="shared" si="410"/>
        <v>40.122373238377051</v>
      </c>
      <c r="V228" s="7">
        <f t="shared" si="411"/>
        <v>1000</v>
      </c>
      <c r="W228" s="7">
        <f t="shared" si="412"/>
        <v>1000000</v>
      </c>
      <c r="X228" s="1345">
        <f t="shared" si="413"/>
        <v>401.22373238377054</v>
      </c>
      <c r="Y228" s="1345">
        <f t="shared" si="414"/>
        <v>40122.373238377048</v>
      </c>
    </row>
    <row r="229" spans="1:25" x14ac:dyDescent="0.2">
      <c r="A229" s="213" t="str">
        <f t="shared" ref="A229:B229" si="416">A509</f>
        <v>VNIIM</v>
      </c>
      <c r="B229" s="213" t="str">
        <f t="shared" si="416"/>
        <v>VSL202624</v>
      </c>
      <c r="C229" s="219">
        <f t="shared" si="393"/>
        <v>995.23</v>
      </c>
      <c r="D229" s="219">
        <f t="shared" si="394"/>
        <v>1.26</v>
      </c>
      <c r="E229" s="219">
        <f t="shared" si="395"/>
        <v>1000</v>
      </c>
      <c r="F229" s="219">
        <f t="shared" si="396"/>
        <v>6.5</v>
      </c>
      <c r="G229" s="219">
        <f t="shared" si="397"/>
        <v>5</v>
      </c>
      <c r="H229" s="219">
        <f t="shared" si="398"/>
        <v>13</v>
      </c>
      <c r="I229" s="155">
        <f t="shared" si="399"/>
        <v>0</v>
      </c>
      <c r="J229" s="155">
        <f t="shared" si="400"/>
        <v>0</v>
      </c>
      <c r="K229" s="155">
        <f t="shared" si="401"/>
        <v>13</v>
      </c>
      <c r="L229" s="155">
        <f t="shared" si="402"/>
        <v>10</v>
      </c>
      <c r="M229" s="156">
        <f t="shared" si="403"/>
        <v>1.3062307205369612</v>
      </c>
      <c r="N229" s="157">
        <f t="shared" si="404"/>
        <v>0.13062307205369611</v>
      </c>
      <c r="O229" s="155">
        <f t="shared" si="405"/>
        <v>100</v>
      </c>
      <c r="P229" s="250">
        <v>1</v>
      </c>
      <c r="Q229" s="250">
        <v>1000</v>
      </c>
      <c r="R229" s="148">
        <f t="shared" si="407"/>
        <v>13.062307205369612</v>
      </c>
      <c r="S229" s="148">
        <f t="shared" si="408"/>
        <v>1.3062307205369612</v>
      </c>
      <c r="T229" s="148">
        <f t="shared" si="409"/>
        <v>0.13062307205369611</v>
      </c>
      <c r="U229" s="148">
        <f t="shared" si="410"/>
        <v>13.062307205369612</v>
      </c>
      <c r="V229" s="7">
        <f t="shared" si="411"/>
        <v>1000</v>
      </c>
      <c r="W229" s="7">
        <f t="shared" si="412"/>
        <v>1000000</v>
      </c>
      <c r="X229" s="1345">
        <f t="shared" si="413"/>
        <v>130.62307205369612</v>
      </c>
      <c r="Y229" s="1345">
        <f t="shared" si="414"/>
        <v>13062.307205369612</v>
      </c>
    </row>
    <row r="230" spans="1:25" x14ac:dyDescent="0.2">
      <c r="A230" s="213" t="str">
        <f t="shared" ref="A230:B230" si="417">A510</f>
        <v>OMH</v>
      </c>
      <c r="B230" s="213" t="str">
        <f t="shared" si="417"/>
        <v>VSL206344</v>
      </c>
      <c r="C230" s="219">
        <f t="shared" si="393"/>
        <v>998.72</v>
      </c>
      <c r="D230" s="219">
        <f t="shared" si="394"/>
        <v>1.27</v>
      </c>
      <c r="E230" s="219">
        <f t="shared" si="395"/>
        <v>1002</v>
      </c>
      <c r="F230" s="219">
        <f t="shared" si="396"/>
        <v>1.6460905349794237</v>
      </c>
      <c r="G230" s="219">
        <f t="shared" si="397"/>
        <v>2.9999999999999996</v>
      </c>
      <c r="H230" s="219">
        <f t="shared" si="398"/>
        <v>4</v>
      </c>
      <c r="I230" s="155">
        <f t="shared" si="399"/>
        <v>0</v>
      </c>
      <c r="J230" s="155">
        <f t="shared" si="400"/>
        <v>0</v>
      </c>
      <c r="K230" s="155">
        <f t="shared" si="401"/>
        <v>3.2921810699588474</v>
      </c>
      <c r="L230" s="155">
        <f t="shared" si="402"/>
        <v>10</v>
      </c>
      <c r="M230" s="156">
        <f t="shared" si="403"/>
        <v>0.32964004625509125</v>
      </c>
      <c r="N230" s="157">
        <f t="shared" si="404"/>
        <v>3.2964004625509122E-2</v>
      </c>
      <c r="O230" s="155">
        <f t="shared" si="405"/>
        <v>100</v>
      </c>
      <c r="P230" s="250">
        <v>1</v>
      </c>
      <c r="Q230" s="250">
        <v>1000</v>
      </c>
      <c r="R230" s="148">
        <f t="shared" si="407"/>
        <v>3.2964004625509125</v>
      </c>
      <c r="S230" s="148">
        <f t="shared" si="408"/>
        <v>0.32964004625509125</v>
      </c>
      <c r="T230" s="148">
        <f t="shared" si="409"/>
        <v>3.2964004625509122E-2</v>
      </c>
      <c r="U230" s="148">
        <f t="shared" si="410"/>
        <v>3.2964004625509125</v>
      </c>
      <c r="V230" s="7">
        <f t="shared" si="411"/>
        <v>1000</v>
      </c>
      <c r="W230" s="7">
        <f t="shared" si="412"/>
        <v>1000000</v>
      </c>
      <c r="X230" s="1345">
        <f t="shared" si="413"/>
        <v>32.964004625509119</v>
      </c>
      <c r="Y230" s="1345">
        <f t="shared" si="414"/>
        <v>3296.4004625509124</v>
      </c>
    </row>
    <row r="231" spans="1:25" x14ac:dyDescent="0.2">
      <c r="A231" s="213" t="str">
        <f t="shared" ref="A231:B231" si="418">A511</f>
        <v>LNE</v>
      </c>
      <c r="B231" s="213" t="str">
        <f t="shared" si="418"/>
        <v>VSL202614</v>
      </c>
      <c r="C231" s="219">
        <f t="shared" si="393"/>
        <v>991.12</v>
      </c>
      <c r="D231" s="219">
        <f t="shared" si="394"/>
        <v>1.26</v>
      </c>
      <c r="E231" s="219">
        <f t="shared" si="395"/>
        <v>993.7</v>
      </c>
      <c r="F231" s="219">
        <f t="shared" si="396"/>
        <v>2.3000000000000003</v>
      </c>
      <c r="G231" s="219">
        <f t="shared" si="397"/>
        <v>2.9999999999999996</v>
      </c>
      <c r="H231" s="219">
        <f t="shared" si="398"/>
        <v>5</v>
      </c>
      <c r="I231" s="155">
        <f t="shared" si="399"/>
        <v>0</v>
      </c>
      <c r="J231" s="155">
        <f t="shared" si="400"/>
        <v>0</v>
      </c>
      <c r="K231" s="155">
        <f t="shared" si="401"/>
        <v>4.6000000000000005</v>
      </c>
      <c r="L231" s="155">
        <f t="shared" si="402"/>
        <v>10</v>
      </c>
      <c r="M231" s="156">
        <f t="shared" si="403"/>
        <v>0.46412139801436764</v>
      </c>
      <c r="N231" s="157">
        <f t="shared" si="404"/>
        <v>4.6412139801436762E-2</v>
      </c>
      <c r="O231" s="155">
        <f t="shared" si="405"/>
        <v>100</v>
      </c>
      <c r="P231" s="250">
        <v>1</v>
      </c>
      <c r="Q231" s="250">
        <v>1000</v>
      </c>
      <c r="R231" s="148">
        <f t="shared" si="407"/>
        <v>4.641213980143676</v>
      </c>
      <c r="S231" s="148">
        <f t="shared" si="408"/>
        <v>0.46412139801436764</v>
      </c>
      <c r="T231" s="148">
        <f t="shared" si="409"/>
        <v>4.6412139801436762E-2</v>
      </c>
      <c r="U231" s="148">
        <f t="shared" si="410"/>
        <v>4.641213980143676</v>
      </c>
      <c r="V231" s="7">
        <f t="shared" si="411"/>
        <v>1000</v>
      </c>
      <c r="W231" s="7">
        <f t="shared" si="412"/>
        <v>1000000</v>
      </c>
      <c r="X231" s="1345">
        <f t="shared" si="413"/>
        <v>46.412139801436766</v>
      </c>
      <c r="Y231" s="1345">
        <f t="shared" si="414"/>
        <v>4641.2139801436761</v>
      </c>
    </row>
    <row r="232" spans="1:25" x14ac:dyDescent="0.2">
      <c r="A232" s="213" t="str">
        <f t="shared" ref="A232:B232" si="419">A512</f>
        <v>NMi VSL</v>
      </c>
      <c r="B232" s="213" t="str">
        <f t="shared" si="419"/>
        <v>VSL300636</v>
      </c>
      <c r="C232" s="219">
        <f t="shared" si="393"/>
        <v>996.71999999999991</v>
      </c>
      <c r="D232" s="219">
        <f t="shared" si="394"/>
        <v>1.27</v>
      </c>
      <c r="E232" s="219">
        <f t="shared" si="395"/>
        <v>998</v>
      </c>
      <c r="F232" s="219">
        <f t="shared" si="396"/>
        <v>1.4999999999999998</v>
      </c>
      <c r="G232" s="219">
        <f t="shared" si="397"/>
        <v>1</v>
      </c>
      <c r="H232" s="219">
        <f t="shared" si="398"/>
        <v>4</v>
      </c>
      <c r="I232" s="155">
        <f t="shared" si="399"/>
        <v>0</v>
      </c>
      <c r="J232" s="155">
        <f t="shared" si="400"/>
        <v>0</v>
      </c>
      <c r="K232" s="155">
        <f t="shared" si="401"/>
        <v>2.9999999999999996</v>
      </c>
      <c r="L232" s="155">
        <f t="shared" si="402"/>
        <v>10</v>
      </c>
      <c r="M232" s="156">
        <f t="shared" si="403"/>
        <v>0.30098723814110279</v>
      </c>
      <c r="N232" s="157">
        <f t="shared" si="404"/>
        <v>3.0098723814110277E-2</v>
      </c>
      <c r="O232" s="155">
        <f t="shared" si="405"/>
        <v>100</v>
      </c>
      <c r="P232" s="250">
        <v>1</v>
      </c>
      <c r="Q232" s="250">
        <v>1000</v>
      </c>
      <c r="R232" s="148">
        <f t="shared" si="407"/>
        <v>3.0098723814110278</v>
      </c>
      <c r="S232" s="148">
        <f t="shared" si="408"/>
        <v>0.30098723814110279</v>
      </c>
      <c r="T232" s="148">
        <f t="shared" si="409"/>
        <v>3.0098723814110277E-2</v>
      </c>
      <c r="U232" s="148">
        <f t="shared" si="410"/>
        <v>3.0098723814110282</v>
      </c>
      <c r="V232" s="7">
        <f t="shared" si="411"/>
        <v>1000</v>
      </c>
      <c r="W232" s="7">
        <f t="shared" si="412"/>
        <v>1000000</v>
      </c>
      <c r="X232" s="1345">
        <f t="shared" si="413"/>
        <v>30.098723814110276</v>
      </c>
      <c r="Y232" s="1345">
        <f t="shared" si="414"/>
        <v>3009.8723814110281</v>
      </c>
    </row>
    <row r="233" spans="1:25" x14ac:dyDescent="0.2">
      <c r="A233" s="213" t="str">
        <f t="shared" ref="A233:B233" si="420">A513</f>
        <v>CENAM</v>
      </c>
      <c r="B233" s="213" t="str">
        <f t="shared" si="420"/>
        <v>VSL160258</v>
      </c>
      <c r="C233" s="219">
        <f t="shared" si="393"/>
        <v>996.41</v>
      </c>
      <c r="D233" s="219">
        <f t="shared" si="394"/>
        <v>1.27</v>
      </c>
      <c r="E233" s="219">
        <f t="shared" si="395"/>
        <v>997</v>
      </c>
      <c r="F233" s="219">
        <f t="shared" si="396"/>
        <v>5.9999999999999991</v>
      </c>
      <c r="G233" s="219">
        <f t="shared" si="397"/>
        <v>1</v>
      </c>
      <c r="H233" s="219">
        <f t="shared" si="398"/>
        <v>11.999999999999998</v>
      </c>
      <c r="I233" s="155">
        <f t="shared" si="399"/>
        <v>0</v>
      </c>
      <c r="J233" s="155">
        <f t="shared" si="400"/>
        <v>0</v>
      </c>
      <c r="K233" s="155">
        <f t="shared" si="401"/>
        <v>11.999999999999998</v>
      </c>
      <c r="L233" s="155">
        <f t="shared" si="402"/>
        <v>10</v>
      </c>
      <c r="M233" s="156">
        <f t="shared" si="403"/>
        <v>1.2043235214419765</v>
      </c>
      <c r="N233" s="157">
        <f t="shared" si="404"/>
        <v>0.12043235214419765</v>
      </c>
      <c r="O233" s="155">
        <f t="shared" si="405"/>
        <v>100</v>
      </c>
      <c r="P233" s="250">
        <v>1</v>
      </c>
      <c r="Q233" s="250">
        <v>1000</v>
      </c>
      <c r="R233" s="148">
        <f t="shared" si="407"/>
        <v>12.043235214419765</v>
      </c>
      <c r="S233" s="148">
        <f t="shared" si="408"/>
        <v>1.2043235214419765</v>
      </c>
      <c r="T233" s="148">
        <f t="shared" si="409"/>
        <v>0.12043235214419765</v>
      </c>
      <c r="U233" s="148">
        <f t="shared" si="410"/>
        <v>12.043235214419765</v>
      </c>
      <c r="V233" s="7">
        <f t="shared" si="411"/>
        <v>1000</v>
      </c>
      <c r="W233" s="7">
        <f t="shared" si="412"/>
        <v>1000000</v>
      </c>
      <c r="X233" s="1345">
        <f t="shared" si="413"/>
        <v>120.43235214419765</v>
      </c>
      <c r="Y233" s="1345">
        <f t="shared" si="414"/>
        <v>12043.235214419765</v>
      </c>
    </row>
    <row r="234" spans="1:25" x14ac:dyDescent="0.2">
      <c r="A234" s="213" t="str">
        <f t="shared" ref="A234:B234" si="421">A514</f>
        <v>CEM</v>
      </c>
      <c r="B234" s="213" t="str">
        <f t="shared" si="421"/>
        <v>VSL202677</v>
      </c>
      <c r="C234" s="219">
        <f t="shared" si="393"/>
        <v>997.16</v>
      </c>
      <c r="D234" s="219">
        <f t="shared" si="394"/>
        <v>1.27</v>
      </c>
      <c r="E234" s="219">
        <f t="shared" si="395"/>
        <v>995.99999999999989</v>
      </c>
      <c r="F234" s="219">
        <f t="shared" si="396"/>
        <v>7</v>
      </c>
      <c r="G234" s="219">
        <f t="shared" si="397"/>
        <v>-1</v>
      </c>
      <c r="H234" s="219">
        <f t="shared" si="398"/>
        <v>14</v>
      </c>
      <c r="I234" s="155">
        <f t="shared" si="399"/>
        <v>0</v>
      </c>
      <c r="J234" s="155">
        <f t="shared" si="400"/>
        <v>0</v>
      </c>
      <c r="K234" s="155">
        <f t="shared" si="401"/>
        <v>14</v>
      </c>
      <c r="L234" s="155">
        <f t="shared" si="402"/>
        <v>10</v>
      </c>
      <c r="M234" s="156">
        <f t="shared" si="403"/>
        <v>1.4039873240001606</v>
      </c>
      <c r="N234" s="157">
        <f t="shared" si="404"/>
        <v>0.14039873240001607</v>
      </c>
      <c r="O234" s="155">
        <f t="shared" si="405"/>
        <v>100</v>
      </c>
      <c r="P234" s="250">
        <v>1</v>
      </c>
      <c r="Q234" s="250">
        <v>1000</v>
      </c>
      <c r="R234" s="148">
        <f t="shared" si="407"/>
        <v>14.039873240001606</v>
      </c>
      <c r="S234" s="148">
        <f t="shared" si="408"/>
        <v>1.4039873240001606</v>
      </c>
      <c r="T234" s="148">
        <f t="shared" si="409"/>
        <v>0.14039873240001607</v>
      </c>
      <c r="U234" s="148">
        <f t="shared" si="410"/>
        <v>14.039873240001604</v>
      </c>
      <c r="V234" s="7">
        <f t="shared" si="411"/>
        <v>1000</v>
      </c>
      <c r="W234" s="7">
        <f t="shared" si="412"/>
        <v>1000000</v>
      </c>
      <c r="X234" s="1345">
        <f t="shared" si="413"/>
        <v>140.39873240001609</v>
      </c>
      <c r="Y234" s="1345">
        <f t="shared" si="414"/>
        <v>14039.873240001605</v>
      </c>
    </row>
    <row r="235" spans="1:25" x14ac:dyDescent="0.2">
      <c r="A235" s="213" t="str">
        <f t="shared" ref="A235:B235" si="422">A515</f>
        <v>BAM</v>
      </c>
      <c r="B235" s="213" t="str">
        <f t="shared" si="422"/>
        <v>VSL205189</v>
      </c>
      <c r="C235" s="219">
        <f t="shared" si="393"/>
        <v>998.86</v>
      </c>
      <c r="D235" s="219">
        <f t="shared" si="394"/>
        <v>1.27</v>
      </c>
      <c r="E235" s="219">
        <f t="shared" si="395"/>
        <v>995.99999999999989</v>
      </c>
      <c r="F235" s="219">
        <f t="shared" si="396"/>
        <v>4</v>
      </c>
      <c r="G235" s="219">
        <f t="shared" si="397"/>
        <v>-2.9999999999999996</v>
      </c>
      <c r="H235" s="219">
        <f t="shared" si="398"/>
        <v>8</v>
      </c>
      <c r="I235" s="155">
        <f t="shared" si="399"/>
        <v>0</v>
      </c>
      <c r="J235" s="155">
        <f t="shared" si="400"/>
        <v>0</v>
      </c>
      <c r="K235" s="155">
        <f t="shared" si="401"/>
        <v>8</v>
      </c>
      <c r="L235" s="155">
        <f t="shared" si="402"/>
        <v>10</v>
      </c>
      <c r="M235" s="156">
        <f t="shared" si="403"/>
        <v>0.80091304086658788</v>
      </c>
      <c r="N235" s="157">
        <f t="shared" si="404"/>
        <v>8.0091304086658793E-2</v>
      </c>
      <c r="O235" s="155">
        <f t="shared" si="405"/>
        <v>100</v>
      </c>
      <c r="P235" s="250">
        <v>1</v>
      </c>
      <c r="Q235" s="250">
        <v>1000</v>
      </c>
      <c r="R235" s="148">
        <f t="shared" si="407"/>
        <v>8.0091304086658788</v>
      </c>
      <c r="S235" s="148">
        <f t="shared" si="408"/>
        <v>0.80091304086658788</v>
      </c>
      <c r="T235" s="148">
        <f t="shared" si="409"/>
        <v>8.0091304086658793E-2</v>
      </c>
      <c r="U235" s="148">
        <f t="shared" si="410"/>
        <v>8.0091304086658788</v>
      </c>
      <c r="V235" s="7">
        <f t="shared" si="411"/>
        <v>1000</v>
      </c>
      <c r="W235" s="7">
        <f t="shared" si="412"/>
        <v>1000000</v>
      </c>
      <c r="X235" s="1345">
        <f t="shared" si="413"/>
        <v>80.091304086658795</v>
      </c>
      <c r="Y235" s="1345">
        <f t="shared" si="414"/>
        <v>8009.1304086658783</v>
      </c>
    </row>
    <row r="236" spans="1:25" x14ac:dyDescent="0.2">
      <c r="A236" s="213" t="str">
        <f t="shared" ref="A236:B236" si="423">A516</f>
        <v>NMIA</v>
      </c>
      <c r="B236" s="213" t="str">
        <f t="shared" si="423"/>
        <v>VSL228583</v>
      </c>
      <c r="C236" s="219">
        <f t="shared" si="393"/>
        <v>991.40000000000009</v>
      </c>
      <c r="D236" s="219">
        <f t="shared" si="394"/>
        <v>1.26</v>
      </c>
      <c r="E236" s="219">
        <f t="shared" si="395"/>
        <v>990.99999999999989</v>
      </c>
      <c r="F236" s="219">
        <f t="shared" si="396"/>
        <v>5.045871559633027</v>
      </c>
      <c r="G236" s="219">
        <f t="shared" si="397"/>
        <v>0</v>
      </c>
      <c r="H236" s="219">
        <f t="shared" si="398"/>
        <v>10</v>
      </c>
      <c r="I236" s="155">
        <f t="shared" si="399"/>
        <v>0</v>
      </c>
      <c r="J236" s="155">
        <f t="shared" si="400"/>
        <v>0</v>
      </c>
      <c r="K236" s="155">
        <f t="shared" si="401"/>
        <v>10.091743119266054</v>
      </c>
      <c r="L236" s="155">
        <f t="shared" si="402"/>
        <v>10</v>
      </c>
      <c r="M236" s="156">
        <f t="shared" si="403"/>
        <v>1.0179284970008122</v>
      </c>
      <c r="N236" s="157">
        <f t="shared" si="404"/>
        <v>0.10179284970008123</v>
      </c>
      <c r="O236" s="155">
        <f t="shared" si="405"/>
        <v>100</v>
      </c>
      <c r="P236" s="250">
        <v>1</v>
      </c>
      <c r="Q236" s="250">
        <v>1000</v>
      </c>
      <c r="R236" s="148">
        <f t="shared" si="407"/>
        <v>10.179284970008123</v>
      </c>
      <c r="S236" s="148">
        <f t="shared" si="408"/>
        <v>1.0179284970008122</v>
      </c>
      <c r="T236" s="148">
        <f t="shared" si="409"/>
        <v>0.10179284970008123</v>
      </c>
      <c r="U236" s="148">
        <f t="shared" si="410"/>
        <v>10.179284970008123</v>
      </c>
      <c r="V236" s="7">
        <f t="shared" si="411"/>
        <v>1000</v>
      </c>
      <c r="W236" s="7">
        <f t="shared" si="412"/>
        <v>1000000</v>
      </c>
      <c r="X236" s="1345">
        <f t="shared" si="413"/>
        <v>101.79284970008123</v>
      </c>
      <c r="Y236" s="1345">
        <f t="shared" si="414"/>
        <v>10179.284970008122</v>
      </c>
    </row>
    <row r="237" spans="1:25" x14ac:dyDescent="0.2">
      <c r="A237" s="213" t="str">
        <f t="shared" ref="A237:B237" si="424">A517</f>
        <v>IPQ</v>
      </c>
      <c r="B237" s="213" t="str">
        <f t="shared" si="424"/>
        <v>VSL220210</v>
      </c>
      <c r="C237" s="219">
        <f t="shared" si="393"/>
        <v>1002.62</v>
      </c>
      <c r="D237" s="219">
        <f t="shared" si="394"/>
        <v>1.27</v>
      </c>
      <c r="E237" s="219">
        <f t="shared" si="395"/>
        <v>1003</v>
      </c>
      <c r="F237" s="219">
        <f t="shared" si="396"/>
        <v>7</v>
      </c>
      <c r="G237" s="219">
        <f t="shared" si="397"/>
        <v>0</v>
      </c>
      <c r="H237" s="219">
        <f t="shared" si="398"/>
        <v>14</v>
      </c>
      <c r="I237" s="155">
        <f t="shared" si="399"/>
        <v>0</v>
      </c>
      <c r="J237" s="155">
        <f t="shared" si="400"/>
        <v>0</v>
      </c>
      <c r="K237" s="155">
        <f t="shared" si="401"/>
        <v>14</v>
      </c>
      <c r="L237" s="155">
        <f t="shared" si="402"/>
        <v>10</v>
      </c>
      <c r="M237" s="156">
        <f t="shared" si="403"/>
        <v>1.3963415850471763</v>
      </c>
      <c r="N237" s="157">
        <f t="shared" si="404"/>
        <v>0.13963415850471764</v>
      </c>
      <c r="O237" s="155">
        <f t="shared" si="405"/>
        <v>100</v>
      </c>
      <c r="P237" s="250">
        <v>1</v>
      </c>
      <c r="Q237" s="250">
        <v>1000</v>
      </c>
      <c r="R237" s="148">
        <f t="shared" si="407"/>
        <v>13.963415850471764</v>
      </c>
      <c r="S237" s="148">
        <f t="shared" si="408"/>
        <v>1.3963415850471763</v>
      </c>
      <c r="T237" s="148">
        <f t="shared" si="409"/>
        <v>0.13963415850471764</v>
      </c>
      <c r="U237" s="148">
        <f t="shared" si="410"/>
        <v>13.963415850471764</v>
      </c>
      <c r="V237" s="7">
        <f t="shared" si="411"/>
        <v>1000</v>
      </c>
      <c r="W237" s="7">
        <f t="shared" si="412"/>
        <v>1000000</v>
      </c>
      <c r="X237" s="1345">
        <f t="shared" si="413"/>
        <v>139.63415850471765</v>
      </c>
      <c r="Y237" s="1345">
        <f t="shared" si="414"/>
        <v>13963.415850471763</v>
      </c>
    </row>
    <row r="238" spans="1:25" x14ac:dyDescent="0.2">
      <c r="A238" s="213" t="str">
        <f t="shared" ref="A238:B238" si="425">A518</f>
        <v>INMETRO</v>
      </c>
      <c r="B238" s="213" t="str">
        <f t="shared" si="425"/>
        <v>VSL202750</v>
      </c>
      <c r="C238" s="219">
        <f t="shared" si="393"/>
        <v>997.06000000000006</v>
      </c>
      <c r="D238" s="219">
        <f t="shared" si="394"/>
        <v>1.27</v>
      </c>
      <c r="E238" s="219">
        <f t="shared" si="395"/>
        <v>1026</v>
      </c>
      <c r="F238" s="219">
        <f t="shared" si="396"/>
        <v>13</v>
      </c>
      <c r="G238" s="219">
        <f t="shared" si="397"/>
        <v>28.999999999999996</v>
      </c>
      <c r="H238" s="219">
        <f t="shared" si="398"/>
        <v>26</v>
      </c>
      <c r="I238" s="155">
        <f t="shared" si="399"/>
        <v>1</v>
      </c>
      <c r="J238" s="155">
        <f t="shared" si="400"/>
        <v>28.939999999999941</v>
      </c>
      <c r="K238" s="155">
        <f t="shared" si="401"/>
        <v>63.451512196321893</v>
      </c>
      <c r="L238" s="155">
        <f t="shared" si="402"/>
        <v>10</v>
      </c>
      <c r="M238" s="156">
        <f t="shared" si="403"/>
        <v>6.363860970886595</v>
      </c>
      <c r="N238" s="157">
        <f t="shared" si="404"/>
        <v>0.63638609708865945</v>
      </c>
      <c r="O238" s="155">
        <f t="shared" si="405"/>
        <v>100</v>
      </c>
      <c r="P238" s="250">
        <v>1</v>
      </c>
      <c r="Q238" s="250">
        <v>1000</v>
      </c>
      <c r="R238" s="148">
        <f t="shared" si="407"/>
        <v>63.63860970886595</v>
      </c>
      <c r="S238" s="148">
        <f t="shared" si="408"/>
        <v>6.363860970886595</v>
      </c>
      <c r="T238" s="148">
        <f t="shared" si="409"/>
        <v>0.63638609708865956</v>
      </c>
      <c r="U238" s="148">
        <f t="shared" si="410"/>
        <v>63.63860970886595</v>
      </c>
      <c r="V238" s="7">
        <f t="shared" si="411"/>
        <v>1000</v>
      </c>
      <c r="W238" s="7">
        <f t="shared" si="412"/>
        <v>1000000</v>
      </c>
      <c r="X238" s="1345">
        <f t="shared" si="413"/>
        <v>636.38609708865954</v>
      </c>
      <c r="Y238" s="1345">
        <f t="shared" si="414"/>
        <v>63638.609708865952</v>
      </c>
    </row>
    <row r="239" spans="1:25" x14ac:dyDescent="0.2">
      <c r="A239" s="213" t="str">
        <f t="shared" ref="A239:B239" si="426">A519</f>
        <v>GUM</v>
      </c>
      <c r="B239" s="213" t="str">
        <f t="shared" si="426"/>
        <v>VSL223562</v>
      </c>
      <c r="C239" s="219">
        <f t="shared" si="393"/>
        <v>998.83</v>
      </c>
      <c r="D239" s="219">
        <f t="shared" si="394"/>
        <v>1.27</v>
      </c>
      <c r="E239" s="219">
        <f t="shared" si="395"/>
        <v>999</v>
      </c>
      <c r="F239" s="219">
        <f t="shared" si="396"/>
        <v>5</v>
      </c>
      <c r="G239" s="219">
        <f t="shared" si="397"/>
        <v>0</v>
      </c>
      <c r="H239" s="219">
        <f t="shared" si="398"/>
        <v>10</v>
      </c>
      <c r="I239" s="155">
        <f t="shared" si="399"/>
        <v>0</v>
      </c>
      <c r="J239" s="155">
        <f t="shared" si="400"/>
        <v>0</v>
      </c>
      <c r="K239" s="155">
        <f t="shared" si="401"/>
        <v>10</v>
      </c>
      <c r="L239" s="155">
        <f t="shared" si="402"/>
        <v>10</v>
      </c>
      <c r="M239" s="156">
        <f t="shared" si="403"/>
        <v>1.001171370503489</v>
      </c>
      <c r="N239" s="157">
        <f t="shared" si="404"/>
        <v>0.1001171370503489</v>
      </c>
      <c r="O239" s="155">
        <f t="shared" si="405"/>
        <v>100</v>
      </c>
      <c r="P239" s="250">
        <v>1</v>
      </c>
      <c r="Q239" s="250">
        <v>1000</v>
      </c>
      <c r="R239" s="148">
        <f t="shared" si="407"/>
        <v>10.011713705034889</v>
      </c>
      <c r="S239" s="148">
        <f t="shared" si="408"/>
        <v>1.001171370503489</v>
      </c>
      <c r="T239" s="148">
        <f t="shared" si="409"/>
        <v>0.1001171370503489</v>
      </c>
      <c r="U239" s="148">
        <f t="shared" si="410"/>
        <v>10.011713705034891</v>
      </c>
      <c r="V239" s="7">
        <f t="shared" si="411"/>
        <v>1000</v>
      </c>
      <c r="W239" s="7">
        <f t="shared" si="412"/>
        <v>1000000</v>
      </c>
      <c r="X239" s="1345">
        <f t="shared" si="413"/>
        <v>100.1171370503489</v>
      </c>
      <c r="Y239" s="1345">
        <f t="shared" si="414"/>
        <v>10011.713705034892</v>
      </c>
    </row>
    <row r="240" spans="1:25" x14ac:dyDescent="0.2">
      <c r="A240" s="213" t="str">
        <f t="shared" ref="A240:B240" si="427">A520</f>
        <v>NRCCRM</v>
      </c>
      <c r="B240" s="213" t="str">
        <f t="shared" si="427"/>
        <v>VSL228668</v>
      </c>
      <c r="C240" s="219">
        <f t="shared" si="393"/>
        <v>995.97</v>
      </c>
      <c r="D240" s="219">
        <f t="shared" si="394"/>
        <v>1.27</v>
      </c>
      <c r="E240" s="219">
        <f t="shared" si="395"/>
        <v>997</v>
      </c>
      <c r="F240" s="219">
        <f t="shared" si="396"/>
        <v>7.5</v>
      </c>
      <c r="G240" s="219">
        <f t="shared" si="397"/>
        <v>1</v>
      </c>
      <c r="H240" s="219">
        <f t="shared" si="398"/>
        <v>15</v>
      </c>
      <c r="I240" s="155">
        <f t="shared" si="399"/>
        <v>0</v>
      </c>
      <c r="J240" s="155">
        <f t="shared" si="400"/>
        <v>0</v>
      </c>
      <c r="K240" s="155">
        <f t="shared" si="401"/>
        <v>15</v>
      </c>
      <c r="L240" s="155">
        <f t="shared" si="402"/>
        <v>10</v>
      </c>
      <c r="M240" s="156">
        <f t="shared" si="403"/>
        <v>1.5060694599234916</v>
      </c>
      <c r="N240" s="157">
        <f t="shared" si="404"/>
        <v>0.15060694599234917</v>
      </c>
      <c r="O240" s="155">
        <f t="shared" si="405"/>
        <v>100</v>
      </c>
      <c r="P240" s="250">
        <v>1</v>
      </c>
      <c r="Q240" s="250">
        <v>1000</v>
      </c>
      <c r="R240" s="148">
        <f t="shared" si="407"/>
        <v>15.060694599234916</v>
      </c>
      <c r="S240" s="148">
        <f t="shared" si="408"/>
        <v>1.5060694599234916</v>
      </c>
      <c r="T240" s="148">
        <f t="shared" si="409"/>
        <v>0.15060694599234917</v>
      </c>
      <c r="U240" s="148">
        <f t="shared" si="410"/>
        <v>15.060694599234917</v>
      </c>
      <c r="V240" s="7">
        <f t="shared" si="411"/>
        <v>1000</v>
      </c>
      <c r="W240" s="7">
        <f t="shared" si="412"/>
        <v>1000000</v>
      </c>
      <c r="X240" s="1345">
        <f t="shared" si="413"/>
        <v>150.60694599234915</v>
      </c>
      <c r="Y240" s="1345">
        <f t="shared" si="414"/>
        <v>15060.694599234917</v>
      </c>
    </row>
    <row r="241" spans="1:26" x14ac:dyDescent="0.2">
      <c r="A241" s="213" t="str">
        <f t="shared" ref="A241:B241" si="428">A521</f>
        <v>KRISS</v>
      </c>
      <c r="B241" s="213" t="str">
        <f t="shared" si="428"/>
        <v>VSL229332</v>
      </c>
      <c r="C241" s="219">
        <f t="shared" si="393"/>
        <v>994.28</v>
      </c>
      <c r="D241" s="219">
        <f t="shared" si="394"/>
        <v>1.26</v>
      </c>
      <c r="E241" s="219">
        <f t="shared" si="395"/>
        <v>995.99999999999989</v>
      </c>
      <c r="F241" s="219">
        <f t="shared" si="396"/>
        <v>2</v>
      </c>
      <c r="G241" s="219">
        <f t="shared" si="397"/>
        <v>2</v>
      </c>
      <c r="H241" s="219">
        <f t="shared" si="398"/>
        <v>5</v>
      </c>
      <c r="I241" s="155">
        <f t="shared" si="399"/>
        <v>0</v>
      </c>
      <c r="J241" s="155">
        <f t="shared" si="400"/>
        <v>0</v>
      </c>
      <c r="K241" s="155">
        <f t="shared" si="401"/>
        <v>4</v>
      </c>
      <c r="L241" s="155">
        <f t="shared" si="402"/>
        <v>10</v>
      </c>
      <c r="M241" s="156">
        <f t="shared" si="403"/>
        <v>0.40230116265036009</v>
      </c>
      <c r="N241" s="157">
        <f t="shared" si="404"/>
        <v>4.023011626503601E-2</v>
      </c>
      <c r="O241" s="155">
        <f t="shared" si="405"/>
        <v>100</v>
      </c>
      <c r="P241" s="250">
        <v>1</v>
      </c>
      <c r="Q241" s="250">
        <v>1000</v>
      </c>
      <c r="R241" s="148">
        <f t="shared" si="407"/>
        <v>4.0230116265036013</v>
      </c>
      <c r="S241" s="148">
        <f t="shared" si="408"/>
        <v>0.40230116265036009</v>
      </c>
      <c r="T241" s="148">
        <f t="shared" si="409"/>
        <v>4.0230116265036017E-2</v>
      </c>
      <c r="U241" s="148">
        <f t="shared" si="410"/>
        <v>4.0230116265036013</v>
      </c>
      <c r="V241" s="7">
        <f t="shared" si="411"/>
        <v>1000</v>
      </c>
      <c r="W241" s="7">
        <f t="shared" si="412"/>
        <v>1000000</v>
      </c>
      <c r="X241" s="1345">
        <f t="shared" si="413"/>
        <v>40.230116265036017</v>
      </c>
      <c r="Y241" s="1345">
        <f t="shared" si="414"/>
        <v>4023.0116265036013</v>
      </c>
    </row>
    <row r="242" spans="1:26" ht="14.25" x14ac:dyDescent="0.2">
      <c r="H242" s="9"/>
      <c r="U242" s="152"/>
      <c r="V242" s="21"/>
      <c r="W242" s="21"/>
      <c r="X242" s="21"/>
      <c r="Y242" s="21"/>
      <c r="Z242" s="21"/>
    </row>
    <row r="243" spans="1:26" ht="15.75" x14ac:dyDescent="0.2">
      <c r="A243" s="103" t="str">
        <f>A523</f>
        <v>Methane, mixture I</v>
      </c>
      <c r="B243" s="97"/>
      <c r="C243" s="97"/>
      <c r="D243" s="97"/>
      <c r="E243" s="97"/>
      <c r="F243" s="97"/>
      <c r="G243" s="97"/>
      <c r="H243" s="97"/>
      <c r="I243" s="113"/>
      <c r="J243" s="113"/>
      <c r="K243" s="113"/>
      <c r="L243" s="113"/>
      <c r="M243" s="113"/>
      <c r="N243" s="113"/>
      <c r="O243" s="113"/>
      <c r="R243" s="113"/>
      <c r="S243" s="113"/>
      <c r="T243" s="146"/>
      <c r="U243" s="146"/>
    </row>
    <row r="244" spans="1:26" ht="102" x14ac:dyDescent="0.2">
      <c r="A244" s="211" t="s">
        <v>0</v>
      </c>
      <c r="B244" s="212" t="s">
        <v>1</v>
      </c>
      <c r="C244" s="212" t="s">
        <v>133</v>
      </c>
      <c r="D244" s="212" t="s">
        <v>199</v>
      </c>
      <c r="E244" s="212" t="s">
        <v>135</v>
      </c>
      <c r="F244" s="212" t="s">
        <v>200</v>
      </c>
      <c r="G244" s="212" t="s">
        <v>137</v>
      </c>
      <c r="H244" s="212" t="s">
        <v>201</v>
      </c>
      <c r="I244" s="104" t="s">
        <v>8</v>
      </c>
      <c r="J244" s="104" t="s">
        <v>9</v>
      </c>
      <c r="K244" s="104" t="s">
        <v>107</v>
      </c>
      <c r="L244" s="104" t="s">
        <v>14</v>
      </c>
      <c r="M244" s="104" t="s">
        <v>1057</v>
      </c>
      <c r="N244" s="104" t="s">
        <v>1058</v>
      </c>
      <c r="O244" s="104" t="s">
        <v>100</v>
      </c>
      <c r="P244" s="6" t="s">
        <v>105</v>
      </c>
      <c r="Q244" s="6" t="s">
        <v>106</v>
      </c>
      <c r="R244" s="104" t="s">
        <v>1051</v>
      </c>
      <c r="S244" s="104" t="s">
        <v>1052</v>
      </c>
      <c r="T244" s="147" t="s">
        <v>1053</v>
      </c>
      <c r="U244" s="147" t="s">
        <v>1054</v>
      </c>
      <c r="V244" s="5" t="s">
        <v>101</v>
      </c>
      <c r="W244" s="5" t="s">
        <v>102</v>
      </c>
      <c r="X244" s="112" t="s">
        <v>1055</v>
      </c>
      <c r="Y244" s="112" t="s">
        <v>1056</v>
      </c>
    </row>
    <row r="245" spans="1:26" x14ac:dyDescent="0.2">
      <c r="A245" s="213" t="str">
        <f>A525</f>
        <v>NPL</v>
      </c>
      <c r="B245" s="213" t="str">
        <f>B525</f>
        <v>VSL202748</v>
      </c>
      <c r="C245" s="219">
        <f t="shared" ref="C245:C260" si="429">C525*10000</f>
        <v>905943</v>
      </c>
      <c r="D245" s="219">
        <f t="shared" ref="D245:D260" si="430">F525*10000</f>
        <v>202</v>
      </c>
      <c r="E245" s="219">
        <f t="shared" ref="E245:E260" si="431">G525*10000</f>
        <v>905980</v>
      </c>
      <c r="F245" s="219">
        <f t="shared" ref="F245:F260" si="432">H525/I525*10000</f>
        <v>317</v>
      </c>
      <c r="G245" s="219">
        <f t="shared" ref="G245:G260" si="433">J525*10000</f>
        <v>40</v>
      </c>
      <c r="H245" s="219">
        <f t="shared" ref="H245:H260" si="434">L525*10000</f>
        <v>750</v>
      </c>
      <c r="I245" s="155">
        <f t="shared" ref="I245:I260" si="435">IF(ABS(G245)&gt;ABS(H245), 1, 0)</f>
        <v>0</v>
      </c>
      <c r="J245" s="155">
        <f t="shared" ref="J245:J260" si="436">I245*ABS(C245-E245)</f>
        <v>0</v>
      </c>
      <c r="K245" s="155">
        <f t="shared" ref="K245:K260" si="437">SQRT(SUMSQ(F245,J245))*2</f>
        <v>634</v>
      </c>
      <c r="L245" s="155">
        <f t="shared" ref="L245:L260" si="438">IF(C245&lt;$K$2, C245, $K$1)</f>
        <v>10</v>
      </c>
      <c r="M245" s="156">
        <f t="shared" ref="M245:M260" si="439">IF(AND(C245&lt;$K$1,C245&gt; $K$2), K245/L245*100, K245/C245*100)</f>
        <v>6.9982327806495548E-2</v>
      </c>
      <c r="N245" s="157">
        <f t="shared" ref="N245:N260" si="440">M245*L245/100</f>
        <v>6.9982327806495546E-3</v>
      </c>
      <c r="O245" s="155">
        <f t="shared" ref="O245:O260" si="441">N245/(M245*L245/100)*100</f>
        <v>100</v>
      </c>
      <c r="P245" s="250">
        <v>1</v>
      </c>
      <c r="Q245" s="250">
        <v>1000</v>
      </c>
      <c r="R245" s="148">
        <f>IF( IF(P245&lt;L245, M245*L245/P245, M245)&gt;100, "ERROR",  IF(P245&lt;L245, M245*L245/P245, M245))</f>
        <v>0.69982327806495548</v>
      </c>
      <c r="S245" s="148">
        <f>IF(IF(Q245&lt;L245, M245*L245/Q245, M245)&gt;100, "ERROR", IF(Q245&lt;L245, M245*L245/Q245, M245))</f>
        <v>6.9982327806495548E-2</v>
      </c>
      <c r="T245" s="148">
        <f>R245*P245*0.01</f>
        <v>6.9982327806495546E-3</v>
      </c>
      <c r="U245" s="148">
        <f>S245*Q245*0.01</f>
        <v>0.69982327806495548</v>
      </c>
      <c r="V245" s="7">
        <f>P245*1000</f>
        <v>1000</v>
      </c>
      <c r="W245" s="7">
        <f>Q245*1000</f>
        <v>1000000</v>
      </c>
      <c r="X245" s="1345">
        <f>T245*1000</f>
        <v>6.9982327806495546</v>
      </c>
      <c r="Y245" s="1345">
        <f>U245*1000</f>
        <v>699.8232780649555</v>
      </c>
    </row>
    <row r="246" spans="1:26" x14ac:dyDescent="0.2">
      <c r="A246" s="213" t="str">
        <f t="shared" ref="A246:B246" si="442">A526</f>
        <v>SMU</v>
      </c>
      <c r="B246" s="213" t="str">
        <f t="shared" si="442"/>
        <v>VSL100039</v>
      </c>
      <c r="C246" s="219">
        <f t="shared" si="429"/>
        <v>906185</v>
      </c>
      <c r="D246" s="219">
        <f t="shared" si="430"/>
        <v>182</v>
      </c>
      <c r="E246" s="219">
        <f t="shared" si="431"/>
        <v>907099.99999999988</v>
      </c>
      <c r="F246" s="219">
        <f t="shared" si="432"/>
        <v>1350</v>
      </c>
      <c r="G246" s="219">
        <f t="shared" si="433"/>
        <v>920</v>
      </c>
      <c r="H246" s="219">
        <f t="shared" si="434"/>
        <v>2720</v>
      </c>
      <c r="I246" s="155">
        <f t="shared" si="435"/>
        <v>0</v>
      </c>
      <c r="J246" s="155">
        <f t="shared" si="436"/>
        <v>0</v>
      </c>
      <c r="K246" s="155">
        <f t="shared" si="437"/>
        <v>2700</v>
      </c>
      <c r="L246" s="155">
        <f t="shared" si="438"/>
        <v>10</v>
      </c>
      <c r="M246" s="156">
        <f t="shared" si="439"/>
        <v>0.29795240486214186</v>
      </c>
      <c r="N246" s="157">
        <f t="shared" si="440"/>
        <v>2.9795240486214184E-2</v>
      </c>
      <c r="O246" s="155">
        <f t="shared" si="441"/>
        <v>100</v>
      </c>
      <c r="P246" s="250">
        <v>1</v>
      </c>
      <c r="Q246" s="250">
        <v>1000</v>
      </c>
      <c r="R246" s="148">
        <f t="shared" ref="R246:R260" si="443">IF( IF(P246&lt;L246, M246*L246/P246, M246)&gt;100, "ERROR",  IF(P246&lt;L246, M246*L246/P246, M246))</f>
        <v>2.9795240486214185</v>
      </c>
      <c r="S246" s="148">
        <f t="shared" ref="S246:S260" si="444">IF(IF(Q246&lt;L246, M246*L246/Q246, M246)&gt;100, "ERROR", IF(Q246&lt;L246, M246*L246/Q246, M246))</f>
        <v>0.29795240486214186</v>
      </c>
      <c r="T246" s="148">
        <f t="shared" ref="T246:T260" si="445">R246*P246*0.01</f>
        <v>2.9795240486214184E-2</v>
      </c>
      <c r="U246" s="148">
        <f t="shared" ref="U246:U260" si="446">S246*Q246*0.01</f>
        <v>2.9795240486214185</v>
      </c>
      <c r="V246" s="7">
        <f t="shared" ref="V246:V260" si="447">P246*1000</f>
        <v>1000</v>
      </c>
      <c r="W246" s="7">
        <f t="shared" ref="W246:W260" si="448">Q246*1000</f>
        <v>1000000</v>
      </c>
      <c r="X246" s="1345">
        <f t="shared" ref="X246:X260" si="449">T246*1000</f>
        <v>29.795240486214183</v>
      </c>
      <c r="Y246" s="1345">
        <f t="shared" ref="Y246:Y260" si="450">U246*1000</f>
        <v>2979.5240486214184</v>
      </c>
    </row>
    <row r="247" spans="1:26" x14ac:dyDescent="0.2">
      <c r="A247" s="213" t="str">
        <f t="shared" ref="A247:B247" si="451">A527</f>
        <v>CMI</v>
      </c>
      <c r="B247" s="213" t="str">
        <f t="shared" si="451"/>
        <v>VSL100059</v>
      </c>
      <c r="C247" s="219">
        <f t="shared" si="429"/>
        <v>906138</v>
      </c>
      <c r="D247" s="219">
        <f t="shared" si="430"/>
        <v>182</v>
      </c>
      <c r="E247" s="219">
        <f t="shared" si="431"/>
        <v>905970</v>
      </c>
      <c r="F247" s="219">
        <f t="shared" si="432"/>
        <v>3075</v>
      </c>
      <c r="G247" s="219">
        <f t="shared" si="433"/>
        <v>-170</v>
      </c>
      <c r="H247" s="219">
        <f t="shared" si="434"/>
        <v>6160</v>
      </c>
      <c r="I247" s="155">
        <f t="shared" si="435"/>
        <v>0</v>
      </c>
      <c r="J247" s="155">
        <f t="shared" si="436"/>
        <v>0</v>
      </c>
      <c r="K247" s="155">
        <f t="shared" si="437"/>
        <v>6150</v>
      </c>
      <c r="L247" s="155">
        <f t="shared" si="438"/>
        <v>10</v>
      </c>
      <c r="M247" s="156">
        <f t="shared" si="439"/>
        <v>0.67870456817835689</v>
      </c>
      <c r="N247" s="157">
        <f t="shared" si="440"/>
        <v>6.7870456817835698E-2</v>
      </c>
      <c r="O247" s="155">
        <f t="shared" si="441"/>
        <v>100</v>
      </c>
      <c r="P247" s="250">
        <v>1</v>
      </c>
      <c r="Q247" s="250">
        <v>1000</v>
      </c>
      <c r="R247" s="148">
        <f t="shared" si="443"/>
        <v>6.7870456817835692</v>
      </c>
      <c r="S247" s="148">
        <f t="shared" si="444"/>
        <v>0.67870456817835689</v>
      </c>
      <c r="T247" s="148">
        <f t="shared" si="445"/>
        <v>6.7870456817835698E-2</v>
      </c>
      <c r="U247" s="148">
        <f t="shared" si="446"/>
        <v>6.7870456817835692</v>
      </c>
      <c r="V247" s="7">
        <f t="shared" si="447"/>
        <v>1000</v>
      </c>
      <c r="W247" s="7">
        <f t="shared" si="448"/>
        <v>1000000</v>
      </c>
      <c r="X247" s="1345">
        <f t="shared" si="449"/>
        <v>67.870456817835702</v>
      </c>
      <c r="Y247" s="1345">
        <f t="shared" si="450"/>
        <v>6787.0456817835693</v>
      </c>
    </row>
    <row r="248" spans="1:26" x14ac:dyDescent="0.2">
      <c r="A248" s="213" t="str">
        <f t="shared" ref="A248:B248" si="452">A528</f>
        <v>VNIIM</v>
      </c>
      <c r="B248" s="213" t="str">
        <f t="shared" si="452"/>
        <v>VSL126708</v>
      </c>
      <c r="C248" s="219">
        <f t="shared" si="429"/>
        <v>905831</v>
      </c>
      <c r="D248" s="219">
        <f t="shared" si="430"/>
        <v>182</v>
      </c>
      <c r="E248" s="219">
        <f t="shared" si="431"/>
        <v>905990</v>
      </c>
      <c r="F248" s="219">
        <f t="shared" si="432"/>
        <v>60</v>
      </c>
      <c r="G248" s="219">
        <f t="shared" si="433"/>
        <v>160</v>
      </c>
      <c r="H248" s="219">
        <f t="shared" si="434"/>
        <v>380</v>
      </c>
      <c r="I248" s="155">
        <f t="shared" si="435"/>
        <v>0</v>
      </c>
      <c r="J248" s="155">
        <f t="shared" si="436"/>
        <v>0</v>
      </c>
      <c r="K248" s="155">
        <f t="shared" si="437"/>
        <v>120</v>
      </c>
      <c r="L248" s="155">
        <f t="shared" si="438"/>
        <v>10</v>
      </c>
      <c r="M248" s="156">
        <f t="shared" si="439"/>
        <v>1.3247504225401868E-2</v>
      </c>
      <c r="N248" s="157">
        <f t="shared" si="440"/>
        <v>1.3247504225401868E-3</v>
      </c>
      <c r="O248" s="155">
        <f t="shared" si="441"/>
        <v>100</v>
      </c>
      <c r="P248" s="250">
        <v>1</v>
      </c>
      <c r="Q248" s="250">
        <v>1000</v>
      </c>
      <c r="R248" s="148">
        <f t="shared" si="443"/>
        <v>0.13247504225401868</v>
      </c>
      <c r="S248" s="148">
        <f t="shared" si="444"/>
        <v>1.3247504225401868E-2</v>
      </c>
      <c r="T248" s="148">
        <f t="shared" si="445"/>
        <v>1.3247504225401868E-3</v>
      </c>
      <c r="U248" s="148">
        <f t="shared" si="446"/>
        <v>0.13247504225401868</v>
      </c>
      <c r="V248" s="7">
        <f t="shared" si="447"/>
        <v>1000</v>
      </c>
      <c r="W248" s="7">
        <f t="shared" si="448"/>
        <v>1000000</v>
      </c>
      <c r="X248" s="1345">
        <f t="shared" si="449"/>
        <v>1.3247504225401869</v>
      </c>
      <c r="Y248" s="1345">
        <f t="shared" si="450"/>
        <v>132.47504225401869</v>
      </c>
    </row>
    <row r="249" spans="1:26" x14ac:dyDescent="0.2">
      <c r="A249" s="213" t="str">
        <f t="shared" ref="A249:B249" si="453">A529</f>
        <v>OMH</v>
      </c>
      <c r="B249" s="213" t="str">
        <f t="shared" si="453"/>
        <v>VSL100051</v>
      </c>
      <c r="C249" s="219">
        <f t="shared" si="429"/>
        <v>905975</v>
      </c>
      <c r="D249" s="219">
        <f t="shared" si="430"/>
        <v>182</v>
      </c>
      <c r="E249" s="219">
        <f t="shared" si="431"/>
        <v>906067</v>
      </c>
      <c r="F249" s="219">
        <f t="shared" si="432"/>
        <v>41.97530864197531</v>
      </c>
      <c r="G249" s="219">
        <f t="shared" si="433"/>
        <v>90</v>
      </c>
      <c r="H249" s="219">
        <f t="shared" si="434"/>
        <v>370</v>
      </c>
      <c r="I249" s="155">
        <f t="shared" si="435"/>
        <v>0</v>
      </c>
      <c r="J249" s="155">
        <f t="shared" si="436"/>
        <v>0</v>
      </c>
      <c r="K249" s="155">
        <f t="shared" si="437"/>
        <v>83.950617283950621</v>
      </c>
      <c r="L249" s="155">
        <f t="shared" si="438"/>
        <v>10</v>
      </c>
      <c r="M249" s="156">
        <f t="shared" si="439"/>
        <v>9.2663282412815597E-3</v>
      </c>
      <c r="N249" s="157">
        <f t="shared" si="440"/>
        <v>9.2663282412815606E-4</v>
      </c>
      <c r="O249" s="155">
        <f t="shared" si="441"/>
        <v>100</v>
      </c>
      <c r="P249" s="250">
        <v>1</v>
      </c>
      <c r="Q249" s="250">
        <v>1000</v>
      </c>
      <c r="R249" s="148">
        <f t="shared" si="443"/>
        <v>9.2663282412815601E-2</v>
      </c>
      <c r="S249" s="148">
        <f t="shared" si="444"/>
        <v>9.2663282412815597E-3</v>
      </c>
      <c r="T249" s="148">
        <f t="shared" si="445"/>
        <v>9.2663282412815606E-4</v>
      </c>
      <c r="U249" s="148">
        <f t="shared" si="446"/>
        <v>9.2663282412815601E-2</v>
      </c>
      <c r="V249" s="7">
        <f t="shared" si="447"/>
        <v>1000</v>
      </c>
      <c r="W249" s="7">
        <f t="shared" si="448"/>
        <v>1000000</v>
      </c>
      <c r="X249" s="1345">
        <f t="shared" si="449"/>
        <v>0.92663282412815606</v>
      </c>
      <c r="Y249" s="1345">
        <f t="shared" si="450"/>
        <v>92.663282412815605</v>
      </c>
    </row>
    <row r="250" spans="1:26" x14ac:dyDescent="0.2">
      <c r="A250" s="213" t="str">
        <f t="shared" ref="A250:B250" si="454">A530</f>
        <v>LNE</v>
      </c>
      <c r="B250" s="213" t="str">
        <f t="shared" si="454"/>
        <v>VSL124466</v>
      </c>
      <c r="C250" s="219">
        <f t="shared" si="429"/>
        <v>906227</v>
      </c>
      <c r="D250" s="219">
        <f t="shared" si="430"/>
        <v>182</v>
      </c>
      <c r="E250" s="219">
        <f t="shared" si="431"/>
        <v>906800.00000000012</v>
      </c>
      <c r="F250" s="219">
        <f t="shared" si="432"/>
        <v>3000</v>
      </c>
      <c r="G250" s="219">
        <f t="shared" si="433"/>
        <v>570</v>
      </c>
      <c r="H250" s="219">
        <f t="shared" si="434"/>
        <v>6010</v>
      </c>
      <c r="I250" s="155">
        <f t="shared" si="435"/>
        <v>0</v>
      </c>
      <c r="J250" s="155">
        <f t="shared" si="436"/>
        <v>0</v>
      </c>
      <c r="K250" s="155">
        <f t="shared" si="437"/>
        <v>6000</v>
      </c>
      <c r="L250" s="155">
        <f t="shared" si="438"/>
        <v>10</v>
      </c>
      <c r="M250" s="156">
        <f t="shared" si="439"/>
        <v>0.66208576879744252</v>
      </c>
      <c r="N250" s="157">
        <f t="shared" si="440"/>
        <v>6.6208576879744255E-2</v>
      </c>
      <c r="O250" s="155">
        <f t="shared" si="441"/>
        <v>100</v>
      </c>
      <c r="P250" s="250">
        <v>1</v>
      </c>
      <c r="Q250" s="250">
        <v>1000</v>
      </c>
      <c r="R250" s="148">
        <f t="shared" si="443"/>
        <v>6.620857687974425</v>
      </c>
      <c r="S250" s="148">
        <f t="shared" si="444"/>
        <v>0.66208576879744252</v>
      </c>
      <c r="T250" s="148">
        <f t="shared" si="445"/>
        <v>6.6208576879744255E-2</v>
      </c>
      <c r="U250" s="148">
        <f t="shared" si="446"/>
        <v>6.620857687974425</v>
      </c>
      <c r="V250" s="7">
        <f t="shared" si="447"/>
        <v>1000</v>
      </c>
      <c r="W250" s="7">
        <f t="shared" si="448"/>
        <v>1000000</v>
      </c>
      <c r="X250" s="1345">
        <f t="shared" si="449"/>
        <v>66.208576879744257</v>
      </c>
      <c r="Y250" s="1345">
        <f t="shared" si="450"/>
        <v>6620.8576879744251</v>
      </c>
    </row>
    <row r="251" spans="1:26" x14ac:dyDescent="0.2">
      <c r="A251" s="213" t="str">
        <f t="shared" ref="A251:B251" si="455">A531</f>
        <v>NMi VSL</v>
      </c>
      <c r="B251" s="213" t="str">
        <f t="shared" si="455"/>
        <v>VSL226686</v>
      </c>
      <c r="C251" s="219">
        <f t="shared" si="429"/>
        <v>905599</v>
      </c>
      <c r="D251" s="219">
        <f t="shared" si="430"/>
        <v>202</v>
      </c>
      <c r="E251" s="219">
        <f t="shared" si="431"/>
        <v>905300</v>
      </c>
      <c r="F251" s="219">
        <f t="shared" si="432"/>
        <v>550</v>
      </c>
      <c r="G251" s="219">
        <f t="shared" si="433"/>
        <v>-300</v>
      </c>
      <c r="H251" s="219">
        <f t="shared" si="434"/>
        <v>1170</v>
      </c>
      <c r="I251" s="155">
        <f t="shared" si="435"/>
        <v>0</v>
      </c>
      <c r="J251" s="155">
        <f t="shared" si="436"/>
        <v>0</v>
      </c>
      <c r="K251" s="155">
        <f t="shared" si="437"/>
        <v>1100</v>
      </c>
      <c r="L251" s="155">
        <f t="shared" si="438"/>
        <v>10</v>
      </c>
      <c r="M251" s="156">
        <f t="shared" si="439"/>
        <v>0.12146656522368068</v>
      </c>
      <c r="N251" s="157">
        <f t="shared" si="440"/>
        <v>1.2146656522368069E-2</v>
      </c>
      <c r="O251" s="155">
        <f t="shared" si="441"/>
        <v>100</v>
      </c>
      <c r="P251" s="250">
        <v>1</v>
      </c>
      <c r="Q251" s="250">
        <v>1000</v>
      </c>
      <c r="R251" s="148">
        <f t="shared" si="443"/>
        <v>1.2146656522368069</v>
      </c>
      <c r="S251" s="148">
        <f t="shared" si="444"/>
        <v>0.12146656522368068</v>
      </c>
      <c r="T251" s="148">
        <f t="shared" si="445"/>
        <v>1.2146656522368069E-2</v>
      </c>
      <c r="U251" s="148">
        <f t="shared" si="446"/>
        <v>1.2146656522368069</v>
      </c>
      <c r="V251" s="7">
        <f t="shared" si="447"/>
        <v>1000</v>
      </c>
      <c r="W251" s="7">
        <f t="shared" si="448"/>
        <v>1000000</v>
      </c>
      <c r="X251" s="1345">
        <f t="shared" si="449"/>
        <v>12.146656522368069</v>
      </c>
      <c r="Y251" s="1345">
        <f t="shared" si="450"/>
        <v>1214.6656522368069</v>
      </c>
    </row>
    <row r="252" spans="1:26" x14ac:dyDescent="0.2">
      <c r="A252" s="213" t="str">
        <f t="shared" ref="A252:B252" si="456">A532</f>
        <v>CENAM</v>
      </c>
      <c r="B252" s="213" t="str">
        <f t="shared" si="456"/>
        <v>VSL126717</v>
      </c>
      <c r="C252" s="219">
        <f t="shared" si="429"/>
        <v>905717.00000000012</v>
      </c>
      <c r="D252" s="219">
        <f t="shared" si="430"/>
        <v>182</v>
      </c>
      <c r="E252" s="219">
        <f t="shared" si="431"/>
        <v>0</v>
      </c>
      <c r="F252" s="219">
        <f t="shared" si="432"/>
        <v>0</v>
      </c>
      <c r="G252" s="219">
        <f t="shared" si="433"/>
        <v>0</v>
      </c>
      <c r="H252" s="219">
        <f t="shared" si="434"/>
        <v>0</v>
      </c>
      <c r="I252" s="155">
        <f t="shared" si="435"/>
        <v>0</v>
      </c>
      <c r="J252" s="155">
        <f t="shared" si="436"/>
        <v>0</v>
      </c>
      <c r="K252" s="155">
        <f t="shared" si="437"/>
        <v>0</v>
      </c>
      <c r="L252" s="155">
        <f t="shared" si="438"/>
        <v>10</v>
      </c>
      <c r="M252" s="156">
        <f t="shared" si="439"/>
        <v>0</v>
      </c>
      <c r="N252" s="157">
        <f t="shared" si="440"/>
        <v>0</v>
      </c>
      <c r="O252" s="155" t="e">
        <f t="shared" si="441"/>
        <v>#DIV/0!</v>
      </c>
      <c r="P252" s="250">
        <v>1</v>
      </c>
      <c r="Q252" s="250">
        <v>1000</v>
      </c>
      <c r="R252" s="148">
        <f t="shared" si="443"/>
        <v>0</v>
      </c>
      <c r="S252" s="148">
        <f t="shared" si="444"/>
        <v>0</v>
      </c>
      <c r="T252" s="148">
        <f t="shared" si="445"/>
        <v>0</v>
      </c>
      <c r="U252" s="148">
        <f t="shared" si="446"/>
        <v>0</v>
      </c>
      <c r="V252" s="7">
        <f t="shared" si="447"/>
        <v>1000</v>
      </c>
      <c r="W252" s="7">
        <f t="shared" si="448"/>
        <v>1000000</v>
      </c>
      <c r="X252" s="1345">
        <f t="shared" si="449"/>
        <v>0</v>
      </c>
      <c r="Y252" s="1345">
        <f t="shared" si="450"/>
        <v>0</v>
      </c>
    </row>
    <row r="253" spans="1:26" x14ac:dyDescent="0.2">
      <c r="A253" s="213" t="str">
        <f t="shared" ref="A253:B253" si="457">A533</f>
        <v>CEM</v>
      </c>
      <c r="B253" s="213" t="str">
        <f t="shared" si="457"/>
        <v>VSL100066</v>
      </c>
      <c r="C253" s="219">
        <f t="shared" si="429"/>
        <v>905799</v>
      </c>
      <c r="D253" s="219">
        <f t="shared" si="430"/>
        <v>182</v>
      </c>
      <c r="E253" s="219">
        <f t="shared" si="431"/>
        <v>905280</v>
      </c>
      <c r="F253" s="219">
        <f t="shared" si="432"/>
        <v>2155</v>
      </c>
      <c r="G253" s="219">
        <f t="shared" si="433"/>
        <v>-520</v>
      </c>
      <c r="H253" s="219">
        <f t="shared" si="434"/>
        <v>4330</v>
      </c>
      <c r="I253" s="155">
        <f t="shared" si="435"/>
        <v>0</v>
      </c>
      <c r="J253" s="155">
        <f t="shared" si="436"/>
        <v>0</v>
      </c>
      <c r="K253" s="155">
        <f t="shared" si="437"/>
        <v>4310</v>
      </c>
      <c r="L253" s="155">
        <f t="shared" si="438"/>
        <v>10</v>
      </c>
      <c r="M253" s="156">
        <f t="shared" si="439"/>
        <v>0.4758230026749864</v>
      </c>
      <c r="N253" s="157">
        <f t="shared" si="440"/>
        <v>4.7582300267498635E-2</v>
      </c>
      <c r="O253" s="155">
        <f t="shared" si="441"/>
        <v>100</v>
      </c>
      <c r="P253" s="250">
        <v>1</v>
      </c>
      <c r="Q253" s="250">
        <v>1000</v>
      </c>
      <c r="R253" s="148">
        <f t="shared" si="443"/>
        <v>4.7582300267498638</v>
      </c>
      <c r="S253" s="148">
        <f t="shared" si="444"/>
        <v>0.4758230026749864</v>
      </c>
      <c r="T253" s="148">
        <f t="shared" si="445"/>
        <v>4.7582300267498642E-2</v>
      </c>
      <c r="U253" s="148">
        <f t="shared" si="446"/>
        <v>4.7582300267498638</v>
      </c>
      <c r="V253" s="7">
        <f t="shared" si="447"/>
        <v>1000</v>
      </c>
      <c r="W253" s="7">
        <f t="shared" si="448"/>
        <v>1000000</v>
      </c>
      <c r="X253" s="1345">
        <f t="shared" si="449"/>
        <v>47.582300267498645</v>
      </c>
      <c r="Y253" s="1345">
        <f t="shared" si="450"/>
        <v>4758.230026749864</v>
      </c>
    </row>
    <row r="254" spans="1:26" x14ac:dyDescent="0.2">
      <c r="A254" s="213" t="str">
        <f t="shared" ref="A254:B254" si="458">A534</f>
        <v>BAM</v>
      </c>
      <c r="B254" s="213" t="str">
        <f t="shared" si="458"/>
        <v>VSL100042</v>
      </c>
      <c r="C254" s="219">
        <f t="shared" si="429"/>
        <v>905986</v>
      </c>
      <c r="D254" s="219">
        <f t="shared" si="430"/>
        <v>182</v>
      </c>
      <c r="E254" s="219">
        <f t="shared" si="431"/>
        <v>905938</v>
      </c>
      <c r="F254" s="219">
        <f t="shared" si="432"/>
        <v>453</v>
      </c>
      <c r="G254" s="219">
        <f t="shared" si="433"/>
        <v>-50</v>
      </c>
      <c r="H254" s="219">
        <f t="shared" si="434"/>
        <v>980</v>
      </c>
      <c r="I254" s="155">
        <f t="shared" si="435"/>
        <v>0</v>
      </c>
      <c r="J254" s="155">
        <f t="shared" si="436"/>
        <v>0</v>
      </c>
      <c r="K254" s="155">
        <f t="shared" si="437"/>
        <v>906</v>
      </c>
      <c r="L254" s="155">
        <f t="shared" si="438"/>
        <v>10</v>
      </c>
      <c r="M254" s="156">
        <f t="shared" si="439"/>
        <v>0.10000154527774159</v>
      </c>
      <c r="N254" s="157">
        <f t="shared" si="440"/>
        <v>1.0000154527774158E-2</v>
      </c>
      <c r="O254" s="155">
        <f t="shared" si="441"/>
        <v>100</v>
      </c>
      <c r="P254" s="250">
        <v>1</v>
      </c>
      <c r="Q254" s="250">
        <v>1000</v>
      </c>
      <c r="R254" s="148">
        <f t="shared" si="443"/>
        <v>1.0000154527774159</v>
      </c>
      <c r="S254" s="148">
        <f t="shared" si="444"/>
        <v>0.10000154527774159</v>
      </c>
      <c r="T254" s="148">
        <f t="shared" si="445"/>
        <v>1.0000154527774158E-2</v>
      </c>
      <c r="U254" s="148">
        <f t="shared" si="446"/>
        <v>1.0000154527774159</v>
      </c>
      <c r="V254" s="7">
        <f t="shared" si="447"/>
        <v>1000</v>
      </c>
      <c r="W254" s="7">
        <f t="shared" si="448"/>
        <v>1000000</v>
      </c>
      <c r="X254" s="1345">
        <f t="shared" si="449"/>
        <v>10.000154527774159</v>
      </c>
      <c r="Y254" s="1345">
        <f t="shared" si="450"/>
        <v>1000.0154527774159</v>
      </c>
    </row>
    <row r="255" spans="1:26" x14ac:dyDescent="0.2">
      <c r="A255" s="213" t="str">
        <f t="shared" ref="A255:B255" si="459">A535</f>
        <v>NMIA</v>
      </c>
      <c r="B255" s="213" t="str">
        <f t="shared" si="459"/>
        <v>VSL126712</v>
      </c>
      <c r="C255" s="219">
        <f t="shared" si="429"/>
        <v>905913.99999999988</v>
      </c>
      <c r="D255" s="219">
        <f t="shared" si="430"/>
        <v>182</v>
      </c>
      <c r="E255" s="219">
        <f t="shared" si="431"/>
        <v>905500</v>
      </c>
      <c r="F255" s="219">
        <f t="shared" si="432"/>
        <v>229.35779816513764</v>
      </c>
      <c r="G255" s="219">
        <f t="shared" si="433"/>
        <v>-410</v>
      </c>
      <c r="H255" s="219">
        <f t="shared" si="434"/>
        <v>590</v>
      </c>
      <c r="I255" s="155">
        <f t="shared" si="435"/>
        <v>0</v>
      </c>
      <c r="J255" s="155">
        <f t="shared" si="436"/>
        <v>0</v>
      </c>
      <c r="K255" s="155">
        <f t="shared" si="437"/>
        <v>458.71559633027528</v>
      </c>
      <c r="L255" s="155">
        <f t="shared" si="438"/>
        <v>10</v>
      </c>
      <c r="M255" s="156">
        <f t="shared" si="439"/>
        <v>5.0635666998222272E-2</v>
      </c>
      <c r="N255" s="157">
        <f t="shared" si="440"/>
        <v>5.0635666998222273E-3</v>
      </c>
      <c r="O255" s="155">
        <f t="shared" si="441"/>
        <v>100</v>
      </c>
      <c r="P255" s="250">
        <v>1</v>
      </c>
      <c r="Q255" s="250">
        <v>1000</v>
      </c>
      <c r="R255" s="148">
        <f t="shared" si="443"/>
        <v>0.50635666998222273</v>
      </c>
      <c r="S255" s="148">
        <f t="shared" si="444"/>
        <v>5.0635666998222272E-2</v>
      </c>
      <c r="T255" s="148">
        <f t="shared" si="445"/>
        <v>5.0635666998222273E-3</v>
      </c>
      <c r="U255" s="148">
        <f t="shared" si="446"/>
        <v>0.50635666998222273</v>
      </c>
      <c r="V255" s="7">
        <f t="shared" si="447"/>
        <v>1000</v>
      </c>
      <c r="W255" s="7">
        <f t="shared" si="448"/>
        <v>1000000</v>
      </c>
      <c r="X255" s="1345">
        <f t="shared" si="449"/>
        <v>5.0635666998222275</v>
      </c>
      <c r="Y255" s="1345">
        <f t="shared" si="450"/>
        <v>506.35666998222274</v>
      </c>
    </row>
    <row r="256" spans="1:26" x14ac:dyDescent="0.2">
      <c r="A256" s="213" t="str">
        <f t="shared" ref="A256:B256" si="460">A536</f>
        <v>IPQ</v>
      </c>
      <c r="B256" s="213" t="str">
        <f t="shared" si="460"/>
        <v>VSL100038</v>
      </c>
      <c r="C256" s="219">
        <f t="shared" si="429"/>
        <v>906110.99999999988</v>
      </c>
      <c r="D256" s="219">
        <f t="shared" si="430"/>
        <v>182</v>
      </c>
      <c r="E256" s="219">
        <f t="shared" si="431"/>
        <v>905100</v>
      </c>
      <c r="F256" s="219">
        <f t="shared" si="432"/>
        <v>1650</v>
      </c>
      <c r="G256" s="219">
        <f t="shared" si="433"/>
        <v>-1010.0000000000001</v>
      </c>
      <c r="H256" s="219">
        <f t="shared" si="434"/>
        <v>3320</v>
      </c>
      <c r="I256" s="155">
        <f t="shared" si="435"/>
        <v>0</v>
      </c>
      <c r="J256" s="155">
        <f t="shared" si="436"/>
        <v>0</v>
      </c>
      <c r="K256" s="155">
        <f t="shared" si="437"/>
        <v>3300</v>
      </c>
      <c r="L256" s="155">
        <f t="shared" si="438"/>
        <v>10</v>
      </c>
      <c r="M256" s="156">
        <f t="shared" si="439"/>
        <v>0.36419379082695169</v>
      </c>
      <c r="N256" s="157">
        <f t="shared" si="440"/>
        <v>3.6419379082695172E-2</v>
      </c>
      <c r="O256" s="155">
        <f t="shared" si="441"/>
        <v>100</v>
      </c>
      <c r="P256" s="250">
        <v>1</v>
      </c>
      <c r="Q256" s="250">
        <v>1000</v>
      </c>
      <c r="R256" s="148">
        <f t="shared" si="443"/>
        <v>3.6419379082695169</v>
      </c>
      <c r="S256" s="148">
        <f t="shared" si="444"/>
        <v>0.36419379082695169</v>
      </c>
      <c r="T256" s="148">
        <f t="shared" si="445"/>
        <v>3.6419379082695172E-2</v>
      </c>
      <c r="U256" s="148">
        <f t="shared" si="446"/>
        <v>3.6419379082695169</v>
      </c>
      <c r="V256" s="7">
        <f t="shared" si="447"/>
        <v>1000</v>
      </c>
      <c r="W256" s="7">
        <f t="shared" si="448"/>
        <v>1000000</v>
      </c>
      <c r="X256" s="1345">
        <f t="shared" si="449"/>
        <v>36.419379082695173</v>
      </c>
      <c r="Y256" s="1345">
        <f t="shared" si="450"/>
        <v>3641.9379082695168</v>
      </c>
    </row>
    <row r="257" spans="1:26" x14ac:dyDescent="0.2">
      <c r="A257" s="213" t="str">
        <f t="shared" ref="A257:B257" si="461">A537</f>
        <v>INMETRO</v>
      </c>
      <c r="B257" s="213" t="str">
        <f t="shared" si="461"/>
        <v>VSL100041</v>
      </c>
      <c r="C257" s="219">
        <f t="shared" si="429"/>
        <v>905963</v>
      </c>
      <c r="D257" s="219">
        <f t="shared" si="430"/>
        <v>182</v>
      </c>
      <c r="E257" s="219">
        <f t="shared" si="431"/>
        <v>908199.99999999988</v>
      </c>
      <c r="F257" s="219">
        <f t="shared" si="432"/>
        <v>2500</v>
      </c>
      <c r="G257" s="219">
        <f t="shared" si="433"/>
        <v>2240</v>
      </c>
      <c r="H257" s="219">
        <f t="shared" si="434"/>
        <v>5010</v>
      </c>
      <c r="I257" s="155">
        <f t="shared" si="435"/>
        <v>0</v>
      </c>
      <c r="J257" s="155">
        <f t="shared" si="436"/>
        <v>0</v>
      </c>
      <c r="K257" s="155">
        <f t="shared" si="437"/>
        <v>5000</v>
      </c>
      <c r="L257" s="155">
        <f t="shared" si="438"/>
        <v>10</v>
      </c>
      <c r="M257" s="156">
        <f t="shared" si="439"/>
        <v>0.55189891860925888</v>
      </c>
      <c r="N257" s="157">
        <f t="shared" si="440"/>
        <v>5.5189891860925891E-2</v>
      </c>
      <c r="O257" s="155">
        <f t="shared" si="441"/>
        <v>100</v>
      </c>
      <c r="P257" s="250">
        <v>1</v>
      </c>
      <c r="Q257" s="250">
        <v>1000</v>
      </c>
      <c r="R257" s="148">
        <f t="shared" si="443"/>
        <v>5.5189891860925888</v>
      </c>
      <c r="S257" s="148">
        <f t="shared" si="444"/>
        <v>0.55189891860925888</v>
      </c>
      <c r="T257" s="148">
        <f t="shared" si="445"/>
        <v>5.5189891860925891E-2</v>
      </c>
      <c r="U257" s="148">
        <f t="shared" si="446"/>
        <v>5.5189891860925888</v>
      </c>
      <c r="V257" s="7">
        <f t="shared" si="447"/>
        <v>1000</v>
      </c>
      <c r="W257" s="7">
        <f t="shared" si="448"/>
        <v>1000000</v>
      </c>
      <c r="X257" s="1345">
        <f t="shared" si="449"/>
        <v>55.18989186092589</v>
      </c>
      <c r="Y257" s="1345">
        <f t="shared" si="450"/>
        <v>5518.9891860925891</v>
      </c>
    </row>
    <row r="258" spans="1:26" x14ac:dyDescent="0.2">
      <c r="A258" s="213" t="str">
        <f t="shared" ref="A258:B258" si="462">A538</f>
        <v>GUM</v>
      </c>
      <c r="B258" s="213" t="str">
        <f t="shared" si="462"/>
        <v>VSL100044</v>
      </c>
      <c r="C258" s="219">
        <f t="shared" si="429"/>
        <v>906107</v>
      </c>
      <c r="D258" s="219">
        <f t="shared" si="430"/>
        <v>182</v>
      </c>
      <c r="E258" s="219">
        <f t="shared" si="431"/>
        <v>905500</v>
      </c>
      <c r="F258" s="219">
        <f t="shared" si="432"/>
        <v>200</v>
      </c>
      <c r="G258" s="219">
        <f t="shared" si="433"/>
        <v>-610</v>
      </c>
      <c r="H258" s="219">
        <f t="shared" si="434"/>
        <v>540</v>
      </c>
      <c r="I258" s="155">
        <f t="shared" si="435"/>
        <v>1</v>
      </c>
      <c r="J258" s="155">
        <f t="shared" si="436"/>
        <v>607</v>
      </c>
      <c r="K258" s="155">
        <f t="shared" si="437"/>
        <v>1278.2002972930338</v>
      </c>
      <c r="L258" s="155">
        <f t="shared" si="438"/>
        <v>10</v>
      </c>
      <c r="M258" s="156">
        <f t="shared" si="439"/>
        <v>0.14106505051754747</v>
      </c>
      <c r="N258" s="157">
        <f t="shared" si="440"/>
        <v>1.4106505051754748E-2</v>
      </c>
      <c r="O258" s="155">
        <f t="shared" si="441"/>
        <v>100</v>
      </c>
      <c r="P258" s="250">
        <v>1</v>
      </c>
      <c r="Q258" s="250">
        <v>1000</v>
      </c>
      <c r="R258" s="148">
        <f t="shared" si="443"/>
        <v>1.4106505051754747</v>
      </c>
      <c r="S258" s="148">
        <f t="shared" si="444"/>
        <v>0.14106505051754747</v>
      </c>
      <c r="T258" s="148">
        <f t="shared" si="445"/>
        <v>1.4106505051754748E-2</v>
      </c>
      <c r="U258" s="148">
        <f t="shared" si="446"/>
        <v>1.4106505051754747</v>
      </c>
      <c r="V258" s="7">
        <f t="shared" si="447"/>
        <v>1000</v>
      </c>
      <c r="W258" s="7">
        <f t="shared" si="448"/>
        <v>1000000</v>
      </c>
      <c r="X258" s="1345">
        <f t="shared" si="449"/>
        <v>14.106505051754748</v>
      </c>
      <c r="Y258" s="1345">
        <f t="shared" si="450"/>
        <v>1410.6505051754748</v>
      </c>
    </row>
    <row r="259" spans="1:26" x14ac:dyDescent="0.2">
      <c r="A259" s="213" t="str">
        <f t="shared" ref="A259:B259" si="463">A539</f>
        <v>NRCCRM</v>
      </c>
      <c r="B259" s="213" t="str">
        <f t="shared" si="463"/>
        <v>VSL126730</v>
      </c>
      <c r="C259" s="219">
        <f t="shared" si="429"/>
        <v>905604</v>
      </c>
      <c r="D259" s="219">
        <f t="shared" si="430"/>
        <v>182</v>
      </c>
      <c r="E259" s="219">
        <f t="shared" si="431"/>
        <v>905470</v>
      </c>
      <c r="F259" s="219">
        <f t="shared" si="432"/>
        <v>6791</v>
      </c>
      <c r="G259" s="219">
        <f t="shared" si="433"/>
        <v>-130</v>
      </c>
      <c r="H259" s="219">
        <f t="shared" si="434"/>
        <v>13590</v>
      </c>
      <c r="I259" s="155">
        <f t="shared" si="435"/>
        <v>0</v>
      </c>
      <c r="J259" s="155">
        <f t="shared" si="436"/>
        <v>0</v>
      </c>
      <c r="K259" s="155">
        <f t="shared" si="437"/>
        <v>13582</v>
      </c>
      <c r="L259" s="155">
        <f t="shared" si="438"/>
        <v>10</v>
      </c>
      <c r="M259" s="156">
        <f t="shared" si="439"/>
        <v>1.4997725275065039</v>
      </c>
      <c r="N259" s="157">
        <f t="shared" si="440"/>
        <v>0.14997725275065041</v>
      </c>
      <c r="O259" s="155">
        <f t="shared" si="441"/>
        <v>100</v>
      </c>
      <c r="P259" s="250">
        <v>1</v>
      </c>
      <c r="Q259" s="250">
        <v>1000</v>
      </c>
      <c r="R259" s="148">
        <f t="shared" si="443"/>
        <v>14.99772527506504</v>
      </c>
      <c r="S259" s="148">
        <f t="shared" si="444"/>
        <v>1.4997725275065039</v>
      </c>
      <c r="T259" s="148">
        <f t="shared" si="445"/>
        <v>0.14997725275065041</v>
      </c>
      <c r="U259" s="148">
        <f t="shared" si="446"/>
        <v>14.997725275065038</v>
      </c>
      <c r="V259" s="7">
        <f t="shared" si="447"/>
        <v>1000</v>
      </c>
      <c r="W259" s="7">
        <f t="shared" si="448"/>
        <v>1000000</v>
      </c>
      <c r="X259" s="1345">
        <f t="shared" si="449"/>
        <v>149.97725275065042</v>
      </c>
      <c r="Y259" s="1345">
        <f t="shared" si="450"/>
        <v>14997.725275065039</v>
      </c>
    </row>
    <row r="260" spans="1:26" x14ac:dyDescent="0.2">
      <c r="A260" s="213" t="str">
        <f t="shared" ref="A260:B260" si="464">A540</f>
        <v>KRISS</v>
      </c>
      <c r="B260" s="213" t="str">
        <f t="shared" si="464"/>
        <v>VSL126709</v>
      </c>
      <c r="C260" s="219">
        <f t="shared" si="429"/>
        <v>906018</v>
      </c>
      <c r="D260" s="219">
        <f t="shared" si="430"/>
        <v>182</v>
      </c>
      <c r="E260" s="219">
        <f t="shared" si="431"/>
        <v>905970</v>
      </c>
      <c r="F260" s="219">
        <f t="shared" si="432"/>
        <v>500</v>
      </c>
      <c r="G260" s="219">
        <f t="shared" si="433"/>
        <v>-50</v>
      </c>
      <c r="H260" s="219">
        <f t="shared" si="434"/>
        <v>1060</v>
      </c>
      <c r="I260" s="155">
        <f t="shared" si="435"/>
        <v>0</v>
      </c>
      <c r="J260" s="155">
        <f t="shared" si="436"/>
        <v>0</v>
      </c>
      <c r="K260" s="155">
        <f t="shared" si="437"/>
        <v>1000</v>
      </c>
      <c r="L260" s="155">
        <f t="shared" si="438"/>
        <v>10</v>
      </c>
      <c r="M260" s="156">
        <f t="shared" si="439"/>
        <v>0.11037308309547933</v>
      </c>
      <c r="N260" s="157">
        <f t="shared" si="440"/>
        <v>1.1037308309547933E-2</v>
      </c>
      <c r="O260" s="155">
        <f t="shared" si="441"/>
        <v>100</v>
      </c>
      <c r="P260" s="250">
        <v>1</v>
      </c>
      <c r="Q260" s="250">
        <v>1000</v>
      </c>
      <c r="R260" s="148">
        <f t="shared" si="443"/>
        <v>1.1037308309547933</v>
      </c>
      <c r="S260" s="148">
        <f t="shared" si="444"/>
        <v>0.11037308309547933</v>
      </c>
      <c r="T260" s="148">
        <f t="shared" si="445"/>
        <v>1.1037308309547933E-2</v>
      </c>
      <c r="U260" s="148">
        <f t="shared" si="446"/>
        <v>1.1037308309547933</v>
      </c>
      <c r="V260" s="7">
        <f t="shared" si="447"/>
        <v>1000</v>
      </c>
      <c r="W260" s="7">
        <f t="shared" si="448"/>
        <v>1000000</v>
      </c>
      <c r="X260" s="1345">
        <f t="shared" si="449"/>
        <v>11.037308309547933</v>
      </c>
      <c r="Y260" s="1345">
        <f t="shared" si="450"/>
        <v>1103.7308309547932</v>
      </c>
    </row>
    <row r="261" spans="1:26" ht="14.25" x14ac:dyDescent="0.2">
      <c r="H261" s="9"/>
      <c r="U261" s="152"/>
      <c r="V261" s="21"/>
      <c r="W261" s="21"/>
      <c r="X261" s="21"/>
      <c r="Y261" s="21"/>
      <c r="Z261" s="21"/>
    </row>
    <row r="262" spans="1:26" ht="15.75" x14ac:dyDescent="0.2">
      <c r="A262" s="103" t="str">
        <f>A542</f>
        <v>Methane, mixture III</v>
      </c>
      <c r="B262" s="97"/>
      <c r="C262" s="97"/>
      <c r="D262" s="97"/>
      <c r="E262" s="97"/>
      <c r="F262" s="97"/>
      <c r="G262" s="97"/>
      <c r="H262" s="97"/>
      <c r="I262" s="113"/>
      <c r="J262" s="113"/>
      <c r="K262" s="113"/>
      <c r="L262" s="113"/>
      <c r="M262" s="113"/>
      <c r="N262" s="113"/>
      <c r="O262" s="113"/>
      <c r="R262" s="113"/>
      <c r="S262" s="113"/>
      <c r="T262" s="146"/>
      <c r="U262" s="146"/>
    </row>
    <row r="263" spans="1:26" ht="102" x14ac:dyDescent="0.2">
      <c r="A263" s="211" t="s">
        <v>0</v>
      </c>
      <c r="B263" s="212" t="s">
        <v>1</v>
      </c>
      <c r="C263" s="212" t="s">
        <v>133</v>
      </c>
      <c r="D263" s="212" t="s">
        <v>199</v>
      </c>
      <c r="E263" s="212" t="s">
        <v>135</v>
      </c>
      <c r="F263" s="212" t="s">
        <v>200</v>
      </c>
      <c r="G263" s="212" t="s">
        <v>137</v>
      </c>
      <c r="H263" s="212" t="s">
        <v>201</v>
      </c>
      <c r="I263" s="104" t="s">
        <v>8</v>
      </c>
      <c r="J263" s="104" t="s">
        <v>9</v>
      </c>
      <c r="K263" s="104" t="s">
        <v>107</v>
      </c>
      <c r="L263" s="104" t="s">
        <v>14</v>
      </c>
      <c r="M263" s="104" t="s">
        <v>1057</v>
      </c>
      <c r="N263" s="104" t="s">
        <v>1058</v>
      </c>
      <c r="O263" s="104" t="s">
        <v>100</v>
      </c>
      <c r="P263" s="6" t="s">
        <v>105</v>
      </c>
      <c r="Q263" s="6" t="s">
        <v>106</v>
      </c>
      <c r="R263" s="104" t="s">
        <v>1051</v>
      </c>
      <c r="S263" s="104" t="s">
        <v>1052</v>
      </c>
      <c r="T263" s="147" t="s">
        <v>1053</v>
      </c>
      <c r="U263" s="147" t="s">
        <v>1054</v>
      </c>
      <c r="V263" s="5" t="s">
        <v>101</v>
      </c>
      <c r="W263" s="5" t="s">
        <v>102</v>
      </c>
      <c r="X263" s="112" t="s">
        <v>1055</v>
      </c>
      <c r="Y263" s="112" t="s">
        <v>1056</v>
      </c>
    </row>
    <row r="264" spans="1:26" x14ac:dyDescent="0.2">
      <c r="A264" s="213" t="str">
        <f>A544</f>
        <v>NPL</v>
      </c>
      <c r="B264" s="213" t="str">
        <f>B544</f>
        <v>VSL206333</v>
      </c>
      <c r="C264" s="219">
        <f t="shared" ref="C264:C279" si="465">C544*10000</f>
        <v>823067.00000000012</v>
      </c>
      <c r="D264" s="219">
        <f t="shared" ref="D264:D279" si="466">F544*10000</f>
        <v>170</v>
      </c>
      <c r="E264" s="219">
        <f t="shared" ref="E264:E279" si="467">G544*10000</f>
        <v>823070</v>
      </c>
      <c r="F264" s="219">
        <f t="shared" ref="F264:F279" si="468">H544/I544*10000</f>
        <v>290</v>
      </c>
      <c r="G264" s="219">
        <f t="shared" ref="G264:G279" si="469">J544*10000</f>
        <v>0</v>
      </c>
      <c r="H264" s="219">
        <f t="shared" ref="H264:H279" si="470">L544*10000</f>
        <v>670</v>
      </c>
      <c r="I264" s="155">
        <f t="shared" ref="I264:I279" si="471">IF(ABS(G264)&gt;ABS(H264), 1, 0)</f>
        <v>0</v>
      </c>
      <c r="J264" s="155">
        <f t="shared" ref="J264:J279" si="472">I264*ABS(C264-E264)</f>
        <v>0</v>
      </c>
      <c r="K264" s="155">
        <f t="shared" ref="K264:K279" si="473">SQRT(SUMSQ(F264,J264))*2</f>
        <v>580</v>
      </c>
      <c r="L264" s="155">
        <f t="shared" ref="L264:L279" si="474">IF(C264&lt;$K$2, C264, $K$1)</f>
        <v>10</v>
      </c>
      <c r="M264" s="156">
        <f t="shared" ref="M264:M279" si="475">IF(AND(C264&lt;$K$1,C264&gt; $K$2), K264/L264*100, K264/C264*100)</f>
        <v>7.0468139288782067E-2</v>
      </c>
      <c r="N264" s="157">
        <f t="shared" ref="N264:N279" si="476">M264*L264/100</f>
        <v>7.046813928878206E-3</v>
      </c>
      <c r="O264" s="155">
        <f t="shared" ref="O264:O279" si="477">N264/(M264*L264/100)*100</f>
        <v>100</v>
      </c>
      <c r="P264" s="250">
        <v>1</v>
      </c>
      <c r="Q264" s="250">
        <v>1000</v>
      </c>
      <c r="R264" s="148">
        <f>IF( IF(P264&lt;L264, M264*L264/P264, M264)&gt;100, "ERROR",  IF(P264&lt;L264, M264*L264/P264, M264))</f>
        <v>0.70468139288782061</v>
      </c>
      <c r="S264" s="148">
        <f>IF(IF(Q264&lt;L264, M264*L264/Q264, M264)&gt;100, "ERROR", IF(Q264&lt;L264, M264*L264/Q264, M264))</f>
        <v>7.0468139288782067E-2</v>
      </c>
      <c r="T264" s="148">
        <f>R264*P264*0.01</f>
        <v>7.046813928878206E-3</v>
      </c>
      <c r="U264" s="148">
        <f>S264*Q264*0.01</f>
        <v>0.70468139288782072</v>
      </c>
      <c r="V264" s="7">
        <f>P264*1000</f>
        <v>1000</v>
      </c>
      <c r="W264" s="7">
        <f>Q264*1000</f>
        <v>1000000</v>
      </c>
      <c r="X264" s="1345">
        <f>T264*1000</f>
        <v>7.0468139288782057</v>
      </c>
      <c r="Y264" s="1345">
        <f>U264*1000</f>
        <v>704.68139288782072</v>
      </c>
    </row>
    <row r="265" spans="1:26" x14ac:dyDescent="0.2">
      <c r="A265" s="213" t="str">
        <f t="shared" ref="A265:B265" si="478">A545</f>
        <v>SMU</v>
      </c>
      <c r="B265" s="213" t="str">
        <f t="shared" si="478"/>
        <v>VSL202622</v>
      </c>
      <c r="C265" s="219">
        <f t="shared" si="465"/>
        <v>822935</v>
      </c>
      <c r="D265" s="219">
        <f t="shared" si="466"/>
        <v>170</v>
      </c>
      <c r="E265" s="219">
        <f t="shared" si="467"/>
        <v>824400</v>
      </c>
      <c r="F265" s="219">
        <f t="shared" si="468"/>
        <v>1250</v>
      </c>
      <c r="G265" s="219">
        <f t="shared" si="469"/>
        <v>1470</v>
      </c>
      <c r="H265" s="219">
        <f t="shared" si="470"/>
        <v>2520</v>
      </c>
      <c r="I265" s="155">
        <f t="shared" si="471"/>
        <v>0</v>
      </c>
      <c r="J265" s="155">
        <f t="shared" si="472"/>
        <v>0</v>
      </c>
      <c r="K265" s="155">
        <f t="shared" si="473"/>
        <v>2500</v>
      </c>
      <c r="L265" s="155">
        <f t="shared" si="474"/>
        <v>10</v>
      </c>
      <c r="M265" s="156">
        <f t="shared" si="475"/>
        <v>0.30379070035908057</v>
      </c>
      <c r="N265" s="157">
        <f t="shared" si="476"/>
        <v>3.0379070035908055E-2</v>
      </c>
      <c r="O265" s="155">
        <f t="shared" si="477"/>
        <v>100</v>
      </c>
      <c r="P265" s="250">
        <v>1</v>
      </c>
      <c r="Q265" s="250">
        <v>1000</v>
      </c>
      <c r="R265" s="148">
        <f t="shared" ref="R265:R279" si="479">IF( IF(P265&lt;L265, M265*L265/P265, M265)&gt;100, "ERROR",  IF(P265&lt;L265, M265*L265/P265, M265))</f>
        <v>3.0379070035908056</v>
      </c>
      <c r="S265" s="148">
        <f t="shared" ref="S265:S279" si="480">IF(IF(Q265&lt;L265, M265*L265/Q265, M265)&gt;100, "ERROR", IF(Q265&lt;L265, M265*L265/Q265, M265))</f>
        <v>0.30379070035908057</v>
      </c>
      <c r="T265" s="148">
        <f t="shared" ref="T265:T279" si="481">R265*P265*0.01</f>
        <v>3.0379070035908055E-2</v>
      </c>
      <c r="U265" s="148">
        <f t="shared" ref="U265:U279" si="482">S265*Q265*0.01</f>
        <v>3.037907003590806</v>
      </c>
      <c r="V265" s="7">
        <f t="shared" ref="V265:V279" si="483">P265*1000</f>
        <v>1000</v>
      </c>
      <c r="W265" s="7">
        <f t="shared" ref="W265:W279" si="484">Q265*1000</f>
        <v>1000000</v>
      </c>
      <c r="X265" s="1345">
        <f t="shared" ref="X265:X279" si="485">T265*1000</f>
        <v>30.379070035908054</v>
      </c>
      <c r="Y265" s="1345">
        <f t="shared" ref="Y265:Y279" si="486">U265*1000</f>
        <v>3037.9070035908062</v>
      </c>
    </row>
    <row r="266" spans="1:26" x14ac:dyDescent="0.2">
      <c r="A266" s="213" t="str">
        <f t="shared" ref="A266:B266" si="487">A546</f>
        <v>CMI</v>
      </c>
      <c r="B266" s="213" t="str">
        <f t="shared" si="487"/>
        <v>VSL205133</v>
      </c>
      <c r="C266" s="219">
        <f t="shared" si="465"/>
        <v>823276.99999999988</v>
      </c>
      <c r="D266" s="219">
        <f t="shared" si="466"/>
        <v>170</v>
      </c>
      <c r="E266" s="219">
        <f t="shared" si="467"/>
        <v>826350</v>
      </c>
      <c r="F266" s="219">
        <f t="shared" si="468"/>
        <v>2315</v>
      </c>
      <c r="G266" s="219">
        <f t="shared" si="469"/>
        <v>3070</v>
      </c>
      <c r="H266" s="219">
        <f t="shared" si="470"/>
        <v>4640</v>
      </c>
      <c r="I266" s="155">
        <f t="shared" si="471"/>
        <v>0</v>
      </c>
      <c r="J266" s="155">
        <f t="shared" si="472"/>
        <v>0</v>
      </c>
      <c r="K266" s="155">
        <f t="shared" si="473"/>
        <v>4630</v>
      </c>
      <c r="L266" s="155">
        <f t="shared" si="474"/>
        <v>10</v>
      </c>
      <c r="M266" s="156">
        <f t="shared" si="475"/>
        <v>0.56238665722472525</v>
      </c>
      <c r="N266" s="157">
        <f t="shared" si="476"/>
        <v>5.6238665722472526E-2</v>
      </c>
      <c r="O266" s="155">
        <f t="shared" si="477"/>
        <v>100</v>
      </c>
      <c r="P266" s="250">
        <v>1</v>
      </c>
      <c r="Q266" s="250">
        <v>1000</v>
      </c>
      <c r="R266" s="148">
        <f t="shared" si="479"/>
        <v>5.6238665722472527</v>
      </c>
      <c r="S266" s="148">
        <f t="shared" si="480"/>
        <v>0.56238665722472525</v>
      </c>
      <c r="T266" s="148">
        <f t="shared" si="481"/>
        <v>5.6238665722472526E-2</v>
      </c>
      <c r="U266" s="148">
        <f t="shared" si="482"/>
        <v>5.6238665722472527</v>
      </c>
      <c r="V266" s="7">
        <f t="shared" si="483"/>
        <v>1000</v>
      </c>
      <c r="W266" s="7">
        <f t="shared" si="484"/>
        <v>1000000</v>
      </c>
      <c r="X266" s="1345">
        <f t="shared" si="485"/>
        <v>56.238665722472525</v>
      </c>
      <c r="Y266" s="1345">
        <f t="shared" si="486"/>
        <v>5623.8665722472524</v>
      </c>
    </row>
    <row r="267" spans="1:26" x14ac:dyDescent="0.2">
      <c r="A267" s="213" t="str">
        <f t="shared" ref="A267:B267" si="488">A547</f>
        <v>VNIIM</v>
      </c>
      <c r="B267" s="213" t="str">
        <f t="shared" si="488"/>
        <v>VSL202624</v>
      </c>
      <c r="C267" s="219">
        <f t="shared" si="465"/>
        <v>822844</v>
      </c>
      <c r="D267" s="219">
        <f t="shared" si="466"/>
        <v>170</v>
      </c>
      <c r="E267" s="219">
        <f t="shared" si="467"/>
        <v>822970</v>
      </c>
      <c r="F267" s="219">
        <f t="shared" si="468"/>
        <v>254.99999999999997</v>
      </c>
      <c r="G267" s="219">
        <f t="shared" si="469"/>
        <v>130</v>
      </c>
      <c r="H267" s="219">
        <f t="shared" si="470"/>
        <v>610</v>
      </c>
      <c r="I267" s="155">
        <f t="shared" si="471"/>
        <v>0</v>
      </c>
      <c r="J267" s="155">
        <f t="shared" si="472"/>
        <v>0</v>
      </c>
      <c r="K267" s="155">
        <f t="shared" si="473"/>
        <v>509.99999999999994</v>
      </c>
      <c r="L267" s="155">
        <f t="shared" si="474"/>
        <v>10</v>
      </c>
      <c r="M267" s="156">
        <f t="shared" si="475"/>
        <v>6.1980156627501677E-2</v>
      </c>
      <c r="N267" s="157">
        <f t="shared" si="476"/>
        <v>6.1980156627501684E-3</v>
      </c>
      <c r="O267" s="155">
        <f t="shared" si="477"/>
        <v>100</v>
      </c>
      <c r="P267" s="250">
        <v>1</v>
      </c>
      <c r="Q267" s="250">
        <v>1000</v>
      </c>
      <c r="R267" s="148">
        <f t="shared" si="479"/>
        <v>0.61980156627501681</v>
      </c>
      <c r="S267" s="148">
        <f t="shared" si="480"/>
        <v>6.1980156627501677E-2</v>
      </c>
      <c r="T267" s="148">
        <f t="shared" si="481"/>
        <v>6.1980156627501684E-3</v>
      </c>
      <c r="U267" s="148">
        <f t="shared" si="482"/>
        <v>0.61980156627501681</v>
      </c>
      <c r="V267" s="7">
        <f t="shared" si="483"/>
        <v>1000</v>
      </c>
      <c r="W267" s="7">
        <f t="shared" si="484"/>
        <v>1000000</v>
      </c>
      <c r="X267" s="1345">
        <f t="shared" si="485"/>
        <v>6.1980156627501684</v>
      </c>
      <c r="Y267" s="1345">
        <f t="shared" si="486"/>
        <v>619.80156627501685</v>
      </c>
    </row>
    <row r="268" spans="1:26" x14ac:dyDescent="0.2">
      <c r="A268" s="213" t="str">
        <f t="shared" ref="A268:B268" si="489">A548</f>
        <v>OMH</v>
      </c>
      <c r="B268" s="213" t="str">
        <f t="shared" si="489"/>
        <v>VSL206344</v>
      </c>
      <c r="C268" s="219">
        <f t="shared" si="465"/>
        <v>823050.00000000012</v>
      </c>
      <c r="D268" s="219">
        <f t="shared" si="466"/>
        <v>170</v>
      </c>
      <c r="E268" s="219">
        <f t="shared" si="467"/>
        <v>823319.99999999988</v>
      </c>
      <c r="F268" s="219">
        <f t="shared" si="468"/>
        <v>74.074074074074062</v>
      </c>
      <c r="G268" s="219">
        <f t="shared" si="469"/>
        <v>270</v>
      </c>
      <c r="H268" s="219">
        <f t="shared" si="470"/>
        <v>370</v>
      </c>
      <c r="I268" s="155">
        <f t="shared" si="471"/>
        <v>0</v>
      </c>
      <c r="J268" s="155">
        <f t="shared" si="472"/>
        <v>0</v>
      </c>
      <c r="K268" s="155">
        <f t="shared" si="473"/>
        <v>148.14814814814812</v>
      </c>
      <c r="L268" s="155">
        <f t="shared" si="474"/>
        <v>10</v>
      </c>
      <c r="M268" s="156">
        <f t="shared" si="475"/>
        <v>1.7999896500595115E-2</v>
      </c>
      <c r="N268" s="157">
        <f t="shared" si="476"/>
        <v>1.7999896500595113E-3</v>
      </c>
      <c r="O268" s="155">
        <f t="shared" si="477"/>
        <v>100</v>
      </c>
      <c r="P268" s="250">
        <v>1</v>
      </c>
      <c r="Q268" s="250">
        <v>1000</v>
      </c>
      <c r="R268" s="148">
        <f t="shared" si="479"/>
        <v>0.17999896500595114</v>
      </c>
      <c r="S268" s="148">
        <f t="shared" si="480"/>
        <v>1.7999896500595115E-2</v>
      </c>
      <c r="T268" s="148">
        <f t="shared" si="481"/>
        <v>1.7999896500595115E-3</v>
      </c>
      <c r="U268" s="148">
        <f t="shared" si="482"/>
        <v>0.17999896500595117</v>
      </c>
      <c r="V268" s="7">
        <f t="shared" si="483"/>
        <v>1000</v>
      </c>
      <c r="W268" s="7">
        <f t="shared" si="484"/>
        <v>1000000</v>
      </c>
      <c r="X268" s="1345">
        <f t="shared" si="485"/>
        <v>1.7999896500595116</v>
      </c>
      <c r="Y268" s="1345">
        <f t="shared" si="486"/>
        <v>179.99896500595116</v>
      </c>
    </row>
    <row r="269" spans="1:26" x14ac:dyDescent="0.2">
      <c r="A269" s="213" t="str">
        <f t="shared" ref="A269:B269" si="490">A549</f>
        <v>LNE</v>
      </c>
      <c r="B269" s="213" t="str">
        <f t="shared" si="490"/>
        <v>VSL202614</v>
      </c>
      <c r="C269" s="219">
        <f t="shared" si="465"/>
        <v>823294.00000000012</v>
      </c>
      <c r="D269" s="219">
        <f t="shared" si="466"/>
        <v>170</v>
      </c>
      <c r="E269" s="219">
        <f t="shared" si="467"/>
        <v>823700</v>
      </c>
      <c r="F269" s="219">
        <f t="shared" si="468"/>
        <v>1950</v>
      </c>
      <c r="G269" s="219">
        <f t="shared" si="469"/>
        <v>410</v>
      </c>
      <c r="H269" s="219">
        <f t="shared" si="470"/>
        <v>3910</v>
      </c>
      <c r="I269" s="155">
        <f t="shared" si="471"/>
        <v>0</v>
      </c>
      <c r="J269" s="155">
        <f t="shared" si="472"/>
        <v>0</v>
      </c>
      <c r="K269" s="155">
        <f t="shared" si="473"/>
        <v>3900</v>
      </c>
      <c r="L269" s="155">
        <f t="shared" si="474"/>
        <v>10</v>
      </c>
      <c r="M269" s="156">
        <f t="shared" si="475"/>
        <v>0.47370684105556454</v>
      </c>
      <c r="N269" s="157">
        <f t="shared" si="476"/>
        <v>4.7370684105556456E-2</v>
      </c>
      <c r="O269" s="155">
        <f t="shared" si="477"/>
        <v>100</v>
      </c>
      <c r="P269" s="250">
        <v>1</v>
      </c>
      <c r="Q269" s="250">
        <v>1000</v>
      </c>
      <c r="R269" s="148">
        <f t="shared" si="479"/>
        <v>4.7370684105556453</v>
      </c>
      <c r="S269" s="148">
        <f t="shared" si="480"/>
        <v>0.47370684105556454</v>
      </c>
      <c r="T269" s="148">
        <f t="shared" si="481"/>
        <v>4.7370684105556456E-2</v>
      </c>
      <c r="U269" s="148">
        <f t="shared" si="482"/>
        <v>4.7370684105556453</v>
      </c>
      <c r="V269" s="7">
        <f t="shared" si="483"/>
        <v>1000</v>
      </c>
      <c r="W269" s="7">
        <f t="shared" si="484"/>
        <v>1000000</v>
      </c>
      <c r="X269" s="1345">
        <f t="shared" si="485"/>
        <v>47.370684105556457</v>
      </c>
      <c r="Y269" s="1345">
        <f t="shared" si="486"/>
        <v>4737.0684105556456</v>
      </c>
    </row>
    <row r="270" spans="1:26" x14ac:dyDescent="0.2">
      <c r="A270" s="213" t="str">
        <f t="shared" ref="A270:B270" si="491">A550</f>
        <v>NMi VSL</v>
      </c>
      <c r="B270" s="213" t="str">
        <f t="shared" si="491"/>
        <v>VSL300636</v>
      </c>
      <c r="C270" s="219">
        <f t="shared" si="465"/>
        <v>823169</v>
      </c>
      <c r="D270" s="219">
        <f t="shared" si="466"/>
        <v>170</v>
      </c>
      <c r="E270" s="219">
        <f t="shared" si="467"/>
        <v>822900.00000000012</v>
      </c>
      <c r="F270" s="219">
        <f t="shared" si="468"/>
        <v>450</v>
      </c>
      <c r="G270" s="219">
        <f t="shared" si="469"/>
        <v>-270</v>
      </c>
      <c r="H270" s="219">
        <f t="shared" si="470"/>
        <v>960</v>
      </c>
      <c r="I270" s="155">
        <f t="shared" si="471"/>
        <v>0</v>
      </c>
      <c r="J270" s="155">
        <f t="shared" si="472"/>
        <v>0</v>
      </c>
      <c r="K270" s="155">
        <f t="shared" si="473"/>
        <v>900</v>
      </c>
      <c r="L270" s="155">
        <f t="shared" si="474"/>
        <v>10</v>
      </c>
      <c r="M270" s="156">
        <f t="shared" si="475"/>
        <v>0.10933356333875546</v>
      </c>
      <c r="N270" s="157">
        <f t="shared" si="476"/>
        <v>1.0933356333875545E-2</v>
      </c>
      <c r="O270" s="155">
        <f t="shared" si="477"/>
        <v>100</v>
      </c>
      <c r="P270" s="250">
        <v>1</v>
      </c>
      <c r="Q270" s="250">
        <v>1000</v>
      </c>
      <c r="R270" s="148">
        <f t="shared" si="479"/>
        <v>1.0933356333875546</v>
      </c>
      <c r="S270" s="148">
        <f t="shared" si="480"/>
        <v>0.10933356333875546</v>
      </c>
      <c r="T270" s="148">
        <f t="shared" si="481"/>
        <v>1.0933356333875545E-2</v>
      </c>
      <c r="U270" s="148">
        <f t="shared" si="482"/>
        <v>1.0933356333875548</v>
      </c>
      <c r="V270" s="7">
        <f t="shared" si="483"/>
        <v>1000</v>
      </c>
      <c r="W270" s="7">
        <f t="shared" si="484"/>
        <v>1000000</v>
      </c>
      <c r="X270" s="1345">
        <f t="shared" si="485"/>
        <v>10.933356333875546</v>
      </c>
      <c r="Y270" s="1345">
        <f t="shared" si="486"/>
        <v>1093.3356333875547</v>
      </c>
    </row>
    <row r="271" spans="1:26" x14ac:dyDescent="0.2">
      <c r="A271" s="213" t="str">
        <f t="shared" ref="A271:B271" si="492">A551</f>
        <v>CENAM</v>
      </c>
      <c r="B271" s="213" t="str">
        <f t="shared" si="492"/>
        <v>VSL160258</v>
      </c>
      <c r="C271" s="219">
        <f t="shared" si="465"/>
        <v>823127.00000000012</v>
      </c>
      <c r="D271" s="219">
        <f t="shared" si="466"/>
        <v>170</v>
      </c>
      <c r="E271" s="219">
        <f t="shared" si="467"/>
        <v>0</v>
      </c>
      <c r="F271" s="219">
        <f t="shared" si="468"/>
        <v>0</v>
      </c>
      <c r="G271" s="219">
        <f t="shared" si="469"/>
        <v>0</v>
      </c>
      <c r="H271" s="219">
        <f t="shared" si="470"/>
        <v>0</v>
      </c>
      <c r="I271" s="155">
        <f t="shared" si="471"/>
        <v>0</v>
      </c>
      <c r="J271" s="155">
        <f t="shared" si="472"/>
        <v>0</v>
      </c>
      <c r="K271" s="155">
        <f t="shared" si="473"/>
        <v>0</v>
      </c>
      <c r="L271" s="155">
        <f t="shared" si="474"/>
        <v>10</v>
      </c>
      <c r="M271" s="156">
        <f t="shared" si="475"/>
        <v>0</v>
      </c>
      <c r="N271" s="157">
        <f t="shared" si="476"/>
        <v>0</v>
      </c>
      <c r="O271" s="155" t="e">
        <f t="shared" si="477"/>
        <v>#DIV/0!</v>
      </c>
      <c r="P271" s="250">
        <v>1</v>
      </c>
      <c r="Q271" s="250">
        <v>1000</v>
      </c>
      <c r="R271" s="148">
        <f t="shared" si="479"/>
        <v>0</v>
      </c>
      <c r="S271" s="148">
        <f t="shared" si="480"/>
        <v>0</v>
      </c>
      <c r="T271" s="148">
        <f t="shared" si="481"/>
        <v>0</v>
      </c>
      <c r="U271" s="148">
        <f t="shared" si="482"/>
        <v>0</v>
      </c>
      <c r="V271" s="7">
        <f t="shared" si="483"/>
        <v>1000</v>
      </c>
      <c r="W271" s="7">
        <f t="shared" si="484"/>
        <v>1000000</v>
      </c>
      <c r="X271" s="1345">
        <f t="shared" si="485"/>
        <v>0</v>
      </c>
      <c r="Y271" s="1345">
        <f t="shared" si="486"/>
        <v>0</v>
      </c>
    </row>
    <row r="272" spans="1:26" x14ac:dyDescent="0.2">
      <c r="A272" s="213" t="str">
        <f t="shared" ref="A272:B272" si="493">A552</f>
        <v>CEM</v>
      </c>
      <c r="B272" s="213" t="str">
        <f t="shared" si="493"/>
        <v>VSL202677</v>
      </c>
      <c r="C272" s="219">
        <f t="shared" si="465"/>
        <v>822840.00000000012</v>
      </c>
      <c r="D272" s="219">
        <f t="shared" si="466"/>
        <v>170</v>
      </c>
      <c r="E272" s="219">
        <f t="shared" si="467"/>
        <v>821880</v>
      </c>
      <c r="F272" s="219">
        <f t="shared" si="468"/>
        <v>1225</v>
      </c>
      <c r="G272" s="219">
        <f t="shared" si="469"/>
        <v>-960</v>
      </c>
      <c r="H272" s="219">
        <f t="shared" si="470"/>
        <v>2470</v>
      </c>
      <c r="I272" s="155">
        <f t="shared" si="471"/>
        <v>0</v>
      </c>
      <c r="J272" s="155">
        <f t="shared" si="472"/>
        <v>0</v>
      </c>
      <c r="K272" s="155">
        <f t="shared" si="473"/>
        <v>2450</v>
      </c>
      <c r="L272" s="155">
        <f t="shared" si="474"/>
        <v>10</v>
      </c>
      <c r="M272" s="156">
        <f t="shared" si="475"/>
        <v>0.29774925866511104</v>
      </c>
      <c r="N272" s="157">
        <f t="shared" si="476"/>
        <v>2.9774925866511107E-2</v>
      </c>
      <c r="O272" s="155">
        <f t="shared" si="477"/>
        <v>100</v>
      </c>
      <c r="P272" s="250">
        <v>1</v>
      </c>
      <c r="Q272" s="250">
        <v>1000</v>
      </c>
      <c r="R272" s="148">
        <f t="shared" si="479"/>
        <v>2.9774925866511106</v>
      </c>
      <c r="S272" s="148">
        <f t="shared" si="480"/>
        <v>0.29774925866511104</v>
      </c>
      <c r="T272" s="148">
        <f t="shared" si="481"/>
        <v>2.9774925866511107E-2</v>
      </c>
      <c r="U272" s="148">
        <f t="shared" si="482"/>
        <v>2.9774925866511102</v>
      </c>
      <c r="V272" s="7">
        <f t="shared" si="483"/>
        <v>1000</v>
      </c>
      <c r="W272" s="7">
        <f t="shared" si="484"/>
        <v>1000000</v>
      </c>
      <c r="X272" s="1345">
        <f t="shared" si="485"/>
        <v>29.774925866511108</v>
      </c>
      <c r="Y272" s="1345">
        <f t="shared" si="486"/>
        <v>2977.4925866511103</v>
      </c>
    </row>
    <row r="273" spans="1:26" x14ac:dyDescent="0.2">
      <c r="A273" s="213" t="str">
        <f t="shared" ref="A273:B273" si="494">A553</f>
        <v>BAM</v>
      </c>
      <c r="B273" s="213" t="str">
        <f t="shared" si="494"/>
        <v>VSL205189</v>
      </c>
      <c r="C273" s="219">
        <f t="shared" si="465"/>
        <v>822942</v>
      </c>
      <c r="D273" s="219">
        <f t="shared" si="466"/>
        <v>170</v>
      </c>
      <c r="E273" s="219">
        <f t="shared" si="467"/>
        <v>823190</v>
      </c>
      <c r="F273" s="219">
        <f t="shared" si="468"/>
        <v>625</v>
      </c>
      <c r="G273" s="219">
        <f t="shared" si="469"/>
        <v>240</v>
      </c>
      <c r="H273" s="219">
        <f t="shared" si="470"/>
        <v>1300</v>
      </c>
      <c r="I273" s="155">
        <f t="shared" si="471"/>
        <v>0</v>
      </c>
      <c r="J273" s="155">
        <f t="shared" si="472"/>
        <v>0</v>
      </c>
      <c r="K273" s="155">
        <f t="shared" si="473"/>
        <v>1250</v>
      </c>
      <c r="L273" s="155">
        <f t="shared" si="474"/>
        <v>10</v>
      </c>
      <c r="M273" s="156">
        <f t="shared" si="475"/>
        <v>0.15189405814747575</v>
      </c>
      <c r="N273" s="157">
        <f t="shared" si="476"/>
        <v>1.5189405814747575E-2</v>
      </c>
      <c r="O273" s="155">
        <f t="shared" si="477"/>
        <v>100</v>
      </c>
      <c r="P273" s="250">
        <v>1</v>
      </c>
      <c r="Q273" s="250">
        <v>1000</v>
      </c>
      <c r="R273" s="148">
        <f t="shared" si="479"/>
        <v>1.5189405814747574</v>
      </c>
      <c r="S273" s="148">
        <f t="shared" si="480"/>
        <v>0.15189405814747575</v>
      </c>
      <c r="T273" s="148">
        <f t="shared" si="481"/>
        <v>1.5189405814747575E-2</v>
      </c>
      <c r="U273" s="148">
        <f t="shared" si="482"/>
        <v>1.5189405814747576</v>
      </c>
      <c r="V273" s="7">
        <f t="shared" si="483"/>
        <v>1000</v>
      </c>
      <c r="W273" s="7">
        <f t="shared" si="484"/>
        <v>1000000</v>
      </c>
      <c r="X273" s="1345">
        <f t="shared" si="485"/>
        <v>15.189405814747575</v>
      </c>
      <c r="Y273" s="1345">
        <f t="shared" si="486"/>
        <v>1518.9405814747577</v>
      </c>
    </row>
    <row r="274" spans="1:26" x14ac:dyDescent="0.2">
      <c r="A274" s="213" t="str">
        <f t="shared" ref="A274:B274" si="495">A554</f>
        <v>NMIA</v>
      </c>
      <c r="B274" s="213" t="str">
        <f t="shared" si="495"/>
        <v>VSL228583</v>
      </c>
      <c r="C274" s="219">
        <f t="shared" si="465"/>
        <v>822916</v>
      </c>
      <c r="D274" s="219">
        <f t="shared" si="466"/>
        <v>170</v>
      </c>
      <c r="E274" s="219">
        <f t="shared" si="467"/>
        <v>822400</v>
      </c>
      <c r="F274" s="219">
        <f t="shared" si="468"/>
        <v>366.97247706422013</v>
      </c>
      <c r="G274" s="219">
        <f t="shared" si="469"/>
        <v>-520</v>
      </c>
      <c r="H274" s="219">
        <f t="shared" si="470"/>
        <v>810</v>
      </c>
      <c r="I274" s="155">
        <f t="shared" si="471"/>
        <v>0</v>
      </c>
      <c r="J274" s="155">
        <f t="shared" si="472"/>
        <v>0</v>
      </c>
      <c r="K274" s="155">
        <f t="shared" si="473"/>
        <v>733.94495412844026</v>
      </c>
      <c r="L274" s="155">
        <f t="shared" si="474"/>
        <v>10</v>
      </c>
      <c r="M274" s="156">
        <f t="shared" si="475"/>
        <v>8.9188319844120206E-2</v>
      </c>
      <c r="N274" s="157">
        <f t="shared" si="476"/>
        <v>8.918831984412021E-3</v>
      </c>
      <c r="O274" s="155">
        <f t="shared" si="477"/>
        <v>100</v>
      </c>
      <c r="P274" s="250">
        <v>1</v>
      </c>
      <c r="Q274" s="250">
        <v>1000</v>
      </c>
      <c r="R274" s="148">
        <f t="shared" si="479"/>
        <v>0.89188319844120212</v>
      </c>
      <c r="S274" s="148">
        <f t="shared" si="480"/>
        <v>8.9188319844120206E-2</v>
      </c>
      <c r="T274" s="148">
        <f t="shared" si="481"/>
        <v>8.918831984412021E-3</v>
      </c>
      <c r="U274" s="148">
        <f t="shared" si="482"/>
        <v>0.89188319844120201</v>
      </c>
      <c r="V274" s="7">
        <f t="shared" si="483"/>
        <v>1000</v>
      </c>
      <c r="W274" s="7">
        <f t="shared" si="484"/>
        <v>1000000</v>
      </c>
      <c r="X274" s="1345">
        <f t="shared" si="485"/>
        <v>8.9188319844120212</v>
      </c>
      <c r="Y274" s="1345">
        <f t="shared" si="486"/>
        <v>891.88319844120201</v>
      </c>
    </row>
    <row r="275" spans="1:26" x14ac:dyDescent="0.2">
      <c r="A275" s="213" t="str">
        <f t="shared" ref="A275:B275" si="496">A555</f>
        <v>IPQ</v>
      </c>
      <c r="B275" s="213" t="str">
        <f t="shared" si="496"/>
        <v>VSL220210</v>
      </c>
      <c r="C275" s="219">
        <f t="shared" si="465"/>
        <v>823531</v>
      </c>
      <c r="D275" s="219">
        <f t="shared" si="466"/>
        <v>171</v>
      </c>
      <c r="E275" s="219">
        <f t="shared" si="467"/>
        <v>824300.00000000012</v>
      </c>
      <c r="F275" s="219">
        <f t="shared" si="468"/>
        <v>1100</v>
      </c>
      <c r="G275" s="219">
        <f t="shared" si="469"/>
        <v>770</v>
      </c>
      <c r="H275" s="219">
        <f t="shared" si="470"/>
        <v>2230</v>
      </c>
      <c r="I275" s="155">
        <f t="shared" si="471"/>
        <v>0</v>
      </c>
      <c r="J275" s="155">
        <f t="shared" si="472"/>
        <v>0</v>
      </c>
      <c r="K275" s="155">
        <f t="shared" si="473"/>
        <v>2200</v>
      </c>
      <c r="L275" s="155">
        <f t="shared" si="474"/>
        <v>10</v>
      </c>
      <c r="M275" s="156">
        <f t="shared" si="475"/>
        <v>0.2671423419397691</v>
      </c>
      <c r="N275" s="157">
        <f t="shared" si="476"/>
        <v>2.6714234193976911E-2</v>
      </c>
      <c r="O275" s="155">
        <f t="shared" si="477"/>
        <v>100</v>
      </c>
      <c r="P275" s="250">
        <v>1</v>
      </c>
      <c r="Q275" s="250">
        <v>1000</v>
      </c>
      <c r="R275" s="148">
        <f t="shared" si="479"/>
        <v>2.6714234193976911</v>
      </c>
      <c r="S275" s="148">
        <f t="shared" si="480"/>
        <v>0.2671423419397691</v>
      </c>
      <c r="T275" s="148">
        <f t="shared" si="481"/>
        <v>2.6714234193976911E-2</v>
      </c>
      <c r="U275" s="148">
        <f t="shared" si="482"/>
        <v>2.6714234193976911</v>
      </c>
      <c r="V275" s="7">
        <f t="shared" si="483"/>
        <v>1000</v>
      </c>
      <c r="W275" s="7">
        <f t="shared" si="484"/>
        <v>1000000</v>
      </c>
      <c r="X275" s="1345">
        <f t="shared" si="485"/>
        <v>26.71423419397691</v>
      </c>
      <c r="Y275" s="1345">
        <f t="shared" si="486"/>
        <v>2671.4234193976913</v>
      </c>
    </row>
    <row r="276" spans="1:26" x14ac:dyDescent="0.2">
      <c r="A276" s="213" t="str">
        <f t="shared" ref="A276:B276" si="497">A556</f>
        <v>INMETRO</v>
      </c>
      <c r="B276" s="213" t="str">
        <f t="shared" si="497"/>
        <v>VSL202750</v>
      </c>
      <c r="C276" s="219">
        <f t="shared" si="465"/>
        <v>823041</v>
      </c>
      <c r="D276" s="219">
        <f t="shared" si="466"/>
        <v>170</v>
      </c>
      <c r="E276" s="219">
        <f t="shared" si="467"/>
        <v>817400</v>
      </c>
      <c r="F276" s="219">
        <f t="shared" si="468"/>
        <v>2300</v>
      </c>
      <c r="G276" s="219">
        <f t="shared" si="469"/>
        <v>-5639.9999999999991</v>
      </c>
      <c r="H276" s="219">
        <f t="shared" si="470"/>
        <v>4610</v>
      </c>
      <c r="I276" s="155">
        <f t="shared" si="471"/>
        <v>1</v>
      </c>
      <c r="J276" s="155">
        <f t="shared" si="472"/>
        <v>5641</v>
      </c>
      <c r="K276" s="155">
        <f t="shared" si="473"/>
        <v>12183.740148246761</v>
      </c>
      <c r="L276" s="155">
        <f t="shared" si="474"/>
        <v>10</v>
      </c>
      <c r="M276" s="156">
        <f t="shared" si="475"/>
        <v>1.4803321035339383</v>
      </c>
      <c r="N276" s="157">
        <f t="shared" si="476"/>
        <v>0.14803321035339384</v>
      </c>
      <c r="O276" s="155">
        <f t="shared" si="477"/>
        <v>100</v>
      </c>
      <c r="P276" s="250">
        <v>1</v>
      </c>
      <c r="Q276" s="250">
        <v>1000</v>
      </c>
      <c r="R276" s="148">
        <f t="shared" si="479"/>
        <v>14.803321035339383</v>
      </c>
      <c r="S276" s="148">
        <f t="shared" si="480"/>
        <v>1.4803321035339383</v>
      </c>
      <c r="T276" s="148">
        <f t="shared" si="481"/>
        <v>0.14803321035339384</v>
      </c>
      <c r="U276" s="148">
        <f t="shared" si="482"/>
        <v>14.803321035339383</v>
      </c>
      <c r="V276" s="7">
        <f t="shared" si="483"/>
        <v>1000</v>
      </c>
      <c r="W276" s="7">
        <f t="shared" si="484"/>
        <v>1000000</v>
      </c>
      <c r="X276" s="1345">
        <f t="shared" si="485"/>
        <v>148.03321035339383</v>
      </c>
      <c r="Y276" s="1345">
        <f t="shared" si="486"/>
        <v>14803.321035339384</v>
      </c>
    </row>
    <row r="277" spans="1:26" x14ac:dyDescent="0.2">
      <c r="A277" s="213" t="str">
        <f t="shared" ref="A277:B277" si="498">A557</f>
        <v>GUM</v>
      </c>
      <c r="B277" s="213" t="str">
        <f t="shared" si="498"/>
        <v>VSL223562</v>
      </c>
      <c r="C277" s="219">
        <f t="shared" si="465"/>
        <v>822413</v>
      </c>
      <c r="D277" s="219">
        <f t="shared" si="466"/>
        <v>170</v>
      </c>
      <c r="E277" s="219">
        <f t="shared" si="467"/>
        <v>822200</v>
      </c>
      <c r="F277" s="219">
        <f t="shared" si="468"/>
        <v>600</v>
      </c>
      <c r="G277" s="219">
        <f t="shared" si="469"/>
        <v>-210</v>
      </c>
      <c r="H277" s="219">
        <f t="shared" si="470"/>
        <v>1250</v>
      </c>
      <c r="I277" s="155">
        <f t="shared" si="471"/>
        <v>0</v>
      </c>
      <c r="J277" s="155">
        <f t="shared" si="472"/>
        <v>0</v>
      </c>
      <c r="K277" s="155">
        <f t="shared" si="473"/>
        <v>1200</v>
      </c>
      <c r="L277" s="155">
        <f t="shared" si="474"/>
        <v>10</v>
      </c>
      <c r="M277" s="156">
        <f t="shared" si="475"/>
        <v>0.14591209039740372</v>
      </c>
      <c r="N277" s="157">
        <f t="shared" si="476"/>
        <v>1.4591209039740372E-2</v>
      </c>
      <c r="O277" s="155">
        <f t="shared" si="477"/>
        <v>100</v>
      </c>
      <c r="P277" s="250">
        <v>1</v>
      </c>
      <c r="Q277" s="250">
        <v>1000</v>
      </c>
      <c r="R277" s="148">
        <f t="shared" si="479"/>
        <v>1.4591209039740372</v>
      </c>
      <c r="S277" s="148">
        <f t="shared" si="480"/>
        <v>0.14591209039740372</v>
      </c>
      <c r="T277" s="148">
        <f t="shared" si="481"/>
        <v>1.4591209039740372E-2</v>
      </c>
      <c r="U277" s="148">
        <f t="shared" si="482"/>
        <v>1.4591209039740372</v>
      </c>
      <c r="V277" s="7">
        <f t="shared" si="483"/>
        <v>1000</v>
      </c>
      <c r="W277" s="7">
        <f t="shared" si="484"/>
        <v>1000000</v>
      </c>
      <c r="X277" s="1345">
        <f t="shared" si="485"/>
        <v>14.591209039740372</v>
      </c>
      <c r="Y277" s="1345">
        <f t="shared" si="486"/>
        <v>1459.1209039740372</v>
      </c>
    </row>
    <row r="278" spans="1:26" x14ac:dyDescent="0.2">
      <c r="A278" s="213" t="str">
        <f t="shared" ref="A278:B278" si="499">A558</f>
        <v>NRCCRM</v>
      </c>
      <c r="B278" s="213" t="str">
        <f t="shared" si="499"/>
        <v>VSL228668</v>
      </c>
      <c r="C278" s="219">
        <f t="shared" si="465"/>
        <v>823067.00000000012</v>
      </c>
      <c r="D278" s="219">
        <f t="shared" si="466"/>
        <v>170</v>
      </c>
      <c r="E278" s="219">
        <f t="shared" si="467"/>
        <v>823000</v>
      </c>
      <c r="F278" s="219">
        <f t="shared" si="468"/>
        <v>6175.0000000000009</v>
      </c>
      <c r="G278" s="219">
        <f t="shared" si="469"/>
        <v>-70</v>
      </c>
      <c r="H278" s="219">
        <f t="shared" si="470"/>
        <v>12350.000000000002</v>
      </c>
      <c r="I278" s="155">
        <f t="shared" si="471"/>
        <v>0</v>
      </c>
      <c r="J278" s="155">
        <f t="shared" si="472"/>
        <v>0</v>
      </c>
      <c r="K278" s="155">
        <f t="shared" si="473"/>
        <v>12350.000000000002</v>
      </c>
      <c r="L278" s="155">
        <f t="shared" si="474"/>
        <v>10</v>
      </c>
      <c r="M278" s="156">
        <f t="shared" si="475"/>
        <v>1.5004853796835496</v>
      </c>
      <c r="N278" s="157">
        <f t="shared" si="476"/>
        <v>0.15004853796835496</v>
      </c>
      <c r="O278" s="155">
        <f t="shared" si="477"/>
        <v>100</v>
      </c>
      <c r="P278" s="250">
        <v>1</v>
      </c>
      <c r="Q278" s="250">
        <v>1000</v>
      </c>
      <c r="R278" s="148">
        <f t="shared" si="479"/>
        <v>15.004853796835496</v>
      </c>
      <c r="S278" s="148">
        <f t="shared" si="480"/>
        <v>1.5004853796835496</v>
      </c>
      <c r="T278" s="148">
        <f t="shared" si="481"/>
        <v>0.15004853796835496</v>
      </c>
      <c r="U278" s="148">
        <f t="shared" si="482"/>
        <v>15.004853796835496</v>
      </c>
      <c r="V278" s="7">
        <f t="shared" si="483"/>
        <v>1000</v>
      </c>
      <c r="W278" s="7">
        <f t="shared" si="484"/>
        <v>1000000</v>
      </c>
      <c r="X278" s="1345">
        <f t="shared" si="485"/>
        <v>150.04853796835496</v>
      </c>
      <c r="Y278" s="1345">
        <f t="shared" si="486"/>
        <v>15004.853796835496</v>
      </c>
    </row>
    <row r="279" spans="1:26" x14ac:dyDescent="0.2">
      <c r="A279" s="213" t="str">
        <f t="shared" ref="A279:B279" si="500">A559</f>
        <v>KRISS</v>
      </c>
      <c r="B279" s="213" t="str">
        <f t="shared" si="500"/>
        <v>VSL229332</v>
      </c>
      <c r="C279" s="219">
        <f t="shared" si="465"/>
        <v>823077</v>
      </c>
      <c r="D279" s="219">
        <f t="shared" si="466"/>
        <v>170</v>
      </c>
      <c r="E279" s="219">
        <f t="shared" si="467"/>
        <v>823040</v>
      </c>
      <c r="F279" s="219">
        <f t="shared" si="468"/>
        <v>370</v>
      </c>
      <c r="G279" s="219">
        <f t="shared" si="469"/>
        <v>-40</v>
      </c>
      <c r="H279" s="219">
        <f t="shared" si="470"/>
        <v>810</v>
      </c>
      <c r="I279" s="155">
        <f t="shared" si="471"/>
        <v>0</v>
      </c>
      <c r="J279" s="155">
        <f t="shared" si="472"/>
        <v>0</v>
      </c>
      <c r="K279" s="155">
        <f t="shared" si="473"/>
        <v>740</v>
      </c>
      <c r="L279" s="155">
        <f t="shared" si="474"/>
        <v>10</v>
      </c>
      <c r="M279" s="156">
        <f t="shared" si="475"/>
        <v>8.9906533653594981E-2</v>
      </c>
      <c r="N279" s="157">
        <f t="shared" si="476"/>
        <v>8.9906533653594974E-3</v>
      </c>
      <c r="O279" s="155">
        <f t="shared" si="477"/>
        <v>100</v>
      </c>
      <c r="P279" s="250">
        <v>1</v>
      </c>
      <c r="Q279" s="250">
        <v>1000</v>
      </c>
      <c r="R279" s="148">
        <f t="shared" si="479"/>
        <v>0.89906533653594978</v>
      </c>
      <c r="S279" s="148">
        <f t="shared" si="480"/>
        <v>8.9906533653594981E-2</v>
      </c>
      <c r="T279" s="148">
        <f t="shared" si="481"/>
        <v>8.9906533653594974E-3</v>
      </c>
      <c r="U279" s="148">
        <f t="shared" si="482"/>
        <v>0.89906533653594978</v>
      </c>
      <c r="V279" s="7">
        <f t="shared" si="483"/>
        <v>1000</v>
      </c>
      <c r="W279" s="7">
        <f t="shared" si="484"/>
        <v>1000000</v>
      </c>
      <c r="X279" s="1345">
        <f t="shared" si="485"/>
        <v>8.9906533653594973</v>
      </c>
      <c r="Y279" s="1345">
        <f t="shared" si="486"/>
        <v>899.06533653594977</v>
      </c>
    </row>
    <row r="280" spans="1:26" ht="14.25" x14ac:dyDescent="0.2">
      <c r="H280" s="9"/>
      <c r="U280" s="152"/>
      <c r="V280" s="21"/>
      <c r="W280" s="21"/>
      <c r="X280" s="21"/>
      <c r="Y280" s="21"/>
      <c r="Z280" s="21"/>
    </row>
    <row r="281" spans="1:26" ht="14.25" x14ac:dyDescent="0.2">
      <c r="H281" s="9"/>
      <c r="U281" s="152"/>
      <c r="V281" s="21"/>
      <c r="W281" s="21"/>
      <c r="X281" s="21"/>
      <c r="Y281" s="21"/>
      <c r="Z281" s="21"/>
    </row>
    <row r="282" spans="1:26" ht="14.25" x14ac:dyDescent="0.2">
      <c r="H282" s="9"/>
      <c r="U282" s="152"/>
      <c r="V282" s="21"/>
      <c r="W282" s="21"/>
      <c r="X282" s="21"/>
      <c r="Y282" s="21"/>
      <c r="Z282" s="21"/>
    </row>
    <row r="283" spans="1:26" ht="14.25" x14ac:dyDescent="0.2">
      <c r="A283" s="1" t="s">
        <v>1143</v>
      </c>
      <c r="H283" s="9"/>
      <c r="U283" s="152"/>
      <c r="V283" s="21"/>
      <c r="W283" s="21"/>
      <c r="X283" s="21"/>
      <c r="Y283" s="21"/>
      <c r="Z283" s="21"/>
    </row>
    <row r="284" spans="1:26" ht="14.25" x14ac:dyDescent="0.2">
      <c r="A284" s="1" t="s">
        <v>1144</v>
      </c>
      <c r="H284" s="9"/>
      <c r="U284" s="152"/>
      <c r="V284" s="21"/>
      <c r="W284" s="21"/>
      <c r="X284" s="21"/>
      <c r="Y284" s="21"/>
      <c r="Z284" s="21"/>
    </row>
    <row r="285" spans="1:26" ht="14.25" x14ac:dyDescent="0.2">
      <c r="A285" s="1" t="s">
        <v>1145</v>
      </c>
      <c r="H285" s="9"/>
      <c r="U285" s="152"/>
      <c r="V285" s="21"/>
      <c r="W285" s="21"/>
      <c r="X285" s="21"/>
      <c r="Y285" s="21"/>
      <c r="Z285" s="21"/>
    </row>
    <row r="286" spans="1:26" ht="14.25" x14ac:dyDescent="0.2">
      <c r="A286" s="1" t="s">
        <v>1146</v>
      </c>
      <c r="H286" s="9"/>
      <c r="U286" s="152"/>
      <c r="V286" s="21"/>
      <c r="W286" s="21"/>
      <c r="X286" s="21"/>
      <c r="Y286" s="21"/>
      <c r="Z286" s="21"/>
    </row>
    <row r="287" spans="1:26" ht="14.25" x14ac:dyDescent="0.2">
      <c r="A287" s="1" t="s">
        <v>1147</v>
      </c>
      <c r="H287" s="9"/>
      <c r="U287" s="152"/>
      <c r="V287" s="21"/>
      <c r="W287" s="21"/>
      <c r="X287" s="21"/>
      <c r="Y287" s="21"/>
      <c r="Z287" s="21"/>
    </row>
    <row r="288" spans="1:26" ht="14.25" x14ac:dyDescent="0.2">
      <c r="A288" s="1" t="s">
        <v>1148</v>
      </c>
      <c r="H288" s="9"/>
      <c r="U288" s="152"/>
      <c r="V288" s="21"/>
      <c r="W288" s="21"/>
      <c r="X288" s="21"/>
      <c r="Y288" s="21"/>
      <c r="Z288" s="21"/>
    </row>
    <row r="289" spans="1:26" ht="14.25" x14ac:dyDescent="0.2">
      <c r="A289" s="1" t="s">
        <v>1149</v>
      </c>
      <c r="H289" s="9"/>
      <c r="U289" s="152"/>
      <c r="V289" s="21"/>
      <c r="W289" s="21"/>
      <c r="X289" s="21"/>
      <c r="Y289" s="21"/>
      <c r="Z289" s="21"/>
    </row>
    <row r="290" spans="1:26" ht="14.25" x14ac:dyDescent="0.2">
      <c r="A290" s="1" t="s">
        <v>1150</v>
      </c>
      <c r="H290" s="9"/>
      <c r="U290" s="152"/>
      <c r="V290" s="21"/>
      <c r="W290" s="21"/>
      <c r="X290" s="21"/>
      <c r="Y290" s="21"/>
      <c r="Z290" s="21"/>
    </row>
    <row r="291" spans="1:26" ht="14.25" x14ac:dyDescent="0.2">
      <c r="A291" s="1" t="s">
        <v>1151</v>
      </c>
      <c r="H291" s="9"/>
      <c r="U291" s="152"/>
      <c r="V291" s="21"/>
      <c r="W291" s="21"/>
      <c r="X291" s="21"/>
      <c r="Y291" s="21"/>
      <c r="Z291" s="21"/>
    </row>
    <row r="292" spans="1:26" ht="14.25" x14ac:dyDescent="0.2">
      <c r="A292" s="1" t="s">
        <v>1152</v>
      </c>
      <c r="H292" s="9"/>
      <c r="U292" s="152"/>
      <c r="V292" s="21"/>
      <c r="W292" s="21"/>
      <c r="X292" s="21"/>
      <c r="Y292" s="21"/>
      <c r="Z292" s="21"/>
    </row>
    <row r="293" spans="1:26" ht="14.25" x14ac:dyDescent="0.2">
      <c r="H293" s="9"/>
      <c r="U293" s="152"/>
      <c r="V293" s="21"/>
      <c r="W293" s="21"/>
      <c r="X293" s="21"/>
      <c r="Y293" s="21"/>
      <c r="Z293" s="21"/>
    </row>
    <row r="294" spans="1:26" ht="14.25" x14ac:dyDescent="0.2">
      <c r="H294" s="9"/>
      <c r="U294" s="152"/>
      <c r="V294" s="21"/>
      <c r="W294" s="21"/>
      <c r="X294" s="21"/>
      <c r="Y294" s="21"/>
      <c r="Z294" s="21"/>
    </row>
    <row r="295" spans="1:26" s="227" customFormat="1" x14ac:dyDescent="0.2">
      <c r="A295" s="960" t="s">
        <v>1153</v>
      </c>
    </row>
    <row r="296" spans="1:26" s="227" customFormat="1" ht="14.1" customHeight="1" x14ac:dyDescent="0.2">
      <c r="A296" s="961" t="s">
        <v>1082</v>
      </c>
      <c r="B296" s="961" t="s">
        <v>1083</v>
      </c>
      <c r="C296" s="962" t="s">
        <v>1084</v>
      </c>
      <c r="D296" s="626" t="s">
        <v>1085</v>
      </c>
      <c r="E296" s="952" t="s">
        <v>1086</v>
      </c>
      <c r="F296" s="626" t="s">
        <v>1087</v>
      </c>
      <c r="G296" s="963" t="s">
        <v>1088</v>
      </c>
      <c r="H296" s="626" t="s">
        <v>1089</v>
      </c>
      <c r="I296" s="626" t="s">
        <v>1090</v>
      </c>
      <c r="J296" s="964" t="s">
        <v>1091</v>
      </c>
      <c r="K296" s="965" t="s">
        <v>1092</v>
      </c>
      <c r="L296" s="966" t="s">
        <v>1093</v>
      </c>
    </row>
    <row r="297" spans="1:26" s="227" customFormat="1" ht="12.75" customHeight="1" x14ac:dyDescent="0.2">
      <c r="A297" s="967" t="s">
        <v>1094</v>
      </c>
      <c r="B297" s="967" t="s">
        <v>1095</v>
      </c>
      <c r="C297" s="968">
        <v>4.0103</v>
      </c>
      <c r="D297" s="1035">
        <v>8.8999999999999995E-4</v>
      </c>
      <c r="E297" s="969">
        <v>2.0100000000000001E-3</v>
      </c>
      <c r="F297" s="1035">
        <v>2.1900000000000001E-3</v>
      </c>
      <c r="G297" s="970">
        <v>4.008</v>
      </c>
      <c r="H297" s="1051">
        <v>5.0000000000000001E-3</v>
      </c>
      <c r="I297" s="1052">
        <v>2</v>
      </c>
      <c r="J297" s="971">
        <v>-2E-3</v>
      </c>
      <c r="K297" s="972">
        <v>2</v>
      </c>
      <c r="L297" s="973">
        <v>7.0000000000000001E-3</v>
      </c>
    </row>
    <row r="298" spans="1:26" s="227" customFormat="1" ht="13.5" customHeight="1" x14ac:dyDescent="0.2">
      <c r="A298" s="974" t="s">
        <v>1096</v>
      </c>
      <c r="B298" s="974" t="s">
        <v>1097</v>
      </c>
      <c r="C298" s="975">
        <v>3.9977900000000002</v>
      </c>
      <c r="D298" s="1034">
        <v>8.3000000000000001E-4</v>
      </c>
      <c r="E298" s="976">
        <v>2.0100000000000001E-3</v>
      </c>
      <c r="F298" s="1034">
        <v>2.1700000000000001E-3</v>
      </c>
      <c r="G298" s="977">
        <v>3.9969999999999999</v>
      </c>
      <c r="H298" s="1042">
        <v>1.2E-2</v>
      </c>
      <c r="I298" s="1043">
        <v>2</v>
      </c>
      <c r="J298" s="978">
        <v>-1E-3</v>
      </c>
      <c r="K298" s="979">
        <v>2</v>
      </c>
      <c r="L298" s="980">
        <v>1.2999999999999999E-2</v>
      </c>
    </row>
    <row r="299" spans="1:26" s="227" customFormat="1" ht="13.5" customHeight="1" x14ac:dyDescent="0.2">
      <c r="A299" s="974" t="s">
        <v>1098</v>
      </c>
      <c r="B299" s="974" t="s">
        <v>1099</v>
      </c>
      <c r="C299" s="975">
        <v>3.9897300000000002</v>
      </c>
      <c r="D299" s="1034">
        <v>8.3000000000000001E-4</v>
      </c>
      <c r="E299" s="976">
        <v>2.0100000000000001E-3</v>
      </c>
      <c r="F299" s="1034">
        <v>2.1700000000000001E-3</v>
      </c>
      <c r="G299" s="977">
        <v>4.0339999999999998</v>
      </c>
      <c r="H299" s="1042">
        <v>7.4999999999999997E-2</v>
      </c>
      <c r="I299" s="1043">
        <v>2</v>
      </c>
      <c r="J299" s="978">
        <v>4.3999999999999997E-2</v>
      </c>
      <c r="K299" s="979">
        <v>2</v>
      </c>
      <c r="L299" s="980">
        <v>7.4999999999999997E-2</v>
      </c>
    </row>
    <row r="300" spans="1:26" s="227" customFormat="1" ht="13.5" customHeight="1" x14ac:dyDescent="0.2">
      <c r="A300" s="974" t="s">
        <v>1100</v>
      </c>
      <c r="B300" s="974" t="s">
        <v>1101</v>
      </c>
      <c r="C300" s="975">
        <v>4.0156400000000003</v>
      </c>
      <c r="D300" s="1034">
        <v>8.0999999999999996E-4</v>
      </c>
      <c r="E300" s="976">
        <v>2.0100000000000001E-3</v>
      </c>
      <c r="F300" s="1034">
        <v>2.16E-3</v>
      </c>
      <c r="G300" s="977">
        <v>4.008</v>
      </c>
      <c r="H300" s="1042">
        <v>6.0000000000000001E-3</v>
      </c>
      <c r="I300" s="1043">
        <v>2</v>
      </c>
      <c r="J300" s="978">
        <v>-8.0000000000000002E-3</v>
      </c>
      <c r="K300" s="979">
        <v>2</v>
      </c>
      <c r="L300" s="980">
        <v>7.0000000000000001E-3</v>
      </c>
    </row>
    <row r="301" spans="1:26" s="227" customFormat="1" ht="13.5" customHeight="1" x14ac:dyDescent="0.2">
      <c r="A301" s="974" t="s">
        <v>1102</v>
      </c>
      <c r="B301" s="974" t="s">
        <v>1103</v>
      </c>
      <c r="C301" s="975">
        <v>4.0016400000000001</v>
      </c>
      <c r="D301" s="1034">
        <v>8.3000000000000001E-4</v>
      </c>
      <c r="E301" s="976">
        <v>2.0100000000000001E-3</v>
      </c>
      <c r="F301" s="1034">
        <v>2.1700000000000001E-3</v>
      </c>
      <c r="G301" s="981">
        <v>3.9979</v>
      </c>
      <c r="H301" s="1042">
        <v>8.0000000000000002E-3</v>
      </c>
      <c r="I301" s="1047">
        <v>2.4300000000000002</v>
      </c>
      <c r="J301" s="978">
        <v>-4.0000000000000001E-3</v>
      </c>
      <c r="K301" s="979">
        <v>2</v>
      </c>
      <c r="L301" s="980">
        <v>8.0000000000000002E-3</v>
      </c>
    </row>
    <row r="302" spans="1:26" s="227" customFormat="1" ht="13.5" customHeight="1" x14ac:dyDescent="0.2">
      <c r="A302" s="974" t="s">
        <v>1104</v>
      </c>
      <c r="B302" s="974" t="s">
        <v>1105</v>
      </c>
      <c r="C302" s="975">
        <v>3.9707499999999998</v>
      </c>
      <c r="D302" s="1034">
        <v>8.4000000000000003E-4</v>
      </c>
      <c r="E302" s="976">
        <v>2.0100000000000001E-3</v>
      </c>
      <c r="F302" s="1034">
        <v>2.1700000000000001E-3</v>
      </c>
      <c r="G302" s="977">
        <v>3.9729999999999999</v>
      </c>
      <c r="H302" s="1042">
        <v>2.9000000000000001E-2</v>
      </c>
      <c r="I302" s="1043">
        <v>2</v>
      </c>
      <c r="J302" s="978">
        <v>2E-3</v>
      </c>
      <c r="K302" s="979">
        <v>2</v>
      </c>
      <c r="L302" s="980">
        <v>2.9000000000000001E-2</v>
      </c>
    </row>
    <row r="303" spans="1:26" s="227" customFormat="1" ht="13.5" customHeight="1" x14ac:dyDescent="0.2">
      <c r="A303" s="974" t="s">
        <v>1106</v>
      </c>
      <c r="B303" s="974" t="s">
        <v>1107</v>
      </c>
      <c r="C303" s="975">
        <v>4.05572</v>
      </c>
      <c r="D303" s="1034">
        <v>8.8999999999999995E-4</v>
      </c>
      <c r="E303" s="976">
        <v>2.0100000000000001E-3</v>
      </c>
      <c r="F303" s="1034">
        <v>2.1900000000000001E-3</v>
      </c>
      <c r="G303" s="977">
        <v>4.0529999999999999</v>
      </c>
      <c r="H303" s="1042">
        <v>7.0000000000000001E-3</v>
      </c>
      <c r="I303" s="1043">
        <v>2</v>
      </c>
      <c r="J303" s="978">
        <v>-3.0000000000000001E-3</v>
      </c>
      <c r="K303" s="979">
        <v>2</v>
      </c>
      <c r="L303" s="980">
        <v>8.0000000000000002E-3</v>
      </c>
    </row>
    <row r="304" spans="1:26" s="227" customFormat="1" ht="13.5" customHeight="1" x14ac:dyDescent="0.2">
      <c r="A304" s="974" t="s">
        <v>1108</v>
      </c>
      <c r="B304" s="974" t="s">
        <v>1109</v>
      </c>
      <c r="C304" s="975">
        <v>4.0240400000000003</v>
      </c>
      <c r="D304" s="1034">
        <v>8.3000000000000001E-4</v>
      </c>
      <c r="E304" s="976">
        <v>2.0100000000000001E-3</v>
      </c>
      <c r="F304" s="1034">
        <v>2.1700000000000001E-3</v>
      </c>
      <c r="G304" s="982">
        <v>4.03</v>
      </c>
      <c r="H304" s="1042">
        <v>4.5999999999999999E-2</v>
      </c>
      <c r="I304" s="1043">
        <v>2</v>
      </c>
      <c r="J304" s="978">
        <v>6.0000000000000001E-3</v>
      </c>
      <c r="K304" s="979">
        <v>2</v>
      </c>
      <c r="L304" s="980">
        <v>4.5999999999999999E-2</v>
      </c>
    </row>
    <row r="305" spans="1:12" s="227" customFormat="1" ht="13.5" customHeight="1" x14ac:dyDescent="0.2">
      <c r="A305" s="974" t="s">
        <v>1110</v>
      </c>
      <c r="B305" s="974" t="s">
        <v>1111</v>
      </c>
      <c r="C305" s="975">
        <v>4.03512</v>
      </c>
      <c r="D305" s="1034">
        <v>8.1999999999999998E-4</v>
      </c>
      <c r="E305" s="976">
        <v>2.0100000000000001E-3</v>
      </c>
      <c r="F305" s="1034">
        <v>2.1700000000000001E-3</v>
      </c>
      <c r="G305" s="981">
        <v>4.0312999999999999</v>
      </c>
      <c r="H305" s="1042">
        <v>5.0999999999999997E-2</v>
      </c>
      <c r="I305" s="1043">
        <v>2</v>
      </c>
      <c r="J305" s="978">
        <v>-4.0000000000000001E-3</v>
      </c>
      <c r="K305" s="979">
        <v>2</v>
      </c>
      <c r="L305" s="980">
        <v>5.0999999999999997E-2</v>
      </c>
    </row>
    <row r="306" spans="1:12" s="227" customFormat="1" ht="13.5" customHeight="1" x14ac:dyDescent="0.2">
      <c r="A306" s="974" t="s">
        <v>1112</v>
      </c>
      <c r="B306" s="974" t="s">
        <v>1113</v>
      </c>
      <c r="C306" s="975">
        <v>4.0217799999999997</v>
      </c>
      <c r="D306" s="1034">
        <v>8.3000000000000001E-4</v>
      </c>
      <c r="E306" s="976">
        <v>2.0100000000000001E-3</v>
      </c>
      <c r="F306" s="1034">
        <v>2.1700000000000001E-3</v>
      </c>
      <c r="G306" s="981">
        <v>4.0221</v>
      </c>
      <c r="H306" s="1042">
        <v>1.2E-2</v>
      </c>
      <c r="I306" s="1043">
        <v>2</v>
      </c>
      <c r="J306" s="978">
        <v>0</v>
      </c>
      <c r="K306" s="979">
        <v>2</v>
      </c>
      <c r="L306" s="980">
        <v>1.2999999999999999E-2</v>
      </c>
    </row>
    <row r="307" spans="1:12" s="227" customFormat="1" ht="13.5" customHeight="1" x14ac:dyDescent="0.2">
      <c r="A307" s="974" t="s">
        <v>1114</v>
      </c>
      <c r="B307" s="974" t="s">
        <v>1115</v>
      </c>
      <c r="C307" s="975">
        <v>4.0158500000000004</v>
      </c>
      <c r="D307" s="1034">
        <v>8.4000000000000003E-4</v>
      </c>
      <c r="E307" s="976">
        <v>2.0100000000000001E-3</v>
      </c>
      <c r="F307" s="1034">
        <v>2.1700000000000001E-3</v>
      </c>
      <c r="G307" s="977">
        <v>4.0129999999999999</v>
      </c>
      <c r="H307" s="1042">
        <v>5.0000000000000001E-3</v>
      </c>
      <c r="I307" s="1047">
        <v>2.1800000000000002</v>
      </c>
      <c r="J307" s="978">
        <v>-3.0000000000000001E-3</v>
      </c>
      <c r="K307" s="979">
        <v>2</v>
      </c>
      <c r="L307" s="980">
        <v>6.0000000000000001E-3</v>
      </c>
    </row>
    <row r="308" spans="1:12" s="227" customFormat="1" ht="13.5" customHeight="1" x14ac:dyDescent="0.2">
      <c r="A308" s="974" t="s">
        <v>1116</v>
      </c>
      <c r="B308" s="974" t="s">
        <v>1117</v>
      </c>
      <c r="C308" s="975">
        <v>3.99525</v>
      </c>
      <c r="D308" s="1034">
        <v>8.3000000000000001E-4</v>
      </c>
      <c r="E308" s="976">
        <v>2.0100000000000001E-3</v>
      </c>
      <c r="F308" s="1034">
        <v>2.1700000000000001E-3</v>
      </c>
      <c r="G308" s="977">
        <v>3.996</v>
      </c>
      <c r="H308" s="1042">
        <v>1.7000000000000001E-2</v>
      </c>
      <c r="I308" s="1043">
        <v>2</v>
      </c>
      <c r="J308" s="978">
        <v>1E-3</v>
      </c>
      <c r="K308" s="979">
        <v>2</v>
      </c>
      <c r="L308" s="980">
        <v>1.7999999999999999E-2</v>
      </c>
    </row>
    <row r="309" spans="1:12" s="227" customFormat="1" ht="13.5" customHeight="1" x14ac:dyDescent="0.2">
      <c r="A309" s="974" t="s">
        <v>1118</v>
      </c>
      <c r="B309" s="974" t="s">
        <v>1119</v>
      </c>
      <c r="C309" s="975">
        <v>4.0252699999999999</v>
      </c>
      <c r="D309" s="1034">
        <v>8.3000000000000001E-4</v>
      </c>
      <c r="E309" s="976">
        <v>2.0100000000000001E-3</v>
      </c>
      <c r="F309" s="1034">
        <v>2.1700000000000001E-3</v>
      </c>
      <c r="G309" s="977">
        <v>4.0650000000000004</v>
      </c>
      <c r="H309" s="1042">
        <v>4.7E-2</v>
      </c>
      <c r="I309" s="1043">
        <v>2</v>
      </c>
      <c r="J309" s="978">
        <v>0.04</v>
      </c>
      <c r="K309" s="979">
        <v>2</v>
      </c>
      <c r="L309" s="980">
        <v>4.7E-2</v>
      </c>
    </row>
    <row r="310" spans="1:12" s="227" customFormat="1" ht="13.5" customHeight="1" x14ac:dyDescent="0.2">
      <c r="A310" s="974" t="s">
        <v>1120</v>
      </c>
      <c r="B310" s="974" t="s">
        <v>1121</v>
      </c>
      <c r="C310" s="975">
        <v>3.9988800000000002</v>
      </c>
      <c r="D310" s="1034">
        <v>8.3000000000000001E-4</v>
      </c>
      <c r="E310" s="976">
        <v>2.0100000000000001E-3</v>
      </c>
      <c r="F310" s="1034">
        <v>2.1700000000000001E-3</v>
      </c>
      <c r="G310" s="977">
        <v>3.9910000000000001</v>
      </c>
      <c r="H310" s="1047">
        <v>0.04</v>
      </c>
      <c r="I310" s="1043">
        <v>2</v>
      </c>
      <c r="J310" s="978">
        <v>-8.0000000000000002E-3</v>
      </c>
      <c r="K310" s="979">
        <v>2</v>
      </c>
      <c r="L310" s="980">
        <v>0.04</v>
      </c>
    </row>
    <row r="311" spans="1:12" s="227" customFormat="1" ht="13.5" customHeight="1" x14ac:dyDescent="0.2">
      <c r="A311" s="974" t="s">
        <v>1122</v>
      </c>
      <c r="B311" s="974" t="s">
        <v>1123</v>
      </c>
      <c r="C311" s="975">
        <v>4.0271999999999997</v>
      </c>
      <c r="D311" s="1034">
        <v>8.3000000000000001E-4</v>
      </c>
      <c r="E311" s="976">
        <v>2.0100000000000001E-3</v>
      </c>
      <c r="F311" s="1034">
        <v>2.1700000000000001E-3</v>
      </c>
      <c r="G311" s="977">
        <v>4.0270000000000001</v>
      </c>
      <c r="H311" s="1042">
        <v>0.06</v>
      </c>
      <c r="I311" s="1043">
        <v>2</v>
      </c>
      <c r="J311" s="978">
        <v>0</v>
      </c>
      <c r="K311" s="979">
        <v>2</v>
      </c>
      <c r="L311" s="980">
        <v>6.0999999999999999E-2</v>
      </c>
    </row>
    <row r="312" spans="1:12" s="227" customFormat="1" ht="15.6" customHeight="1" x14ac:dyDescent="0.2">
      <c r="A312" s="974" t="s">
        <v>1124</v>
      </c>
      <c r="B312" s="974" t="s">
        <v>1125</v>
      </c>
      <c r="C312" s="975">
        <v>3.9747300000000001</v>
      </c>
      <c r="D312" s="1034">
        <v>8.4999999999999995E-4</v>
      </c>
      <c r="E312" s="976">
        <v>2.0100000000000001E-3</v>
      </c>
      <c r="F312" s="1034">
        <v>2.1800000000000001E-3</v>
      </c>
      <c r="G312" s="981">
        <v>3.9796</v>
      </c>
      <c r="H312" s="1031">
        <v>9.2999999999999992E-3</v>
      </c>
      <c r="I312" s="1043">
        <v>2</v>
      </c>
      <c r="J312" s="978">
        <v>5.0000000000000001E-3</v>
      </c>
      <c r="K312" s="979">
        <v>2</v>
      </c>
      <c r="L312" s="980">
        <v>0.01</v>
      </c>
    </row>
    <row r="313" spans="1:12" s="227" customFormat="1" ht="15.6" customHeight="1" x14ac:dyDescent="0.2">
      <c r="A313" s="983"/>
      <c r="B313" s="983"/>
      <c r="C313" s="976"/>
      <c r="D313" s="976"/>
      <c r="E313" s="976"/>
      <c r="F313" s="984"/>
      <c r="G313" s="985"/>
      <c r="H313" s="985"/>
      <c r="I313" s="986"/>
      <c r="J313" s="987"/>
      <c r="K313" s="979"/>
      <c r="L313" s="988"/>
    </row>
    <row r="314" spans="1:12" s="227" customFormat="1" ht="15.6" customHeight="1" x14ac:dyDescent="0.2">
      <c r="A314" s="989" t="s">
        <v>1154</v>
      </c>
      <c r="B314" s="983"/>
      <c r="C314" s="976"/>
      <c r="D314" s="976"/>
      <c r="E314" s="976"/>
      <c r="F314" s="984"/>
      <c r="G314" s="985"/>
      <c r="H314" s="985"/>
      <c r="I314" s="986"/>
      <c r="J314" s="987"/>
      <c r="K314" s="979"/>
      <c r="L314" s="988"/>
    </row>
    <row r="315" spans="1:12" s="227" customFormat="1" ht="14.1" customHeight="1" x14ac:dyDescent="0.2">
      <c r="A315" s="990" t="s">
        <v>1082</v>
      </c>
      <c r="B315" s="990" t="s">
        <v>1083</v>
      </c>
      <c r="C315" s="991" t="s">
        <v>1084</v>
      </c>
      <c r="D315" s="1037" t="s">
        <v>1085</v>
      </c>
      <c r="E315" s="992" t="s">
        <v>1086</v>
      </c>
      <c r="F315" s="1037" t="s">
        <v>1087</v>
      </c>
      <c r="G315" s="993" t="s">
        <v>1088</v>
      </c>
      <c r="H315" s="1037" t="s">
        <v>1089</v>
      </c>
      <c r="I315" s="1037" t="s">
        <v>1090</v>
      </c>
      <c r="J315" s="994" t="s">
        <v>1091</v>
      </c>
      <c r="K315" s="995" t="s">
        <v>1092</v>
      </c>
      <c r="L315" s="996" t="s">
        <v>1093</v>
      </c>
    </row>
    <row r="316" spans="1:12" s="227" customFormat="1" ht="12.75" customHeight="1" x14ac:dyDescent="0.2">
      <c r="A316" s="967" t="s">
        <v>1094</v>
      </c>
      <c r="B316" s="967" t="s">
        <v>1126</v>
      </c>
      <c r="C316" s="968">
        <v>13.50192</v>
      </c>
      <c r="D316" s="1035">
        <v>1.1999999999999999E-3</v>
      </c>
      <c r="E316" s="969">
        <v>6.7499999999999999E-3</v>
      </c>
      <c r="F316" s="1035">
        <v>6.8599999999999998E-3</v>
      </c>
      <c r="G316" s="970">
        <v>13.502000000000001</v>
      </c>
      <c r="H316" s="1051">
        <v>1.2E-2</v>
      </c>
      <c r="I316" s="1052">
        <v>2</v>
      </c>
      <c r="J316" s="971">
        <v>0</v>
      </c>
      <c r="K316" s="972">
        <v>2</v>
      </c>
      <c r="L316" s="973">
        <v>1.7999999999999999E-2</v>
      </c>
    </row>
    <row r="317" spans="1:12" s="227" customFormat="1" ht="13.5" customHeight="1" x14ac:dyDescent="0.2">
      <c r="A317" s="974" t="s">
        <v>1096</v>
      </c>
      <c r="B317" s="974" t="s">
        <v>1127</v>
      </c>
      <c r="C317" s="975">
        <v>13.504949999999999</v>
      </c>
      <c r="D317" s="1034">
        <v>1.1999999999999999E-3</v>
      </c>
      <c r="E317" s="976">
        <v>2.0100000000000001E-3</v>
      </c>
      <c r="F317" s="1034">
        <v>2.33E-3</v>
      </c>
      <c r="G317" s="977">
        <v>13.523</v>
      </c>
      <c r="H317" s="1042">
        <v>5.3999999999999999E-2</v>
      </c>
      <c r="I317" s="1043">
        <v>2</v>
      </c>
      <c r="J317" s="978">
        <v>1.7999999999999999E-2</v>
      </c>
      <c r="K317" s="979">
        <v>2</v>
      </c>
      <c r="L317" s="980">
        <v>5.3999999999999999E-2</v>
      </c>
    </row>
    <row r="318" spans="1:12" s="227" customFormat="1" ht="13.5" customHeight="1" x14ac:dyDescent="0.2">
      <c r="A318" s="974" t="s">
        <v>1098</v>
      </c>
      <c r="B318" s="974" t="s">
        <v>1128</v>
      </c>
      <c r="C318" s="975">
        <v>13.48584</v>
      </c>
      <c r="D318" s="1034">
        <v>1.1900000000000001E-3</v>
      </c>
      <c r="E318" s="976">
        <v>2.0100000000000001E-3</v>
      </c>
      <c r="F318" s="1034">
        <v>2.33E-3</v>
      </c>
      <c r="G318" s="977">
        <v>13.199</v>
      </c>
      <c r="H318" s="1042">
        <v>0.46300000000000002</v>
      </c>
      <c r="I318" s="1043">
        <v>2</v>
      </c>
      <c r="J318" s="978">
        <v>-0.28699999999999998</v>
      </c>
      <c r="K318" s="979">
        <v>2</v>
      </c>
      <c r="L318" s="980">
        <v>0.46300000000000002</v>
      </c>
    </row>
    <row r="319" spans="1:12" s="227" customFormat="1" ht="13.5" customHeight="1" x14ac:dyDescent="0.2">
      <c r="A319" s="974" t="s">
        <v>1100</v>
      </c>
      <c r="B319" s="974" t="s">
        <v>1129</v>
      </c>
      <c r="C319" s="975">
        <v>13.51633</v>
      </c>
      <c r="D319" s="1034">
        <v>1.2099999999999999E-3</v>
      </c>
      <c r="E319" s="976">
        <v>2.0100000000000001E-3</v>
      </c>
      <c r="F319" s="1034">
        <v>2.3400000000000001E-3</v>
      </c>
      <c r="G319" s="977">
        <v>13.51</v>
      </c>
      <c r="H319" s="1042">
        <v>0.05</v>
      </c>
      <c r="I319" s="1043">
        <v>2</v>
      </c>
      <c r="J319" s="978">
        <v>-6.0000000000000001E-3</v>
      </c>
      <c r="K319" s="979">
        <v>2</v>
      </c>
      <c r="L319" s="980">
        <v>0.05</v>
      </c>
    </row>
    <row r="320" spans="1:12" s="227" customFormat="1" ht="13.5" customHeight="1" x14ac:dyDescent="0.2">
      <c r="A320" s="974" t="s">
        <v>1102</v>
      </c>
      <c r="B320" s="974" t="s">
        <v>1130</v>
      </c>
      <c r="C320" s="975">
        <v>13.49718</v>
      </c>
      <c r="D320" s="1034">
        <v>1.1800000000000001E-3</v>
      </c>
      <c r="E320" s="976">
        <v>2.0100000000000001E-3</v>
      </c>
      <c r="F320" s="1034">
        <v>2.33E-3</v>
      </c>
      <c r="G320" s="977">
        <v>13.465</v>
      </c>
      <c r="H320" s="1042">
        <v>1.7999999999999999E-2</v>
      </c>
      <c r="I320" s="1047">
        <v>2.4300000000000002</v>
      </c>
      <c r="J320" s="978">
        <v>-3.2000000000000001E-2</v>
      </c>
      <c r="K320" s="979">
        <v>2</v>
      </c>
      <c r="L320" s="980">
        <v>1.6E-2</v>
      </c>
    </row>
    <row r="321" spans="1:12" s="227" customFormat="1" ht="13.5" customHeight="1" x14ac:dyDescent="0.2">
      <c r="A321" s="974" t="s">
        <v>1104</v>
      </c>
      <c r="B321" s="974" t="s">
        <v>1131</v>
      </c>
      <c r="C321" s="975">
        <v>13.465299999999999</v>
      </c>
      <c r="D321" s="1034">
        <v>1.1999999999999999E-3</v>
      </c>
      <c r="E321" s="976">
        <v>2.0100000000000001E-3</v>
      </c>
      <c r="F321" s="1034">
        <v>2.3400000000000001E-3</v>
      </c>
      <c r="G321" s="977">
        <v>13.475</v>
      </c>
      <c r="H321" s="1042">
        <v>6.3E-2</v>
      </c>
      <c r="I321" s="1043">
        <v>2</v>
      </c>
      <c r="J321" s="978">
        <v>0.01</v>
      </c>
      <c r="K321" s="979">
        <v>2</v>
      </c>
      <c r="L321" s="980">
        <v>6.3E-2</v>
      </c>
    </row>
    <row r="322" spans="1:12" s="227" customFormat="1" ht="13.5" customHeight="1" x14ac:dyDescent="0.2">
      <c r="A322" s="974" t="s">
        <v>1106</v>
      </c>
      <c r="B322" s="974" t="s">
        <v>1132</v>
      </c>
      <c r="C322" s="975">
        <v>13.48812</v>
      </c>
      <c r="D322" s="1034">
        <v>1.2099999999999999E-3</v>
      </c>
      <c r="E322" s="976">
        <v>2.0100000000000001E-3</v>
      </c>
      <c r="F322" s="1034">
        <v>2.3400000000000001E-3</v>
      </c>
      <c r="G322" s="977">
        <v>13.476000000000001</v>
      </c>
      <c r="H322" s="1042">
        <v>1.7000000000000001E-2</v>
      </c>
      <c r="I322" s="1043">
        <v>2</v>
      </c>
      <c r="J322" s="978">
        <v>-1.2E-2</v>
      </c>
      <c r="K322" s="979">
        <v>2</v>
      </c>
      <c r="L322" s="980">
        <v>1.7999999999999999E-2</v>
      </c>
    </row>
    <row r="323" spans="1:12" s="227" customFormat="1" ht="13.5" customHeight="1" x14ac:dyDescent="0.2">
      <c r="A323" s="974" t="s">
        <v>1108</v>
      </c>
      <c r="B323" s="974" t="s">
        <v>1133</v>
      </c>
      <c r="C323" s="975">
        <v>13.508520000000001</v>
      </c>
      <c r="D323" s="1034">
        <v>1.2199999999999999E-3</v>
      </c>
      <c r="E323" s="976">
        <v>2.0100000000000001E-3</v>
      </c>
      <c r="F323" s="1034">
        <v>2.3400000000000001E-3</v>
      </c>
      <c r="G323" s="977">
        <v>13.51</v>
      </c>
      <c r="H323" s="1042">
        <v>0.13</v>
      </c>
      <c r="I323" s="1043">
        <v>2</v>
      </c>
      <c r="J323" s="978">
        <v>1E-3</v>
      </c>
      <c r="K323" s="979">
        <v>2</v>
      </c>
      <c r="L323" s="980">
        <v>0.13</v>
      </c>
    </row>
    <row r="324" spans="1:12" s="227" customFormat="1" ht="13.5" customHeight="1" x14ac:dyDescent="0.2">
      <c r="A324" s="974" t="s">
        <v>1110</v>
      </c>
      <c r="B324" s="974" t="s">
        <v>1134</v>
      </c>
      <c r="C324" s="975">
        <v>13.51843</v>
      </c>
      <c r="D324" s="1034">
        <v>1.2099999999999999E-3</v>
      </c>
      <c r="E324" s="976">
        <v>2.0100000000000001E-3</v>
      </c>
      <c r="F324" s="1034">
        <v>2.3400000000000001E-3</v>
      </c>
      <c r="G324" s="977">
        <v>13.472</v>
      </c>
      <c r="H324" s="1042">
        <v>0.11</v>
      </c>
      <c r="I324" s="1043">
        <v>2</v>
      </c>
      <c r="J324" s="978">
        <v>-4.5999999999999999E-2</v>
      </c>
      <c r="K324" s="979">
        <v>2</v>
      </c>
      <c r="L324" s="980">
        <v>0.11</v>
      </c>
    </row>
    <row r="325" spans="1:12" s="227" customFormat="1" ht="13.5" customHeight="1" x14ac:dyDescent="0.2">
      <c r="A325" s="974" t="s">
        <v>1112</v>
      </c>
      <c r="B325" s="974" t="s">
        <v>1135</v>
      </c>
      <c r="C325" s="975">
        <v>13.50933</v>
      </c>
      <c r="D325" s="1034">
        <v>1.1999999999999999E-3</v>
      </c>
      <c r="E325" s="976">
        <v>2.0100000000000001E-3</v>
      </c>
      <c r="F325" s="1034">
        <v>2.3400000000000001E-3</v>
      </c>
      <c r="G325" s="977">
        <v>13.484</v>
      </c>
      <c r="H325" s="1042">
        <v>0.04</v>
      </c>
      <c r="I325" s="1043">
        <v>2</v>
      </c>
      <c r="J325" s="978">
        <v>-2.5999999999999999E-2</v>
      </c>
      <c r="K325" s="979">
        <v>2</v>
      </c>
      <c r="L325" s="980">
        <v>4.1000000000000002E-2</v>
      </c>
    </row>
    <row r="326" spans="1:12" s="227" customFormat="1" ht="13.5" customHeight="1" x14ac:dyDescent="0.2">
      <c r="A326" s="974" t="s">
        <v>1114</v>
      </c>
      <c r="B326" s="974" t="s">
        <v>1136</v>
      </c>
      <c r="C326" s="975">
        <v>13.50619</v>
      </c>
      <c r="D326" s="1034">
        <v>1.2099999999999999E-3</v>
      </c>
      <c r="E326" s="976">
        <v>2.0100000000000001E-3</v>
      </c>
      <c r="F326" s="1034">
        <v>2.3400000000000001E-3</v>
      </c>
      <c r="G326" s="977">
        <v>13.5</v>
      </c>
      <c r="H326" s="1042">
        <v>0.03</v>
      </c>
      <c r="I326" s="1047">
        <v>2.1800000000000002</v>
      </c>
      <c r="J326" s="978">
        <v>-6.0000000000000001E-3</v>
      </c>
      <c r="K326" s="979">
        <v>2</v>
      </c>
      <c r="L326" s="980">
        <v>2.8000000000000001E-2</v>
      </c>
    </row>
    <row r="327" spans="1:12" s="227" customFormat="1" ht="13.5" customHeight="1" x14ac:dyDescent="0.2">
      <c r="A327" s="974" t="s">
        <v>1116</v>
      </c>
      <c r="B327" s="974" t="s">
        <v>1137</v>
      </c>
      <c r="C327" s="975">
        <v>13.48522</v>
      </c>
      <c r="D327" s="1034">
        <v>1.1999999999999999E-3</v>
      </c>
      <c r="E327" s="976">
        <v>2.0100000000000001E-3</v>
      </c>
      <c r="F327" s="1034">
        <v>2.33E-3</v>
      </c>
      <c r="G327" s="977">
        <v>13.48</v>
      </c>
      <c r="H327" s="1042">
        <v>6.3E-2</v>
      </c>
      <c r="I327" s="1043">
        <v>2</v>
      </c>
      <c r="J327" s="978">
        <v>-5.0000000000000001E-3</v>
      </c>
      <c r="K327" s="979">
        <v>2</v>
      </c>
      <c r="L327" s="980">
        <v>6.3E-2</v>
      </c>
    </row>
    <row r="328" spans="1:12" s="227" customFormat="1" ht="13.5" customHeight="1" x14ac:dyDescent="0.2">
      <c r="A328" s="974" t="s">
        <v>1118</v>
      </c>
      <c r="B328" s="974" t="s">
        <v>1138</v>
      </c>
      <c r="C328" s="975">
        <v>13.493819999999999</v>
      </c>
      <c r="D328" s="1034">
        <v>1.1999999999999999E-3</v>
      </c>
      <c r="E328" s="976">
        <v>2.0100000000000001E-3</v>
      </c>
      <c r="F328" s="1034">
        <v>2.33E-3</v>
      </c>
      <c r="G328" s="977">
        <v>13.3</v>
      </c>
      <c r="H328" s="1042">
        <v>0.12</v>
      </c>
      <c r="I328" s="1043">
        <v>2</v>
      </c>
      <c r="J328" s="978">
        <v>-0.19400000000000001</v>
      </c>
      <c r="K328" s="979">
        <v>2</v>
      </c>
      <c r="L328" s="980">
        <v>0.12</v>
      </c>
    </row>
    <row r="329" spans="1:12" s="227" customFormat="1" ht="13.5" customHeight="1" x14ac:dyDescent="0.2">
      <c r="A329" s="974" t="s">
        <v>1120</v>
      </c>
      <c r="B329" s="974" t="s">
        <v>1139</v>
      </c>
      <c r="C329" s="975">
        <v>13.56311</v>
      </c>
      <c r="D329" s="1034">
        <v>1.1900000000000001E-3</v>
      </c>
      <c r="E329" s="976">
        <v>2.0100000000000001E-3</v>
      </c>
      <c r="F329" s="1034">
        <v>2.33E-3</v>
      </c>
      <c r="G329" s="977">
        <v>13.564</v>
      </c>
      <c r="H329" s="1042">
        <v>0.08</v>
      </c>
      <c r="I329" s="1043">
        <v>2</v>
      </c>
      <c r="J329" s="978">
        <v>1E-3</v>
      </c>
      <c r="K329" s="979">
        <v>2</v>
      </c>
      <c r="L329" s="980">
        <v>0.08</v>
      </c>
    </row>
    <row r="330" spans="1:12" s="227" customFormat="1" ht="13.5" customHeight="1" x14ac:dyDescent="0.2">
      <c r="A330" s="974" t="s">
        <v>1122</v>
      </c>
      <c r="B330" s="974" t="s">
        <v>1140</v>
      </c>
      <c r="C330" s="975">
        <v>13.513999999999999</v>
      </c>
      <c r="D330" s="1034">
        <v>1.2099999999999999E-3</v>
      </c>
      <c r="E330" s="976">
        <v>2.0100000000000001E-3</v>
      </c>
      <c r="F330" s="1034">
        <v>2.3400000000000001E-3</v>
      </c>
      <c r="G330" s="977">
        <v>13.5</v>
      </c>
      <c r="H330" s="1042">
        <v>0.20300000000000001</v>
      </c>
      <c r="I330" s="1043">
        <v>2</v>
      </c>
      <c r="J330" s="978">
        <v>-1.4E-2</v>
      </c>
      <c r="K330" s="979">
        <v>2</v>
      </c>
      <c r="L330" s="980">
        <v>0.20300000000000001</v>
      </c>
    </row>
    <row r="331" spans="1:12" s="227" customFormat="1" ht="15.6" customHeight="1" x14ac:dyDescent="0.2">
      <c r="A331" s="997" t="s">
        <v>1124</v>
      </c>
      <c r="B331" s="997" t="s">
        <v>1141</v>
      </c>
      <c r="C331" s="998">
        <v>13.50019</v>
      </c>
      <c r="D331" s="1036">
        <v>1.2199999999999999E-3</v>
      </c>
      <c r="E331" s="999">
        <v>2.0100000000000001E-3</v>
      </c>
      <c r="F331" s="1036">
        <v>2.3500000000000001E-3</v>
      </c>
      <c r="G331" s="1000">
        <v>13.500999999999999</v>
      </c>
      <c r="H331" s="1045">
        <v>1.2999999999999999E-2</v>
      </c>
      <c r="I331" s="1046">
        <v>2</v>
      </c>
      <c r="J331" s="1001">
        <v>1E-3</v>
      </c>
      <c r="K331" s="1002">
        <v>2</v>
      </c>
      <c r="L331" s="1003">
        <v>1.4E-2</v>
      </c>
    </row>
    <row r="332" spans="1:12" s="227" customFormat="1" ht="15.6" customHeight="1" x14ac:dyDescent="0.2">
      <c r="A332" s="983"/>
      <c r="B332" s="983"/>
      <c r="C332" s="976"/>
      <c r="D332" s="976"/>
      <c r="E332" s="976"/>
      <c r="F332" s="984"/>
      <c r="G332" s="985"/>
      <c r="H332" s="985"/>
      <c r="I332" s="986"/>
      <c r="J332" s="987"/>
      <c r="K332" s="979"/>
      <c r="L332" s="988"/>
    </row>
    <row r="333" spans="1:12" s="227" customFormat="1" ht="15.6" customHeight="1" x14ac:dyDescent="0.2">
      <c r="A333" s="989" t="s">
        <v>1155</v>
      </c>
      <c r="B333" s="983"/>
      <c r="C333" s="976"/>
      <c r="D333" s="976"/>
      <c r="E333" s="976"/>
      <c r="F333" s="984"/>
      <c r="G333" s="985"/>
      <c r="H333" s="985"/>
      <c r="I333" s="986"/>
      <c r="J333" s="987"/>
      <c r="K333" s="979"/>
      <c r="L333" s="988"/>
    </row>
    <row r="334" spans="1:12" s="227" customFormat="1" ht="13.7" customHeight="1" x14ac:dyDescent="0.2">
      <c r="A334" s="961" t="s">
        <v>1082</v>
      </c>
      <c r="B334" s="961" t="s">
        <v>1083</v>
      </c>
      <c r="C334" s="962" t="s">
        <v>1084</v>
      </c>
      <c r="D334" s="626" t="s">
        <v>1085</v>
      </c>
      <c r="E334" s="952" t="s">
        <v>1086</v>
      </c>
      <c r="F334" s="626" t="s">
        <v>1087</v>
      </c>
      <c r="G334" s="963" t="s">
        <v>1088</v>
      </c>
      <c r="H334" s="626" t="s">
        <v>1089</v>
      </c>
      <c r="I334" s="626" t="s">
        <v>1090</v>
      </c>
      <c r="J334" s="964" t="s">
        <v>1091</v>
      </c>
      <c r="K334" s="965" t="s">
        <v>1092</v>
      </c>
      <c r="L334" s="966" t="s">
        <v>1093</v>
      </c>
    </row>
    <row r="335" spans="1:12" s="227" customFormat="1" ht="12.75" customHeight="1" x14ac:dyDescent="0.2">
      <c r="A335" s="967" t="s">
        <v>1094</v>
      </c>
      <c r="B335" s="967" t="s">
        <v>1095</v>
      </c>
      <c r="C335" s="968">
        <v>1.00102</v>
      </c>
      <c r="D335" s="1035">
        <v>6.4999999999999997E-4</v>
      </c>
      <c r="E335" s="969">
        <v>5.0000000000000001E-4</v>
      </c>
      <c r="F335" s="1035">
        <v>8.1999999999999998E-4</v>
      </c>
      <c r="G335" s="1004">
        <v>1.0006999999999999</v>
      </c>
      <c r="H335" s="1033">
        <v>1.5E-3</v>
      </c>
      <c r="I335" s="1052">
        <v>2</v>
      </c>
      <c r="J335" s="1005">
        <v>-2.9999999999999997E-4</v>
      </c>
      <c r="K335" s="972">
        <v>2</v>
      </c>
      <c r="L335" s="1006">
        <v>2.2000000000000001E-3</v>
      </c>
    </row>
    <row r="336" spans="1:12" s="227" customFormat="1" ht="13.5" customHeight="1" x14ac:dyDescent="0.2">
      <c r="A336" s="974" t="s">
        <v>1096</v>
      </c>
      <c r="B336" s="974" t="s">
        <v>1097</v>
      </c>
      <c r="C336" s="975">
        <v>0.99797000000000002</v>
      </c>
      <c r="D336" s="1034">
        <v>1.2E-4</v>
      </c>
      <c r="E336" s="976">
        <v>5.0000000000000001E-4</v>
      </c>
      <c r="F336" s="1034">
        <v>5.1000000000000004E-4</v>
      </c>
      <c r="G336" s="981">
        <v>0.99809999999999999</v>
      </c>
      <c r="H336" s="1031">
        <v>5.0000000000000001E-3</v>
      </c>
      <c r="I336" s="1043">
        <v>2</v>
      </c>
      <c r="J336" s="1007">
        <v>1E-4</v>
      </c>
      <c r="K336" s="979">
        <v>2</v>
      </c>
      <c r="L336" s="1008">
        <v>5.1000000000000004E-3</v>
      </c>
    </row>
    <row r="337" spans="1:12" s="227" customFormat="1" ht="13.5" customHeight="1" x14ac:dyDescent="0.2">
      <c r="A337" s="974" t="s">
        <v>1098</v>
      </c>
      <c r="B337" s="974" t="s">
        <v>1099</v>
      </c>
      <c r="C337" s="975">
        <v>1.0013000000000001</v>
      </c>
      <c r="D337" s="1034">
        <v>1.2E-4</v>
      </c>
      <c r="E337" s="976">
        <v>5.0000000000000001E-4</v>
      </c>
      <c r="F337" s="1034">
        <v>5.1999999999999995E-4</v>
      </c>
      <c r="G337" s="981">
        <v>1.002</v>
      </c>
      <c r="H337" s="1031">
        <v>7.0000000000000001E-3</v>
      </c>
      <c r="I337" s="1043">
        <v>2</v>
      </c>
      <c r="J337" s="1007">
        <v>6.9999999999999999E-4</v>
      </c>
      <c r="K337" s="979">
        <v>2</v>
      </c>
      <c r="L337" s="1008">
        <v>7.1000000000000004E-3</v>
      </c>
    </row>
    <row r="338" spans="1:12" s="227" customFormat="1" ht="13.5" customHeight="1" x14ac:dyDescent="0.2">
      <c r="A338" s="974" t="s">
        <v>1100</v>
      </c>
      <c r="B338" s="974" t="s">
        <v>1101</v>
      </c>
      <c r="C338" s="975">
        <v>1.00125</v>
      </c>
      <c r="D338" s="1034">
        <v>1.2E-4</v>
      </c>
      <c r="E338" s="976">
        <v>5.0000000000000001E-4</v>
      </c>
      <c r="F338" s="1034">
        <v>5.1000000000000004E-4</v>
      </c>
      <c r="G338" s="981">
        <v>0.999</v>
      </c>
      <c r="H338" s="1031">
        <v>6.0000000000000001E-3</v>
      </c>
      <c r="I338" s="1043">
        <v>2</v>
      </c>
      <c r="J338" s="1007">
        <v>-2.3E-3</v>
      </c>
      <c r="K338" s="979">
        <v>2</v>
      </c>
      <c r="L338" s="1008">
        <v>6.1000000000000004E-3</v>
      </c>
    </row>
    <row r="339" spans="1:12" s="227" customFormat="1" ht="13.5" customHeight="1" x14ac:dyDescent="0.2">
      <c r="A339" s="974" t="s">
        <v>1102</v>
      </c>
      <c r="B339" s="974" t="s">
        <v>1103</v>
      </c>
      <c r="C339" s="975">
        <v>0.99938000000000005</v>
      </c>
      <c r="D339" s="1034">
        <v>1.2E-4</v>
      </c>
      <c r="E339" s="976">
        <v>5.0000000000000001E-4</v>
      </c>
      <c r="F339" s="1034">
        <v>5.1000000000000004E-4</v>
      </c>
      <c r="G339" s="981">
        <v>0.99829999999999997</v>
      </c>
      <c r="H339" s="1031">
        <v>3.0000000000000001E-3</v>
      </c>
      <c r="I339" s="1047">
        <v>2.37</v>
      </c>
      <c r="J339" s="1007">
        <v>-1.1000000000000001E-3</v>
      </c>
      <c r="K339" s="979">
        <v>2</v>
      </c>
      <c r="L339" s="1008">
        <v>2.7000000000000001E-3</v>
      </c>
    </row>
    <row r="340" spans="1:12" s="227" customFormat="1" ht="13.5" customHeight="1" x14ac:dyDescent="0.2">
      <c r="A340" s="974" t="s">
        <v>1104</v>
      </c>
      <c r="B340" s="974" t="s">
        <v>1105</v>
      </c>
      <c r="C340" s="975">
        <v>0.99843999999999999</v>
      </c>
      <c r="D340" s="1034">
        <v>1.2E-4</v>
      </c>
      <c r="E340" s="976">
        <v>5.0000000000000001E-4</v>
      </c>
      <c r="F340" s="1034">
        <v>5.1000000000000004E-4</v>
      </c>
      <c r="G340" s="981">
        <v>0.99809999999999999</v>
      </c>
      <c r="H340" s="1031">
        <v>2.3999999999999998E-3</v>
      </c>
      <c r="I340" s="1043">
        <v>2</v>
      </c>
      <c r="J340" s="1007">
        <v>-2.9999999999999997E-4</v>
      </c>
      <c r="K340" s="979">
        <v>2</v>
      </c>
      <c r="L340" s="1008">
        <v>2.5999999999999999E-3</v>
      </c>
    </row>
    <row r="341" spans="1:12" s="227" customFormat="1" ht="13.5" customHeight="1" x14ac:dyDescent="0.2">
      <c r="A341" s="974" t="s">
        <v>1106</v>
      </c>
      <c r="B341" s="974" t="s">
        <v>1107</v>
      </c>
      <c r="C341" s="975">
        <v>0.99933000000000005</v>
      </c>
      <c r="D341" s="1034">
        <v>6.4999999999999997E-4</v>
      </c>
      <c r="E341" s="976">
        <v>5.0000000000000001E-4</v>
      </c>
      <c r="F341" s="1034">
        <v>8.1999999999999998E-4</v>
      </c>
      <c r="G341" s="981">
        <v>0.99990000000000001</v>
      </c>
      <c r="H341" s="1031">
        <v>2.7000000000000001E-3</v>
      </c>
      <c r="I341" s="1043">
        <v>2</v>
      </c>
      <c r="J341" s="1007">
        <v>5.9999999999999995E-4</v>
      </c>
      <c r="K341" s="979">
        <v>2</v>
      </c>
      <c r="L341" s="1008">
        <v>3.2000000000000002E-3</v>
      </c>
    </row>
    <row r="342" spans="1:12" s="227" customFormat="1" ht="13.5" customHeight="1" x14ac:dyDescent="0.2">
      <c r="A342" s="974" t="s">
        <v>1108</v>
      </c>
      <c r="B342" s="974" t="s">
        <v>1109</v>
      </c>
      <c r="C342" s="975">
        <v>1.00095</v>
      </c>
      <c r="D342" s="1034">
        <v>1.2E-4</v>
      </c>
      <c r="E342" s="976">
        <v>5.0000000000000001E-4</v>
      </c>
      <c r="F342" s="1034">
        <v>5.1000000000000004E-4</v>
      </c>
      <c r="G342" s="981">
        <v>1.0009999999999999</v>
      </c>
      <c r="H342" s="1031">
        <v>6.4999999999999997E-3</v>
      </c>
      <c r="I342" s="1043">
        <v>2</v>
      </c>
      <c r="J342" s="1007">
        <v>0</v>
      </c>
      <c r="K342" s="979">
        <v>2</v>
      </c>
      <c r="L342" s="1008">
        <v>6.6E-3</v>
      </c>
    </row>
    <row r="343" spans="1:12" s="227" customFormat="1" ht="13.5" customHeight="1" x14ac:dyDescent="0.2">
      <c r="A343" s="974" t="s">
        <v>1110</v>
      </c>
      <c r="B343" s="974" t="s">
        <v>1111</v>
      </c>
      <c r="C343" s="975">
        <v>0.99758999999999998</v>
      </c>
      <c r="D343" s="1034">
        <v>1.2E-4</v>
      </c>
      <c r="E343" s="976">
        <v>5.0000000000000001E-4</v>
      </c>
      <c r="F343" s="1034">
        <v>5.1000000000000004E-4</v>
      </c>
      <c r="G343" s="981">
        <v>0.99629999999999996</v>
      </c>
      <c r="H343" s="1031">
        <v>6.4000000000000003E-3</v>
      </c>
      <c r="I343" s="1043">
        <v>2</v>
      </c>
      <c r="J343" s="1007">
        <v>-1.2999999999999999E-3</v>
      </c>
      <c r="K343" s="979">
        <v>2</v>
      </c>
      <c r="L343" s="1008">
        <v>6.4999999999999997E-3</v>
      </c>
    </row>
    <row r="344" spans="1:12" s="227" customFormat="1" ht="13.5" customHeight="1" x14ac:dyDescent="0.2">
      <c r="A344" s="974" t="s">
        <v>1112</v>
      </c>
      <c r="B344" s="974" t="s">
        <v>1113</v>
      </c>
      <c r="C344" s="975">
        <v>0.99846999999999997</v>
      </c>
      <c r="D344" s="1034">
        <v>1.2E-4</v>
      </c>
      <c r="E344" s="976">
        <v>5.0000000000000001E-4</v>
      </c>
      <c r="F344" s="1034">
        <v>5.1000000000000004E-4</v>
      </c>
      <c r="G344" s="981">
        <v>0.99990000000000001</v>
      </c>
      <c r="H344" s="1031">
        <v>5.0000000000000001E-3</v>
      </c>
      <c r="I344" s="1043">
        <v>2</v>
      </c>
      <c r="J344" s="1007">
        <v>1.4E-3</v>
      </c>
      <c r="K344" s="979">
        <v>2</v>
      </c>
      <c r="L344" s="1008">
        <v>5.1000000000000004E-3</v>
      </c>
    </row>
    <row r="345" spans="1:12" s="227" customFormat="1" ht="13.5" customHeight="1" x14ac:dyDescent="0.2">
      <c r="A345" s="974" t="s">
        <v>1114</v>
      </c>
      <c r="B345" s="974" t="s">
        <v>1115</v>
      </c>
      <c r="C345" s="975">
        <v>1.0004299999999999</v>
      </c>
      <c r="D345" s="1034">
        <v>1.2E-4</v>
      </c>
      <c r="E345" s="976">
        <v>5.0000000000000001E-4</v>
      </c>
      <c r="F345" s="1034">
        <v>5.1000000000000004E-4</v>
      </c>
      <c r="G345" s="981">
        <v>1</v>
      </c>
      <c r="H345" s="1031">
        <v>2E-3</v>
      </c>
      <c r="I345" s="1047">
        <v>2.1800000000000002</v>
      </c>
      <c r="J345" s="1007">
        <v>-4.0000000000000002E-4</v>
      </c>
      <c r="K345" s="979">
        <v>2</v>
      </c>
      <c r="L345" s="1008">
        <v>2.0999999999999999E-3</v>
      </c>
    </row>
    <row r="346" spans="1:12" s="227" customFormat="1" ht="13.5" customHeight="1" x14ac:dyDescent="0.2">
      <c r="A346" s="974" t="s">
        <v>1116</v>
      </c>
      <c r="B346" s="974" t="s">
        <v>1117</v>
      </c>
      <c r="C346" s="975">
        <v>0.99929000000000001</v>
      </c>
      <c r="D346" s="1034">
        <v>1.2E-4</v>
      </c>
      <c r="E346" s="976">
        <v>5.0000000000000001E-4</v>
      </c>
      <c r="F346" s="1034">
        <v>5.1000000000000004E-4</v>
      </c>
      <c r="G346" s="981">
        <v>1.01</v>
      </c>
      <c r="H346" s="1031">
        <v>0.01</v>
      </c>
      <c r="I346" s="1043">
        <v>2</v>
      </c>
      <c r="J346" s="1007">
        <v>1.0699999999999999E-2</v>
      </c>
      <c r="K346" s="979">
        <v>2</v>
      </c>
      <c r="L346" s="1008">
        <v>1.01E-2</v>
      </c>
    </row>
    <row r="347" spans="1:12" s="227" customFormat="1" ht="13.5" customHeight="1" x14ac:dyDescent="0.2">
      <c r="A347" s="974" t="s">
        <v>1118</v>
      </c>
      <c r="B347" s="974" t="s">
        <v>1119</v>
      </c>
      <c r="C347" s="975">
        <v>0.99751999999999996</v>
      </c>
      <c r="D347" s="1034">
        <v>1.2E-4</v>
      </c>
      <c r="E347" s="976">
        <v>5.0000000000000001E-4</v>
      </c>
      <c r="F347" s="1034">
        <v>5.1000000000000004E-4</v>
      </c>
      <c r="G347" s="981">
        <v>1.0089999999999999</v>
      </c>
      <c r="H347" s="1031">
        <v>1.7000000000000001E-2</v>
      </c>
      <c r="I347" s="1043">
        <v>2</v>
      </c>
      <c r="J347" s="1007">
        <v>1.15E-2</v>
      </c>
      <c r="K347" s="979">
        <v>2</v>
      </c>
      <c r="L347" s="1008">
        <v>1.7000000000000001E-2</v>
      </c>
    </row>
    <row r="348" spans="1:12" s="227" customFormat="1" ht="13.5" customHeight="1" x14ac:dyDescent="0.2">
      <c r="A348" s="974" t="s">
        <v>1120</v>
      </c>
      <c r="B348" s="974" t="s">
        <v>1121</v>
      </c>
      <c r="C348" s="975">
        <v>0.99924000000000002</v>
      </c>
      <c r="D348" s="1034">
        <v>1.2E-4</v>
      </c>
      <c r="E348" s="976">
        <v>5.0000000000000001E-4</v>
      </c>
      <c r="F348" s="1034">
        <v>5.1000000000000004E-4</v>
      </c>
      <c r="G348" s="981">
        <v>0.99960000000000004</v>
      </c>
      <c r="H348" s="1031">
        <v>5.0000000000000001E-3</v>
      </c>
      <c r="I348" s="1043">
        <v>2</v>
      </c>
      <c r="J348" s="1007">
        <v>4.0000000000000002E-4</v>
      </c>
      <c r="K348" s="979">
        <v>2</v>
      </c>
      <c r="L348" s="1008">
        <v>5.1000000000000004E-3</v>
      </c>
    </row>
    <row r="349" spans="1:12" s="227" customFormat="1" ht="13.5" customHeight="1" x14ac:dyDescent="0.2">
      <c r="A349" s="974" t="s">
        <v>1122</v>
      </c>
      <c r="B349" s="974" t="s">
        <v>1123</v>
      </c>
      <c r="C349" s="975">
        <v>1.00441</v>
      </c>
      <c r="D349" s="1034">
        <v>1.2E-4</v>
      </c>
      <c r="E349" s="976">
        <v>5.0000000000000001E-4</v>
      </c>
      <c r="F349" s="1034">
        <v>5.1999999999999995E-4</v>
      </c>
      <c r="G349" s="981">
        <v>1.0049999999999999</v>
      </c>
      <c r="H349" s="1031">
        <v>1.5100000000000001E-2</v>
      </c>
      <c r="I349" s="1043">
        <v>2</v>
      </c>
      <c r="J349" s="1007">
        <v>5.9999999999999995E-4</v>
      </c>
      <c r="K349" s="979">
        <v>2</v>
      </c>
      <c r="L349" s="1008">
        <v>1.5100000000000001E-2</v>
      </c>
    </row>
    <row r="350" spans="1:12" s="227" customFormat="1" ht="15.6" customHeight="1" x14ac:dyDescent="0.2">
      <c r="A350" s="997" t="s">
        <v>1124</v>
      </c>
      <c r="B350" s="997" t="s">
        <v>1125</v>
      </c>
      <c r="C350" s="998">
        <v>1.0050600000000001</v>
      </c>
      <c r="D350" s="1036">
        <v>1.2E-4</v>
      </c>
      <c r="E350" s="999">
        <v>5.0000000000000001E-4</v>
      </c>
      <c r="F350" s="1036">
        <v>5.1999999999999995E-4</v>
      </c>
      <c r="G350" s="1009">
        <v>1.0042</v>
      </c>
      <c r="H350" s="1029">
        <v>5.7000000000000002E-3</v>
      </c>
      <c r="I350" s="1046">
        <v>2</v>
      </c>
      <c r="J350" s="1010">
        <v>-8.9999999999999998E-4</v>
      </c>
      <c r="K350" s="1002">
        <v>2</v>
      </c>
      <c r="L350" s="1011">
        <v>5.7999999999999996E-3</v>
      </c>
    </row>
    <row r="351" spans="1:12" s="227" customFormat="1" ht="15.6" customHeight="1" x14ac:dyDescent="0.2">
      <c r="A351" s="983"/>
      <c r="B351" s="983"/>
      <c r="C351" s="976"/>
      <c r="D351" s="976"/>
      <c r="E351" s="976"/>
      <c r="F351" s="984"/>
      <c r="G351" s="985"/>
      <c r="H351" s="985"/>
      <c r="I351" s="986"/>
      <c r="J351" s="987"/>
      <c r="K351" s="979"/>
      <c r="L351" s="988"/>
    </row>
    <row r="352" spans="1:12" s="227" customFormat="1" ht="15.6" customHeight="1" x14ac:dyDescent="0.2">
      <c r="A352" s="989" t="s">
        <v>1156</v>
      </c>
      <c r="B352" s="983"/>
      <c r="C352" s="976"/>
      <c r="D352" s="976"/>
      <c r="E352" s="976"/>
      <c r="F352" s="984"/>
      <c r="G352" s="985"/>
      <c r="H352" s="985"/>
      <c r="I352" s="986"/>
      <c r="J352" s="987"/>
      <c r="K352" s="979"/>
      <c r="L352" s="988"/>
    </row>
    <row r="353" spans="1:12" s="227" customFormat="1" ht="14.1" customHeight="1" x14ac:dyDescent="0.2">
      <c r="A353" s="961" t="s">
        <v>1082</v>
      </c>
      <c r="B353" s="961" t="s">
        <v>1083</v>
      </c>
      <c r="C353" s="962" t="s">
        <v>1084</v>
      </c>
      <c r="D353" s="626" t="s">
        <v>1085</v>
      </c>
      <c r="E353" s="952" t="s">
        <v>1086</v>
      </c>
      <c r="F353" s="626" t="s">
        <v>1087</v>
      </c>
      <c r="G353" s="963" t="s">
        <v>1088</v>
      </c>
      <c r="H353" s="626" t="s">
        <v>1089</v>
      </c>
      <c r="I353" s="626" t="s">
        <v>1090</v>
      </c>
      <c r="J353" s="964" t="s">
        <v>1091</v>
      </c>
      <c r="K353" s="965" t="s">
        <v>1092</v>
      </c>
      <c r="L353" s="966" t="s">
        <v>1093</v>
      </c>
    </row>
    <row r="354" spans="1:12" s="227" customFormat="1" ht="12.75" customHeight="1" x14ac:dyDescent="0.2">
      <c r="A354" s="967" t="s">
        <v>1094</v>
      </c>
      <c r="B354" s="967" t="s">
        <v>1126</v>
      </c>
      <c r="C354" s="968">
        <v>0.50109999999999999</v>
      </c>
      <c r="D354" s="1035">
        <v>3.4000000000000002E-4</v>
      </c>
      <c r="E354" s="969">
        <v>2.5000000000000001E-4</v>
      </c>
      <c r="F354" s="1035">
        <v>4.2000000000000002E-4</v>
      </c>
      <c r="G354" s="970">
        <v>0.501</v>
      </c>
      <c r="H354" s="1051">
        <v>1E-3</v>
      </c>
      <c r="I354" s="1052">
        <v>2</v>
      </c>
      <c r="J354" s="1005">
        <v>0</v>
      </c>
      <c r="K354" s="972">
        <v>2</v>
      </c>
      <c r="L354" s="1006">
        <v>1.1999999999999999E-3</v>
      </c>
    </row>
    <row r="355" spans="1:12" s="227" customFormat="1" ht="13.5" customHeight="1" x14ac:dyDescent="0.2">
      <c r="A355" s="974" t="s">
        <v>1096</v>
      </c>
      <c r="B355" s="974" t="s">
        <v>1127</v>
      </c>
      <c r="C355" s="975">
        <v>0.50068999999999997</v>
      </c>
      <c r="D355" s="1034">
        <v>3.4000000000000002E-4</v>
      </c>
      <c r="E355" s="976">
        <v>2.5000000000000001E-4</v>
      </c>
      <c r="F355" s="1034">
        <v>4.2000000000000002E-4</v>
      </c>
      <c r="G355" s="977">
        <v>0.505</v>
      </c>
      <c r="H355" s="1042">
        <v>3.0000000000000001E-3</v>
      </c>
      <c r="I355" s="1043">
        <v>2</v>
      </c>
      <c r="J355" s="1007">
        <v>4.1999999999999997E-3</v>
      </c>
      <c r="K355" s="979">
        <v>2</v>
      </c>
      <c r="L355" s="1008">
        <v>2.5999999999999999E-3</v>
      </c>
    </row>
    <row r="356" spans="1:12" s="227" customFormat="1" ht="13.5" customHeight="1" x14ac:dyDescent="0.2">
      <c r="A356" s="974" t="s">
        <v>1098</v>
      </c>
      <c r="B356" s="974" t="s">
        <v>1128</v>
      </c>
      <c r="C356" s="975">
        <v>0.50016000000000005</v>
      </c>
      <c r="D356" s="1034">
        <v>3.4000000000000002E-4</v>
      </c>
      <c r="E356" s="976">
        <v>2.5000000000000001E-4</v>
      </c>
      <c r="F356" s="1034">
        <v>4.2000000000000002E-4</v>
      </c>
      <c r="G356" s="977">
        <v>0.50600000000000001</v>
      </c>
      <c r="H356" s="1042">
        <v>7.0000000000000001E-3</v>
      </c>
      <c r="I356" s="1043">
        <v>2</v>
      </c>
      <c r="J356" s="1007">
        <v>5.7999999999999996E-3</v>
      </c>
      <c r="K356" s="979">
        <v>2</v>
      </c>
      <c r="L356" s="1008">
        <v>7.0000000000000001E-3</v>
      </c>
    </row>
    <row r="357" spans="1:12" s="227" customFormat="1" ht="13.5" customHeight="1" x14ac:dyDescent="0.2">
      <c r="A357" s="974" t="s">
        <v>1100</v>
      </c>
      <c r="B357" s="974" t="s">
        <v>1129</v>
      </c>
      <c r="C357" s="975">
        <v>0.50092000000000003</v>
      </c>
      <c r="D357" s="1034">
        <v>3.4000000000000002E-4</v>
      </c>
      <c r="E357" s="976">
        <v>2.5000000000000001E-4</v>
      </c>
      <c r="F357" s="1034">
        <v>4.2000000000000002E-4</v>
      </c>
      <c r="G357" s="977">
        <v>0.499</v>
      </c>
      <c r="H357" s="1042">
        <v>2E-3</v>
      </c>
      <c r="I357" s="1043">
        <v>2</v>
      </c>
      <c r="J357" s="1007">
        <v>-1.9E-3</v>
      </c>
      <c r="K357" s="979">
        <v>2</v>
      </c>
      <c r="L357" s="1008">
        <v>2.2000000000000001E-3</v>
      </c>
    </row>
    <row r="358" spans="1:12" s="227" customFormat="1" ht="13.5" customHeight="1" x14ac:dyDescent="0.2">
      <c r="A358" s="974" t="s">
        <v>1102</v>
      </c>
      <c r="B358" s="974" t="s">
        <v>1130</v>
      </c>
      <c r="C358" s="975">
        <v>0.50087000000000004</v>
      </c>
      <c r="D358" s="1034">
        <v>3.4000000000000002E-4</v>
      </c>
      <c r="E358" s="976">
        <v>2.5000000000000001E-4</v>
      </c>
      <c r="F358" s="1034">
        <v>4.2000000000000002E-4</v>
      </c>
      <c r="G358" s="977">
        <v>0.501</v>
      </c>
      <c r="H358" s="1042">
        <v>2E-3</v>
      </c>
      <c r="I358" s="1047">
        <v>2.3199999999999998</v>
      </c>
      <c r="J358" s="1007">
        <v>2.9999999999999997E-4</v>
      </c>
      <c r="K358" s="979">
        <v>2</v>
      </c>
      <c r="L358" s="1008">
        <v>1.5E-3</v>
      </c>
    </row>
    <row r="359" spans="1:12" s="227" customFormat="1" ht="13.5" customHeight="1" x14ac:dyDescent="0.2">
      <c r="A359" s="974" t="s">
        <v>1104</v>
      </c>
      <c r="B359" s="974" t="s">
        <v>1131</v>
      </c>
      <c r="C359" s="975">
        <v>0.49885000000000002</v>
      </c>
      <c r="D359" s="1034">
        <v>3.4000000000000002E-4</v>
      </c>
      <c r="E359" s="976">
        <v>2.5000000000000001E-4</v>
      </c>
      <c r="F359" s="1034">
        <v>4.2000000000000002E-4</v>
      </c>
      <c r="G359" s="977">
        <v>0.5</v>
      </c>
      <c r="H359" s="1042">
        <v>2E-3</v>
      </c>
      <c r="I359" s="1043">
        <v>2</v>
      </c>
      <c r="J359" s="1007">
        <v>5.9999999999999995E-4</v>
      </c>
      <c r="K359" s="979">
        <v>2</v>
      </c>
      <c r="L359" s="1008">
        <v>2.2000000000000001E-3</v>
      </c>
    </row>
    <row r="360" spans="1:12" s="227" customFormat="1" ht="13.5" customHeight="1" x14ac:dyDescent="0.2">
      <c r="A360" s="974" t="s">
        <v>1106</v>
      </c>
      <c r="B360" s="974" t="s">
        <v>1132</v>
      </c>
      <c r="C360" s="975">
        <v>0.50004999999999999</v>
      </c>
      <c r="D360" s="1034">
        <v>3.4000000000000002E-4</v>
      </c>
      <c r="E360" s="976">
        <v>2.5000000000000001E-4</v>
      </c>
      <c r="F360" s="1034">
        <v>4.2000000000000002E-4</v>
      </c>
      <c r="G360" s="977">
        <v>0.5</v>
      </c>
      <c r="H360" s="1042">
        <v>2E-3</v>
      </c>
      <c r="I360" s="1043">
        <v>2</v>
      </c>
      <c r="J360" s="1007">
        <v>2.9999999999999997E-4</v>
      </c>
      <c r="K360" s="979">
        <v>2</v>
      </c>
      <c r="L360" s="1008">
        <v>2.2000000000000001E-3</v>
      </c>
    </row>
    <row r="361" spans="1:12" s="227" customFormat="1" ht="13.5" customHeight="1" x14ac:dyDescent="0.2">
      <c r="A361" s="974" t="s">
        <v>1108</v>
      </c>
      <c r="B361" s="974" t="s">
        <v>1133</v>
      </c>
      <c r="C361" s="975">
        <v>0.50151000000000001</v>
      </c>
      <c r="D361" s="1034">
        <v>3.4000000000000002E-4</v>
      </c>
      <c r="E361" s="976">
        <v>2.5000000000000001E-4</v>
      </c>
      <c r="F361" s="1034">
        <v>4.2000000000000002E-4</v>
      </c>
      <c r="G361" s="977">
        <v>0.502</v>
      </c>
      <c r="H361" s="1042">
        <v>4.0000000000000001E-3</v>
      </c>
      <c r="I361" s="1043">
        <v>2</v>
      </c>
      <c r="J361" s="1007">
        <v>2.9999999999999997E-4</v>
      </c>
      <c r="K361" s="979">
        <v>2</v>
      </c>
      <c r="L361" s="1008">
        <v>3.7000000000000002E-3</v>
      </c>
    </row>
    <row r="362" spans="1:12" s="227" customFormat="1" ht="13.5" customHeight="1" x14ac:dyDescent="0.2">
      <c r="A362" s="974" t="s">
        <v>1110</v>
      </c>
      <c r="B362" s="974" t="s">
        <v>1134</v>
      </c>
      <c r="C362" s="975">
        <v>0.50026999999999999</v>
      </c>
      <c r="D362" s="1034">
        <v>3.4000000000000002E-4</v>
      </c>
      <c r="E362" s="976">
        <v>2.5000000000000001E-4</v>
      </c>
      <c r="F362" s="1034">
        <v>4.2000000000000002E-4</v>
      </c>
      <c r="G362" s="977">
        <v>0.498</v>
      </c>
      <c r="H362" s="1042">
        <v>8.0000000000000002E-3</v>
      </c>
      <c r="I362" s="1043">
        <v>2</v>
      </c>
      <c r="J362" s="1007">
        <v>-2.5999999999999999E-3</v>
      </c>
      <c r="K362" s="979">
        <v>2</v>
      </c>
      <c r="L362" s="1008">
        <v>8.0000000000000002E-3</v>
      </c>
    </row>
    <row r="363" spans="1:12" s="227" customFormat="1" ht="13.5" customHeight="1" x14ac:dyDescent="0.2">
      <c r="A363" s="974" t="s">
        <v>1112</v>
      </c>
      <c r="B363" s="974" t="s">
        <v>1135</v>
      </c>
      <c r="C363" s="975">
        <v>0.50094000000000005</v>
      </c>
      <c r="D363" s="1034">
        <v>3.4000000000000002E-4</v>
      </c>
      <c r="E363" s="976">
        <v>2.5000000000000001E-4</v>
      </c>
      <c r="F363" s="1034">
        <v>4.2000000000000002E-4</v>
      </c>
      <c r="G363" s="977">
        <v>0.502</v>
      </c>
      <c r="H363" s="1042">
        <v>3.0000000000000001E-3</v>
      </c>
      <c r="I363" s="1043">
        <v>2</v>
      </c>
      <c r="J363" s="1007">
        <v>5.9999999999999995E-4</v>
      </c>
      <c r="K363" s="979">
        <v>2</v>
      </c>
      <c r="L363" s="1008">
        <v>2.5999999999999999E-3</v>
      </c>
    </row>
    <row r="364" spans="1:12" s="227" customFormat="1" ht="13.5" customHeight="1" x14ac:dyDescent="0.2">
      <c r="A364" s="974" t="s">
        <v>1114</v>
      </c>
      <c r="B364" s="974" t="s">
        <v>1136</v>
      </c>
      <c r="C364" s="975">
        <v>0.49898999999999999</v>
      </c>
      <c r="D364" s="1034">
        <v>3.4000000000000002E-4</v>
      </c>
      <c r="E364" s="976">
        <v>2.5000000000000001E-4</v>
      </c>
      <c r="F364" s="1034">
        <v>4.2000000000000002E-4</v>
      </c>
      <c r="G364" s="977">
        <v>0.499</v>
      </c>
      <c r="H364" s="1042">
        <v>1E-3</v>
      </c>
      <c r="I364" s="1047">
        <v>2.1800000000000002</v>
      </c>
      <c r="J364" s="1007">
        <v>-1E-4</v>
      </c>
      <c r="K364" s="979">
        <v>2</v>
      </c>
      <c r="L364" s="1008">
        <v>1.5E-3</v>
      </c>
    </row>
    <row r="365" spans="1:12" s="227" customFormat="1" ht="13.5" customHeight="1" x14ac:dyDescent="0.2">
      <c r="A365" s="974" t="s">
        <v>1116</v>
      </c>
      <c r="B365" s="974" t="s">
        <v>1137</v>
      </c>
      <c r="C365" s="975">
        <v>0.50300999999999996</v>
      </c>
      <c r="D365" s="1034">
        <v>3.4000000000000002E-4</v>
      </c>
      <c r="E365" s="976">
        <v>2.5000000000000001E-4</v>
      </c>
      <c r="F365" s="1034">
        <v>4.2000000000000002E-4</v>
      </c>
      <c r="G365" s="977">
        <v>0.501</v>
      </c>
      <c r="H365" s="1042">
        <v>8.9999999999999993E-3</v>
      </c>
      <c r="I365" s="1043">
        <v>2</v>
      </c>
      <c r="J365" s="1007">
        <v>-2E-3</v>
      </c>
      <c r="K365" s="979">
        <v>2</v>
      </c>
      <c r="L365" s="1008">
        <v>8.9999999999999993E-3</v>
      </c>
    </row>
    <row r="366" spans="1:12" s="227" customFormat="1" ht="13.5" customHeight="1" x14ac:dyDescent="0.2">
      <c r="A366" s="974" t="s">
        <v>1118</v>
      </c>
      <c r="B366" s="974" t="s">
        <v>1138</v>
      </c>
      <c r="C366" s="975">
        <v>0.50022</v>
      </c>
      <c r="D366" s="1034">
        <v>3.4000000000000002E-4</v>
      </c>
      <c r="E366" s="976">
        <v>2.5000000000000001E-4</v>
      </c>
      <c r="F366" s="1034">
        <v>4.2000000000000002E-4</v>
      </c>
      <c r="G366" s="977">
        <v>0.50800000000000001</v>
      </c>
      <c r="H366" s="1042">
        <v>0.01</v>
      </c>
      <c r="I366" s="1043">
        <v>2</v>
      </c>
      <c r="J366" s="1007">
        <v>7.7999999999999996E-3</v>
      </c>
      <c r="K366" s="979">
        <v>2</v>
      </c>
      <c r="L366" s="1008">
        <v>0.01</v>
      </c>
    </row>
    <row r="367" spans="1:12" s="227" customFormat="1" ht="13.5" customHeight="1" x14ac:dyDescent="0.2">
      <c r="A367" s="974" t="s">
        <v>1120</v>
      </c>
      <c r="B367" s="974" t="s">
        <v>1139</v>
      </c>
      <c r="C367" s="975">
        <v>0.50092999999999999</v>
      </c>
      <c r="D367" s="1034">
        <v>3.4000000000000002E-4</v>
      </c>
      <c r="E367" s="976">
        <v>2.5000000000000001E-4</v>
      </c>
      <c r="F367" s="1034">
        <v>4.2000000000000002E-4</v>
      </c>
      <c r="G367" s="977">
        <v>0.501</v>
      </c>
      <c r="H367" s="1042">
        <v>3.0000000000000001E-3</v>
      </c>
      <c r="I367" s="1043">
        <v>2</v>
      </c>
      <c r="J367" s="1007">
        <v>-1E-4</v>
      </c>
      <c r="K367" s="979">
        <v>2</v>
      </c>
      <c r="L367" s="1008">
        <v>3.0999999999999999E-3</v>
      </c>
    </row>
    <row r="368" spans="1:12" s="227" customFormat="1" ht="13.5" customHeight="1" x14ac:dyDescent="0.2">
      <c r="A368" s="974" t="s">
        <v>1122</v>
      </c>
      <c r="B368" s="974" t="s">
        <v>1140</v>
      </c>
      <c r="C368" s="975">
        <v>0.50129000000000001</v>
      </c>
      <c r="D368" s="1034">
        <v>3.4000000000000002E-4</v>
      </c>
      <c r="E368" s="976">
        <v>2.5000000000000001E-4</v>
      </c>
      <c r="F368" s="1034">
        <v>4.2000000000000002E-4</v>
      </c>
      <c r="G368" s="977">
        <v>0.505</v>
      </c>
      <c r="H368" s="1042">
        <v>8.0000000000000002E-3</v>
      </c>
      <c r="I368" s="1043">
        <v>2</v>
      </c>
      <c r="J368" s="1007">
        <v>4.0000000000000001E-3</v>
      </c>
      <c r="K368" s="979">
        <v>2</v>
      </c>
      <c r="L368" s="1008">
        <v>7.6E-3</v>
      </c>
    </row>
    <row r="369" spans="1:12" s="227" customFormat="1" ht="15.6" customHeight="1" x14ac:dyDescent="0.2">
      <c r="A369" s="997" t="s">
        <v>1124</v>
      </c>
      <c r="B369" s="997" t="s">
        <v>1141</v>
      </c>
      <c r="C369" s="998">
        <v>0.50044</v>
      </c>
      <c r="D369" s="1036">
        <v>3.4000000000000002E-4</v>
      </c>
      <c r="E369" s="999">
        <v>2.5000000000000001E-4</v>
      </c>
      <c r="F369" s="1036">
        <v>4.2000000000000002E-4</v>
      </c>
      <c r="G369" s="1009">
        <v>0.50029999999999997</v>
      </c>
      <c r="H369" s="1029">
        <v>2.3999999999999998E-3</v>
      </c>
      <c r="I369" s="1046">
        <v>2</v>
      </c>
      <c r="J369" s="1010">
        <v>-1E-4</v>
      </c>
      <c r="K369" s="1002">
        <v>2</v>
      </c>
      <c r="L369" s="1011">
        <v>2.5000000000000001E-3</v>
      </c>
    </row>
    <row r="370" spans="1:12" s="227" customFormat="1" ht="15.6" customHeight="1" x14ac:dyDescent="0.2">
      <c r="A370" s="983"/>
      <c r="B370" s="983"/>
      <c r="C370" s="976"/>
      <c r="D370" s="976"/>
      <c r="E370" s="976"/>
      <c r="F370" s="984"/>
      <c r="G370" s="985"/>
      <c r="H370" s="985"/>
      <c r="I370" s="986"/>
      <c r="J370" s="987"/>
      <c r="K370" s="979"/>
      <c r="L370" s="988"/>
    </row>
    <row r="371" spans="1:12" s="227" customFormat="1" ht="15.6" customHeight="1" x14ac:dyDescent="0.2">
      <c r="A371" s="989" t="s">
        <v>1157</v>
      </c>
      <c r="B371" s="983"/>
      <c r="C371" s="976"/>
      <c r="D371" s="976"/>
      <c r="E371" s="976"/>
      <c r="F371" s="984"/>
      <c r="G371" s="985"/>
      <c r="H371" s="985"/>
      <c r="I371" s="986"/>
      <c r="J371" s="987"/>
      <c r="K371" s="979"/>
      <c r="L371" s="988"/>
    </row>
    <row r="372" spans="1:12" s="227" customFormat="1" ht="14.1" customHeight="1" x14ac:dyDescent="0.2">
      <c r="A372" s="961" t="s">
        <v>1082</v>
      </c>
      <c r="B372" s="961" t="s">
        <v>1083</v>
      </c>
      <c r="C372" s="962" t="s">
        <v>1084</v>
      </c>
      <c r="D372" s="626" t="s">
        <v>1085</v>
      </c>
      <c r="E372" s="952" t="s">
        <v>1086</v>
      </c>
      <c r="F372" s="626" t="s">
        <v>1087</v>
      </c>
      <c r="G372" s="963" t="s">
        <v>1088</v>
      </c>
      <c r="H372" s="626" t="s">
        <v>1089</v>
      </c>
      <c r="I372" s="626" t="s">
        <v>1090</v>
      </c>
      <c r="J372" s="964" t="s">
        <v>1091</v>
      </c>
      <c r="K372" s="965" t="s">
        <v>1092</v>
      </c>
      <c r="L372" s="966" t="s">
        <v>1093</v>
      </c>
    </row>
    <row r="373" spans="1:12" s="227" customFormat="1" ht="12.75" customHeight="1" x14ac:dyDescent="0.2">
      <c r="A373" s="967" t="s">
        <v>1094</v>
      </c>
      <c r="B373" s="967" t="s">
        <v>1095</v>
      </c>
      <c r="C373" s="968">
        <v>2.9944600000000001</v>
      </c>
      <c r="D373" s="1035">
        <v>8.0999999999999996E-4</v>
      </c>
      <c r="E373" s="969">
        <v>1.5E-3</v>
      </c>
      <c r="F373" s="1035">
        <v>1.6999999999999999E-3</v>
      </c>
      <c r="G373" s="1004">
        <v>2.9950000000000001</v>
      </c>
      <c r="H373" s="1033">
        <v>6.6E-3</v>
      </c>
      <c r="I373" s="1052">
        <v>2</v>
      </c>
      <c r="J373" s="1005">
        <v>5.0000000000000001E-4</v>
      </c>
      <c r="K373" s="972">
        <v>2</v>
      </c>
      <c r="L373" s="1006">
        <v>7.4000000000000003E-3</v>
      </c>
    </row>
    <row r="374" spans="1:12" s="227" customFormat="1" ht="13.5" customHeight="1" x14ac:dyDescent="0.2">
      <c r="A374" s="974" t="s">
        <v>1096</v>
      </c>
      <c r="B374" s="974" t="s">
        <v>1097</v>
      </c>
      <c r="C374" s="975">
        <v>2.9875099999999999</v>
      </c>
      <c r="D374" s="1034">
        <v>7.6999999999999996E-4</v>
      </c>
      <c r="E374" s="976">
        <v>1.49E-3</v>
      </c>
      <c r="F374" s="1034">
        <v>1.6800000000000001E-3</v>
      </c>
      <c r="G374" s="981">
        <v>2.976</v>
      </c>
      <c r="H374" s="1031">
        <v>1.2E-2</v>
      </c>
      <c r="I374" s="1043">
        <v>2</v>
      </c>
      <c r="J374" s="1007">
        <v>-1.15E-2</v>
      </c>
      <c r="K374" s="979">
        <v>2</v>
      </c>
      <c r="L374" s="1008">
        <v>1.2500000000000001E-2</v>
      </c>
    </row>
    <row r="375" spans="1:12" s="227" customFormat="1" ht="13.5" customHeight="1" x14ac:dyDescent="0.2">
      <c r="A375" s="974" t="s">
        <v>1098</v>
      </c>
      <c r="B375" s="974" t="s">
        <v>1099</v>
      </c>
      <c r="C375" s="975">
        <v>2.9937999999999998</v>
      </c>
      <c r="D375" s="1034">
        <v>7.7999999999999999E-4</v>
      </c>
      <c r="E375" s="976">
        <v>1.5E-3</v>
      </c>
      <c r="F375" s="1034">
        <v>1.6900000000000001E-3</v>
      </c>
      <c r="G375" s="981">
        <v>2.9620000000000002</v>
      </c>
      <c r="H375" s="1031">
        <v>0.03</v>
      </c>
      <c r="I375" s="1043">
        <v>2</v>
      </c>
      <c r="J375" s="1007">
        <v>-3.1800000000000002E-2</v>
      </c>
      <c r="K375" s="979">
        <v>2</v>
      </c>
      <c r="L375" s="1008">
        <v>3.0200000000000001E-2</v>
      </c>
    </row>
    <row r="376" spans="1:12" s="227" customFormat="1" ht="13.5" customHeight="1" x14ac:dyDescent="0.2">
      <c r="A376" s="974" t="s">
        <v>1100</v>
      </c>
      <c r="B376" s="974" t="s">
        <v>1101</v>
      </c>
      <c r="C376" s="975">
        <v>2.9980000000000002</v>
      </c>
      <c r="D376" s="1034">
        <v>7.6000000000000004E-4</v>
      </c>
      <c r="E376" s="976">
        <v>1.5E-3</v>
      </c>
      <c r="F376" s="1034">
        <v>1.6800000000000001E-3</v>
      </c>
      <c r="G376" s="981">
        <v>2.996</v>
      </c>
      <c r="H376" s="1031">
        <v>5.0000000000000001E-3</v>
      </c>
      <c r="I376" s="1043">
        <v>2</v>
      </c>
      <c r="J376" s="1007">
        <v>-2E-3</v>
      </c>
      <c r="K376" s="979">
        <v>2</v>
      </c>
      <c r="L376" s="1008">
        <v>6.0000000000000001E-3</v>
      </c>
    </row>
    <row r="377" spans="1:12" s="227" customFormat="1" ht="13.5" customHeight="1" x14ac:dyDescent="0.2">
      <c r="A377" s="974" t="s">
        <v>1102</v>
      </c>
      <c r="B377" s="974" t="s">
        <v>1103</v>
      </c>
      <c r="C377" s="975">
        <v>3.00284</v>
      </c>
      <c r="D377" s="1034">
        <v>7.7999999999999999E-4</v>
      </c>
      <c r="E377" s="976">
        <v>1.5E-3</v>
      </c>
      <c r="F377" s="1034">
        <v>1.6900000000000001E-3</v>
      </c>
      <c r="G377" s="981">
        <v>2.9998999999999998</v>
      </c>
      <c r="H377" s="1031">
        <v>4.1999999999999997E-3</v>
      </c>
      <c r="I377" s="1047">
        <v>2.4300000000000002</v>
      </c>
      <c r="J377" s="1007">
        <v>-2.8999999999999998E-3</v>
      </c>
      <c r="K377" s="979">
        <v>2</v>
      </c>
      <c r="L377" s="1008">
        <v>4.7999999999999996E-3</v>
      </c>
    </row>
    <row r="378" spans="1:12" s="227" customFormat="1" ht="13.5" customHeight="1" x14ac:dyDescent="0.2">
      <c r="A378" s="974" t="s">
        <v>1104</v>
      </c>
      <c r="B378" s="974" t="s">
        <v>1105</v>
      </c>
      <c r="C378" s="975">
        <v>3.0099900000000002</v>
      </c>
      <c r="D378" s="1034">
        <v>7.7999999999999999E-4</v>
      </c>
      <c r="E378" s="976">
        <v>1.5E-3</v>
      </c>
      <c r="F378" s="1034">
        <v>1.6999999999999999E-3</v>
      </c>
      <c r="G378" s="981">
        <v>3.0099</v>
      </c>
      <c r="H378" s="1031">
        <v>6.4999999999999997E-3</v>
      </c>
      <c r="I378" s="1043">
        <v>2</v>
      </c>
      <c r="J378" s="1007">
        <v>-1E-4</v>
      </c>
      <c r="K378" s="979">
        <v>2</v>
      </c>
      <c r="L378" s="1008">
        <v>7.3000000000000001E-3</v>
      </c>
    </row>
    <row r="379" spans="1:12" s="227" customFormat="1" ht="13.5" customHeight="1" x14ac:dyDescent="0.2">
      <c r="A379" s="974" t="s">
        <v>1106</v>
      </c>
      <c r="B379" s="974" t="s">
        <v>1107</v>
      </c>
      <c r="C379" s="975">
        <v>2.9874299999999998</v>
      </c>
      <c r="D379" s="1034">
        <v>8.1999999999999998E-4</v>
      </c>
      <c r="E379" s="976">
        <v>1.49E-3</v>
      </c>
      <c r="F379" s="1034">
        <v>1.6999999999999999E-3</v>
      </c>
      <c r="G379" s="981">
        <v>2.9860000000000002</v>
      </c>
      <c r="H379" s="1031">
        <v>6.0000000000000001E-3</v>
      </c>
      <c r="I379" s="1043">
        <v>2</v>
      </c>
      <c r="J379" s="1007">
        <v>-1.4E-3</v>
      </c>
      <c r="K379" s="979">
        <v>2</v>
      </c>
      <c r="L379" s="1008">
        <v>6.8999999999999999E-3</v>
      </c>
    </row>
    <row r="380" spans="1:12" s="227" customFormat="1" ht="13.5" customHeight="1" x14ac:dyDescent="0.2">
      <c r="A380" s="974" t="s">
        <v>1108</v>
      </c>
      <c r="B380" s="974" t="s">
        <v>1109</v>
      </c>
      <c r="C380" s="975">
        <v>3.00169</v>
      </c>
      <c r="D380" s="1034">
        <v>7.7999999999999999E-4</v>
      </c>
      <c r="E380" s="976">
        <v>1.5E-3</v>
      </c>
      <c r="F380" s="1034">
        <v>1.6900000000000001E-3</v>
      </c>
      <c r="G380" s="981">
        <v>2.9969999999999999</v>
      </c>
      <c r="H380" s="1031">
        <v>2.4E-2</v>
      </c>
      <c r="I380" s="1043">
        <v>2</v>
      </c>
      <c r="J380" s="1007">
        <v>-4.7000000000000002E-3</v>
      </c>
      <c r="K380" s="979">
        <v>2</v>
      </c>
      <c r="L380" s="1008">
        <v>2.4199999999999999E-2</v>
      </c>
    </row>
    <row r="381" spans="1:12" s="227" customFormat="1" ht="13.5" customHeight="1" x14ac:dyDescent="0.2">
      <c r="A381" s="974" t="s">
        <v>1110</v>
      </c>
      <c r="B381" s="974" t="s">
        <v>1111</v>
      </c>
      <c r="C381" s="975">
        <v>2.9897100000000001</v>
      </c>
      <c r="D381" s="1034">
        <v>7.6999999999999996E-4</v>
      </c>
      <c r="E381" s="976">
        <v>1.49E-3</v>
      </c>
      <c r="F381" s="1034">
        <v>1.6800000000000001E-3</v>
      </c>
      <c r="G381" s="981">
        <v>2.9872999999999998</v>
      </c>
      <c r="H381" s="1031">
        <v>1.7000000000000001E-2</v>
      </c>
      <c r="I381" s="1043">
        <v>2</v>
      </c>
      <c r="J381" s="1007">
        <v>-2.3999999999999998E-3</v>
      </c>
      <c r="K381" s="979">
        <v>2</v>
      </c>
      <c r="L381" s="1008">
        <v>1.7299999999999999E-2</v>
      </c>
    </row>
    <row r="382" spans="1:12" s="227" customFormat="1" ht="13.5" customHeight="1" x14ac:dyDescent="0.2">
      <c r="A382" s="974" t="s">
        <v>1112</v>
      </c>
      <c r="B382" s="974" t="s">
        <v>1113</v>
      </c>
      <c r="C382" s="975">
        <v>2.9864299999999999</v>
      </c>
      <c r="D382" s="1034">
        <v>7.7999999999999999E-4</v>
      </c>
      <c r="E382" s="976">
        <v>1.49E-3</v>
      </c>
      <c r="F382" s="1034">
        <v>1.6800000000000001E-3</v>
      </c>
      <c r="G382" s="981">
        <v>2.9885999999999999</v>
      </c>
      <c r="H382" s="1031">
        <v>8.9999999999999993E-3</v>
      </c>
      <c r="I382" s="1043">
        <v>2</v>
      </c>
      <c r="J382" s="1007">
        <v>2.2000000000000001E-3</v>
      </c>
      <c r="K382" s="979">
        <v>2</v>
      </c>
      <c r="L382" s="1008">
        <v>9.5999999999999992E-3</v>
      </c>
    </row>
    <row r="383" spans="1:12" s="227" customFormat="1" ht="13.5" customHeight="1" x14ac:dyDescent="0.2">
      <c r="A383" s="974" t="s">
        <v>1114</v>
      </c>
      <c r="B383" s="974" t="s">
        <v>1115</v>
      </c>
      <c r="C383" s="975">
        <v>2.9904099999999998</v>
      </c>
      <c r="D383" s="1034">
        <v>7.7999999999999999E-4</v>
      </c>
      <c r="E383" s="976">
        <v>1.5E-3</v>
      </c>
      <c r="F383" s="1034">
        <v>1.6900000000000001E-3</v>
      </c>
      <c r="G383" s="981">
        <v>2.9889999999999999</v>
      </c>
      <c r="H383" s="1031">
        <v>3.0000000000000001E-3</v>
      </c>
      <c r="I383" s="1047">
        <v>2.1800000000000002</v>
      </c>
      <c r="J383" s="1007">
        <v>-1.4E-3</v>
      </c>
      <c r="K383" s="979">
        <v>2</v>
      </c>
      <c r="L383" s="1008">
        <v>4.4000000000000003E-3</v>
      </c>
    </row>
    <row r="384" spans="1:12" s="227" customFormat="1" ht="13.5" customHeight="1" x14ac:dyDescent="0.2">
      <c r="A384" s="974" t="s">
        <v>1116</v>
      </c>
      <c r="B384" s="974" t="s">
        <v>1117</v>
      </c>
      <c r="C384" s="975">
        <v>2.9942700000000002</v>
      </c>
      <c r="D384" s="1034">
        <v>7.7999999999999999E-4</v>
      </c>
      <c r="E384" s="976">
        <v>1.5E-3</v>
      </c>
      <c r="F384" s="1034">
        <v>1.6900000000000001E-3</v>
      </c>
      <c r="G384" s="981">
        <v>2.9969999999999999</v>
      </c>
      <c r="H384" s="1031">
        <v>1.4999999999999999E-2</v>
      </c>
      <c r="I384" s="1043">
        <v>2</v>
      </c>
      <c r="J384" s="1007">
        <v>2.7000000000000001E-3</v>
      </c>
      <c r="K384" s="979">
        <v>2</v>
      </c>
      <c r="L384" s="1008">
        <v>1.54E-2</v>
      </c>
    </row>
    <row r="385" spans="1:12" s="227" customFormat="1" ht="13.5" customHeight="1" x14ac:dyDescent="0.2">
      <c r="A385" s="974" t="s">
        <v>1118</v>
      </c>
      <c r="B385" s="974" t="s">
        <v>1119</v>
      </c>
      <c r="C385" s="975">
        <v>2.9875500000000001</v>
      </c>
      <c r="D385" s="1034">
        <v>7.7999999999999999E-4</v>
      </c>
      <c r="E385" s="976">
        <v>1.49E-3</v>
      </c>
      <c r="F385" s="1034">
        <v>1.6800000000000001E-3</v>
      </c>
      <c r="G385" s="981">
        <v>2.9820000000000002</v>
      </c>
      <c r="H385" s="1031">
        <v>3.3000000000000002E-2</v>
      </c>
      <c r="I385" s="1043">
        <v>2</v>
      </c>
      <c r="J385" s="1007">
        <v>-5.4999999999999997E-3</v>
      </c>
      <c r="K385" s="979">
        <v>2</v>
      </c>
      <c r="L385" s="1008">
        <v>3.32E-2</v>
      </c>
    </row>
    <row r="386" spans="1:12" s="227" customFormat="1" ht="13.5" customHeight="1" x14ac:dyDescent="0.2">
      <c r="A386" s="974" t="s">
        <v>1120</v>
      </c>
      <c r="B386" s="974" t="s">
        <v>1121</v>
      </c>
      <c r="C386" s="975">
        <v>2.99268</v>
      </c>
      <c r="D386" s="1034">
        <v>7.7999999999999999E-4</v>
      </c>
      <c r="E386" s="976">
        <v>1.5E-3</v>
      </c>
      <c r="F386" s="1034">
        <v>1.6900000000000001E-3</v>
      </c>
      <c r="G386" s="981">
        <v>2.996</v>
      </c>
      <c r="H386" s="1031">
        <v>2.1000000000000001E-2</v>
      </c>
      <c r="I386" s="1043">
        <v>2</v>
      </c>
      <c r="J386" s="1007">
        <v>3.3E-3</v>
      </c>
      <c r="K386" s="979">
        <v>2</v>
      </c>
      <c r="L386" s="1008">
        <v>2.1299999999999999E-2</v>
      </c>
    </row>
    <row r="387" spans="1:12" s="227" customFormat="1" ht="13.5" customHeight="1" x14ac:dyDescent="0.2">
      <c r="A387" s="974" t="s">
        <v>1122</v>
      </c>
      <c r="B387" s="974" t="s">
        <v>1123</v>
      </c>
      <c r="C387" s="975">
        <v>3.0005500000000001</v>
      </c>
      <c r="D387" s="1034">
        <v>7.6999999999999996E-4</v>
      </c>
      <c r="E387" s="976">
        <v>1.5E-3</v>
      </c>
      <c r="F387" s="1034">
        <v>1.6900000000000001E-3</v>
      </c>
      <c r="G387" s="981">
        <v>3.0129999999999999</v>
      </c>
      <c r="H387" s="1031">
        <v>4.5199999999999997E-2</v>
      </c>
      <c r="I387" s="1043">
        <v>2</v>
      </c>
      <c r="J387" s="1007">
        <v>1.2500000000000001E-2</v>
      </c>
      <c r="K387" s="979">
        <v>2</v>
      </c>
      <c r="L387" s="1008">
        <v>4.53E-2</v>
      </c>
    </row>
    <row r="388" spans="1:12" s="227" customFormat="1" ht="15.6" customHeight="1" x14ac:dyDescent="0.2">
      <c r="A388" s="997" t="s">
        <v>1124</v>
      </c>
      <c r="B388" s="997" t="s">
        <v>1125</v>
      </c>
      <c r="C388" s="998">
        <v>3.0100199999999999</v>
      </c>
      <c r="D388" s="1036">
        <v>8.0000000000000004E-4</v>
      </c>
      <c r="E388" s="999">
        <v>1.5100000000000001E-3</v>
      </c>
      <c r="F388" s="1036">
        <v>1.6999999999999999E-3</v>
      </c>
      <c r="G388" s="1009">
        <v>3.0068999999999999</v>
      </c>
      <c r="H388" s="1029">
        <v>6.0000000000000001E-3</v>
      </c>
      <c r="I388" s="1046">
        <v>2</v>
      </c>
      <c r="J388" s="1010">
        <v>-3.0999999999999999E-3</v>
      </c>
      <c r="K388" s="1002">
        <v>2</v>
      </c>
      <c r="L388" s="1011">
        <v>6.8999999999999999E-3</v>
      </c>
    </row>
    <row r="389" spans="1:12" s="227" customFormat="1" ht="15.6" customHeight="1" x14ac:dyDescent="0.2">
      <c r="A389" s="983"/>
      <c r="B389" s="983"/>
      <c r="C389" s="976"/>
      <c r="D389" s="976"/>
      <c r="E389" s="976"/>
      <c r="F389" s="984"/>
      <c r="G389" s="985"/>
      <c r="H389" s="985"/>
      <c r="I389" s="986"/>
      <c r="J389" s="987"/>
      <c r="K389" s="979"/>
      <c r="L389" s="988"/>
    </row>
    <row r="390" spans="1:12" s="227" customFormat="1" ht="15.6" customHeight="1" x14ac:dyDescent="0.2">
      <c r="A390" s="989" t="s">
        <v>1158</v>
      </c>
      <c r="B390" s="983"/>
      <c r="C390" s="976"/>
      <c r="D390" s="976"/>
      <c r="E390" s="976"/>
      <c r="F390" s="984"/>
      <c r="G390" s="985"/>
      <c r="H390" s="985"/>
      <c r="I390" s="986"/>
      <c r="J390" s="987"/>
      <c r="K390" s="979"/>
      <c r="L390" s="988"/>
    </row>
    <row r="391" spans="1:12" s="227" customFormat="1" ht="14.1" customHeight="1" x14ac:dyDescent="0.2">
      <c r="A391" s="961" t="s">
        <v>1082</v>
      </c>
      <c r="B391" s="961" t="s">
        <v>1083</v>
      </c>
      <c r="C391" s="962" t="s">
        <v>1084</v>
      </c>
      <c r="D391" s="626" t="s">
        <v>1085</v>
      </c>
      <c r="E391" s="952" t="s">
        <v>1086</v>
      </c>
      <c r="F391" s="626" t="s">
        <v>1087</v>
      </c>
      <c r="G391" s="963" t="s">
        <v>1088</v>
      </c>
      <c r="H391" s="626" t="s">
        <v>1089</v>
      </c>
      <c r="I391" s="626" t="s">
        <v>1090</v>
      </c>
      <c r="J391" s="964" t="s">
        <v>1091</v>
      </c>
      <c r="K391" s="965" t="s">
        <v>1092</v>
      </c>
      <c r="L391" s="966" t="s">
        <v>1093</v>
      </c>
    </row>
    <row r="392" spans="1:12" s="227" customFormat="1" ht="12.75" customHeight="1" x14ac:dyDescent="0.2">
      <c r="A392" s="967" t="s">
        <v>1094</v>
      </c>
      <c r="B392" s="967" t="s">
        <v>1126</v>
      </c>
      <c r="C392" s="968">
        <v>2.98963</v>
      </c>
      <c r="D392" s="1035">
        <v>7.9000000000000001E-4</v>
      </c>
      <c r="E392" s="969">
        <v>1.49E-3</v>
      </c>
      <c r="F392" s="1035">
        <v>1.6900000000000001E-3</v>
      </c>
      <c r="G392" s="970">
        <v>2.99</v>
      </c>
      <c r="H392" s="1051">
        <v>5.0000000000000001E-3</v>
      </c>
      <c r="I392" s="1052">
        <v>2</v>
      </c>
      <c r="J392" s="1005">
        <v>4.0000000000000002E-4</v>
      </c>
      <c r="K392" s="972">
        <v>2</v>
      </c>
      <c r="L392" s="1006">
        <v>6.1000000000000004E-3</v>
      </c>
    </row>
    <row r="393" spans="1:12" s="227" customFormat="1" ht="13.5" customHeight="1" x14ac:dyDescent="0.2">
      <c r="A393" s="974" t="s">
        <v>1096</v>
      </c>
      <c r="B393" s="974" t="s">
        <v>1127</v>
      </c>
      <c r="C393" s="975">
        <v>3.0006300000000001</v>
      </c>
      <c r="D393" s="1034">
        <v>7.9000000000000001E-4</v>
      </c>
      <c r="E393" s="976">
        <v>1.5E-3</v>
      </c>
      <c r="F393" s="1034">
        <v>1.6999999999999999E-3</v>
      </c>
      <c r="G393" s="977">
        <v>3.028</v>
      </c>
      <c r="H393" s="1042">
        <v>1.2E-2</v>
      </c>
      <c r="I393" s="1043">
        <v>2</v>
      </c>
      <c r="J393" s="1007">
        <v>2.7400000000000001E-2</v>
      </c>
      <c r="K393" s="979">
        <v>2</v>
      </c>
      <c r="L393" s="1008">
        <v>1.2500000000000001E-2</v>
      </c>
    </row>
    <row r="394" spans="1:12" s="227" customFormat="1" ht="13.5" customHeight="1" x14ac:dyDescent="0.2">
      <c r="A394" s="974" t="s">
        <v>1098</v>
      </c>
      <c r="B394" s="974" t="s">
        <v>1128</v>
      </c>
      <c r="C394" s="975">
        <v>2.98672</v>
      </c>
      <c r="D394" s="1034">
        <v>7.7999999999999999E-4</v>
      </c>
      <c r="E394" s="976">
        <v>1.49E-3</v>
      </c>
      <c r="F394" s="1034">
        <v>1.6900000000000001E-3</v>
      </c>
      <c r="G394" s="977">
        <v>2.9630000000000001</v>
      </c>
      <c r="H394" s="1042">
        <v>2.9000000000000001E-2</v>
      </c>
      <c r="I394" s="1043">
        <v>2</v>
      </c>
      <c r="J394" s="1007">
        <v>-2.3699999999999999E-2</v>
      </c>
      <c r="K394" s="979">
        <v>2</v>
      </c>
      <c r="L394" s="1008">
        <v>2.92E-2</v>
      </c>
    </row>
    <row r="395" spans="1:12" s="227" customFormat="1" ht="13.5" customHeight="1" x14ac:dyDescent="0.2">
      <c r="A395" s="974" t="s">
        <v>1100</v>
      </c>
      <c r="B395" s="974" t="s">
        <v>1129</v>
      </c>
      <c r="C395" s="975">
        <v>2.9982099999999998</v>
      </c>
      <c r="D395" s="1034">
        <v>8.0000000000000004E-4</v>
      </c>
      <c r="E395" s="976">
        <v>1.5E-3</v>
      </c>
      <c r="F395" s="1034">
        <v>1.6999999999999999E-3</v>
      </c>
      <c r="G395" s="977">
        <v>2.996</v>
      </c>
      <c r="H395" s="1042">
        <v>0.01</v>
      </c>
      <c r="I395" s="1043">
        <v>2</v>
      </c>
      <c r="J395" s="1007">
        <v>-2.2000000000000001E-3</v>
      </c>
      <c r="K395" s="979">
        <v>2</v>
      </c>
      <c r="L395" s="1008">
        <v>1.06E-2</v>
      </c>
    </row>
    <row r="396" spans="1:12" s="227" customFormat="1" ht="13.5" customHeight="1" x14ac:dyDescent="0.2">
      <c r="A396" s="974" t="s">
        <v>1102</v>
      </c>
      <c r="B396" s="974" t="s">
        <v>1130</v>
      </c>
      <c r="C396" s="975">
        <v>2.9966499999999998</v>
      </c>
      <c r="D396" s="1034">
        <v>7.7999999999999999E-4</v>
      </c>
      <c r="E396" s="976">
        <v>1.5E-3</v>
      </c>
      <c r="F396" s="1034">
        <v>1.6900000000000001E-3</v>
      </c>
      <c r="G396" s="977">
        <v>3.0009999999999999</v>
      </c>
      <c r="H396" s="1042">
        <v>4.0000000000000001E-3</v>
      </c>
      <c r="I396" s="1047">
        <v>2.4300000000000002</v>
      </c>
      <c r="J396" s="1007">
        <v>4.0000000000000001E-3</v>
      </c>
      <c r="K396" s="979">
        <v>2</v>
      </c>
      <c r="L396" s="1008">
        <v>4.7999999999999996E-3</v>
      </c>
    </row>
    <row r="397" spans="1:12" s="227" customFormat="1" ht="13.5" customHeight="1" x14ac:dyDescent="0.2">
      <c r="A397" s="974" t="s">
        <v>1104</v>
      </c>
      <c r="B397" s="974" t="s">
        <v>1131</v>
      </c>
      <c r="C397" s="975">
        <v>3.0092400000000001</v>
      </c>
      <c r="D397" s="1034">
        <v>8.0000000000000004E-4</v>
      </c>
      <c r="E397" s="976">
        <v>1.5E-3</v>
      </c>
      <c r="F397" s="1034">
        <v>1.6999999999999999E-3</v>
      </c>
      <c r="G397" s="977">
        <v>3.01</v>
      </c>
      <c r="H397" s="1042">
        <v>7.0000000000000001E-3</v>
      </c>
      <c r="I397" s="1043">
        <v>2</v>
      </c>
      <c r="J397" s="1007">
        <v>2.9999999999999997E-4</v>
      </c>
      <c r="K397" s="979">
        <v>2</v>
      </c>
      <c r="L397" s="1008">
        <v>8.0999999999999996E-3</v>
      </c>
    </row>
    <row r="398" spans="1:12" s="227" customFormat="1" ht="13.5" customHeight="1" x14ac:dyDescent="0.2">
      <c r="A398" s="974" t="s">
        <v>1106</v>
      </c>
      <c r="B398" s="974" t="s">
        <v>1132</v>
      </c>
      <c r="C398" s="975">
        <v>2.9955500000000002</v>
      </c>
      <c r="D398" s="1034">
        <v>8.0000000000000004E-4</v>
      </c>
      <c r="E398" s="976">
        <v>1.5E-3</v>
      </c>
      <c r="F398" s="1034">
        <v>1.6999999999999999E-3</v>
      </c>
      <c r="G398" s="977">
        <v>2.9940000000000002</v>
      </c>
      <c r="H398" s="1042">
        <v>8.9999999999999993E-3</v>
      </c>
      <c r="I398" s="1043">
        <v>2</v>
      </c>
      <c r="J398" s="1007">
        <v>-1.5E-3</v>
      </c>
      <c r="K398" s="979">
        <v>2</v>
      </c>
      <c r="L398" s="1008">
        <v>9.5999999999999992E-3</v>
      </c>
    </row>
    <row r="399" spans="1:12" s="227" customFormat="1" ht="13.5" customHeight="1" x14ac:dyDescent="0.2">
      <c r="A399" s="974" t="s">
        <v>1108</v>
      </c>
      <c r="B399" s="974" t="s">
        <v>1133</v>
      </c>
      <c r="C399" s="975">
        <v>2.9763199999999999</v>
      </c>
      <c r="D399" s="1034">
        <v>8.0999999999999996E-4</v>
      </c>
      <c r="E399" s="976">
        <v>1.49E-3</v>
      </c>
      <c r="F399" s="1034">
        <v>1.6900000000000001E-3</v>
      </c>
      <c r="G399" s="977">
        <v>2.9820000000000002</v>
      </c>
      <c r="H399" s="1042">
        <v>3.4000000000000002E-2</v>
      </c>
      <c r="I399" s="1043">
        <v>2</v>
      </c>
      <c r="J399" s="1007">
        <v>5.7000000000000002E-3</v>
      </c>
      <c r="K399" s="979">
        <v>2</v>
      </c>
      <c r="L399" s="1008">
        <v>3.4200000000000001E-2</v>
      </c>
    </row>
    <row r="400" spans="1:12" s="227" customFormat="1" ht="13.5" customHeight="1" x14ac:dyDescent="0.2">
      <c r="A400" s="974" t="s">
        <v>1110</v>
      </c>
      <c r="B400" s="974" t="s">
        <v>1134</v>
      </c>
      <c r="C400" s="975">
        <v>2.99762</v>
      </c>
      <c r="D400" s="1034">
        <v>8.0000000000000004E-4</v>
      </c>
      <c r="E400" s="976">
        <v>1.5E-3</v>
      </c>
      <c r="F400" s="1034">
        <v>1.6999999999999999E-3</v>
      </c>
      <c r="G400" s="977">
        <v>2.9990000000000001</v>
      </c>
      <c r="H400" s="1042">
        <v>1.2E-2</v>
      </c>
      <c r="I400" s="1043">
        <v>2</v>
      </c>
      <c r="J400" s="1007">
        <v>1.4E-3</v>
      </c>
      <c r="K400" s="979">
        <v>2</v>
      </c>
      <c r="L400" s="1008">
        <v>1.2500000000000001E-2</v>
      </c>
    </row>
    <row r="401" spans="1:12" s="227" customFormat="1" ht="13.5" customHeight="1" x14ac:dyDescent="0.2">
      <c r="A401" s="974" t="s">
        <v>1112</v>
      </c>
      <c r="B401" s="974" t="s">
        <v>1135</v>
      </c>
      <c r="C401" s="975">
        <v>2.9950800000000002</v>
      </c>
      <c r="D401" s="1034">
        <v>8.0000000000000004E-4</v>
      </c>
      <c r="E401" s="976">
        <v>1.5E-3</v>
      </c>
      <c r="F401" s="1034">
        <v>1.6999999999999999E-3</v>
      </c>
      <c r="G401" s="977">
        <v>2.996</v>
      </c>
      <c r="H401" s="1042">
        <v>8.9999999999999993E-3</v>
      </c>
      <c r="I401" s="1043">
        <v>2</v>
      </c>
      <c r="J401" s="1007">
        <v>1.2999999999999999E-3</v>
      </c>
      <c r="K401" s="979">
        <v>2</v>
      </c>
      <c r="L401" s="1008">
        <v>9.5999999999999992E-3</v>
      </c>
    </row>
    <row r="402" spans="1:12" s="227" customFormat="1" ht="13.5" customHeight="1" x14ac:dyDescent="0.2">
      <c r="A402" s="974" t="s">
        <v>1114</v>
      </c>
      <c r="B402" s="974" t="s">
        <v>1136</v>
      </c>
      <c r="C402" s="975">
        <v>3.00583</v>
      </c>
      <c r="D402" s="1034">
        <v>8.0999999999999996E-4</v>
      </c>
      <c r="E402" s="976">
        <v>1.5E-3</v>
      </c>
      <c r="F402" s="1034">
        <v>1.7099999999999999E-3</v>
      </c>
      <c r="G402" s="977">
        <v>3.004</v>
      </c>
      <c r="H402" s="1042">
        <v>4.0000000000000001E-3</v>
      </c>
      <c r="I402" s="1047">
        <v>2.1800000000000002</v>
      </c>
      <c r="J402" s="1007">
        <v>-1.6000000000000001E-3</v>
      </c>
      <c r="K402" s="979">
        <v>2</v>
      </c>
      <c r="L402" s="1008">
        <v>5.1999999999999998E-3</v>
      </c>
    </row>
    <row r="403" spans="1:12" s="227" customFormat="1" ht="13.5" customHeight="1" x14ac:dyDescent="0.2">
      <c r="A403" s="974" t="s">
        <v>1116</v>
      </c>
      <c r="B403" s="974" t="s">
        <v>1137</v>
      </c>
      <c r="C403" s="975">
        <v>2.95513</v>
      </c>
      <c r="D403" s="1034">
        <v>7.9000000000000001E-4</v>
      </c>
      <c r="E403" s="976">
        <v>1.48E-3</v>
      </c>
      <c r="F403" s="1034">
        <v>1.67E-3</v>
      </c>
      <c r="G403" s="977">
        <v>2.9590000000000001</v>
      </c>
      <c r="H403" s="1042">
        <v>1.6E-2</v>
      </c>
      <c r="I403" s="1043">
        <v>2</v>
      </c>
      <c r="J403" s="1007">
        <v>3.8999999999999998E-3</v>
      </c>
      <c r="K403" s="979">
        <v>2</v>
      </c>
      <c r="L403" s="1008">
        <v>1.6299999999999999E-2</v>
      </c>
    </row>
    <row r="404" spans="1:12" s="227" customFormat="1" ht="13.5" customHeight="1" x14ac:dyDescent="0.2">
      <c r="A404" s="974" t="s">
        <v>1118</v>
      </c>
      <c r="B404" s="974" t="s">
        <v>1138</v>
      </c>
      <c r="C404" s="975">
        <v>3.0022099999999998</v>
      </c>
      <c r="D404" s="1034">
        <v>7.9000000000000001E-4</v>
      </c>
      <c r="E404" s="976">
        <v>1.5E-3</v>
      </c>
      <c r="F404" s="1034">
        <v>1.6999999999999999E-3</v>
      </c>
      <c r="G404" s="977">
        <v>2.976</v>
      </c>
      <c r="H404" s="1042">
        <v>3.3000000000000002E-2</v>
      </c>
      <c r="I404" s="1043">
        <v>2</v>
      </c>
      <c r="J404" s="1007">
        <v>-2.6200000000000001E-2</v>
      </c>
      <c r="K404" s="979">
        <v>2</v>
      </c>
      <c r="L404" s="1008">
        <v>3.32E-2</v>
      </c>
    </row>
    <row r="405" spans="1:12" s="227" customFormat="1" ht="13.5" customHeight="1" x14ac:dyDescent="0.2">
      <c r="A405" s="974" t="s">
        <v>1120</v>
      </c>
      <c r="B405" s="974" t="s">
        <v>1139</v>
      </c>
      <c r="C405" s="975">
        <v>2.99424</v>
      </c>
      <c r="D405" s="1034">
        <v>7.7999999999999999E-4</v>
      </c>
      <c r="E405" s="976">
        <v>1.5E-3</v>
      </c>
      <c r="F405" s="1034">
        <v>1.6900000000000001E-3</v>
      </c>
      <c r="G405" s="977">
        <v>2.992</v>
      </c>
      <c r="H405" s="1042">
        <v>0.02</v>
      </c>
      <c r="I405" s="1043">
        <v>2</v>
      </c>
      <c r="J405" s="1007">
        <v>-2.2000000000000001E-3</v>
      </c>
      <c r="K405" s="979">
        <v>2</v>
      </c>
      <c r="L405" s="1008">
        <v>2.0299999999999999E-2</v>
      </c>
    </row>
    <row r="406" spans="1:12" s="227" customFormat="1" ht="13.5" customHeight="1" x14ac:dyDescent="0.2">
      <c r="A406" s="974" t="s">
        <v>1122</v>
      </c>
      <c r="B406" s="974" t="s">
        <v>1140</v>
      </c>
      <c r="C406" s="975">
        <v>2.9773999999999998</v>
      </c>
      <c r="D406" s="1034">
        <v>8.0000000000000004E-4</v>
      </c>
      <c r="E406" s="976">
        <v>1.49E-3</v>
      </c>
      <c r="F406" s="1034">
        <v>1.6900000000000001E-3</v>
      </c>
      <c r="G406" s="977">
        <v>2.9889999999999999</v>
      </c>
      <c r="H406" s="1042">
        <v>4.4999999999999998E-2</v>
      </c>
      <c r="I406" s="1043">
        <v>2</v>
      </c>
      <c r="J406" s="1007">
        <v>1.1599999999999999E-2</v>
      </c>
      <c r="K406" s="979">
        <v>2</v>
      </c>
      <c r="L406" s="1008">
        <v>4.4999999999999998E-2</v>
      </c>
    </row>
    <row r="407" spans="1:12" s="227" customFormat="1" ht="15.6" customHeight="1" x14ac:dyDescent="0.2">
      <c r="A407" s="997" t="s">
        <v>1124</v>
      </c>
      <c r="B407" s="997" t="s">
        <v>1141</v>
      </c>
      <c r="C407" s="998">
        <v>2.9921899999999999</v>
      </c>
      <c r="D407" s="1036">
        <v>8.1999999999999998E-4</v>
      </c>
      <c r="E407" s="999">
        <v>1.5E-3</v>
      </c>
      <c r="F407" s="1036">
        <v>1.6999999999999999E-3</v>
      </c>
      <c r="G407" s="1009">
        <v>2.9922</v>
      </c>
      <c r="H407" s="1029">
        <v>5.1000000000000004E-3</v>
      </c>
      <c r="I407" s="1046">
        <v>2</v>
      </c>
      <c r="J407" s="1010">
        <v>0</v>
      </c>
      <c r="K407" s="1002">
        <v>2</v>
      </c>
      <c r="L407" s="1011">
        <v>6.1000000000000004E-3</v>
      </c>
    </row>
    <row r="408" spans="1:12" s="227" customFormat="1" ht="15.6" customHeight="1" x14ac:dyDescent="0.2">
      <c r="A408" s="983"/>
      <c r="B408" s="983"/>
      <c r="C408" s="976"/>
      <c r="D408" s="976"/>
      <c r="E408" s="976"/>
      <c r="F408" s="984"/>
      <c r="G408" s="985"/>
      <c r="H408" s="985"/>
      <c r="I408" s="986"/>
      <c r="J408" s="987"/>
      <c r="K408" s="979"/>
      <c r="L408" s="988"/>
    </row>
    <row r="409" spans="1:12" s="227" customFormat="1" ht="15.6" customHeight="1" x14ac:dyDescent="0.2">
      <c r="A409" s="960" t="s">
        <v>1159</v>
      </c>
      <c r="B409" s="983"/>
      <c r="C409" s="976"/>
      <c r="D409" s="976"/>
      <c r="E409" s="976"/>
      <c r="F409" s="984"/>
      <c r="G409" s="985"/>
      <c r="H409" s="985"/>
      <c r="I409" s="986"/>
      <c r="J409" s="987"/>
      <c r="K409" s="979"/>
      <c r="L409" s="988"/>
    </row>
    <row r="410" spans="1:12" s="227" customFormat="1" ht="14.1" customHeight="1" x14ac:dyDescent="0.2">
      <c r="A410" s="961" t="s">
        <v>1082</v>
      </c>
      <c r="B410" s="961" t="s">
        <v>1083</v>
      </c>
      <c r="C410" s="962" t="s">
        <v>1084</v>
      </c>
      <c r="D410" s="626" t="s">
        <v>1085</v>
      </c>
      <c r="E410" s="952" t="s">
        <v>1086</v>
      </c>
      <c r="F410" s="626" t="s">
        <v>1087</v>
      </c>
      <c r="G410" s="963" t="s">
        <v>1088</v>
      </c>
      <c r="H410" s="626" t="s">
        <v>1089</v>
      </c>
      <c r="I410" s="626" t="s">
        <v>1090</v>
      </c>
      <c r="J410" s="964" t="s">
        <v>1091</v>
      </c>
      <c r="K410" s="965" t="s">
        <v>1092</v>
      </c>
      <c r="L410" s="966" t="s">
        <v>1093</v>
      </c>
    </row>
    <row r="411" spans="1:12" s="227" customFormat="1" ht="12.75" customHeight="1" x14ac:dyDescent="0.2">
      <c r="A411" s="967" t="s">
        <v>1094</v>
      </c>
      <c r="B411" s="967" t="s">
        <v>1095</v>
      </c>
      <c r="C411" s="968">
        <v>0.99992999999999999</v>
      </c>
      <c r="D411" s="1035">
        <v>6.4999999999999997E-4</v>
      </c>
      <c r="E411" s="969">
        <v>5.0000000000000001E-4</v>
      </c>
      <c r="F411" s="1035">
        <v>8.1999999999999998E-4</v>
      </c>
      <c r="G411" s="1004">
        <v>0.99929999999999997</v>
      </c>
      <c r="H411" s="1033">
        <v>1.2999999999999999E-3</v>
      </c>
      <c r="I411" s="1052">
        <v>2</v>
      </c>
      <c r="J411" s="1005">
        <v>-6.9999999999999999E-4</v>
      </c>
      <c r="K411" s="972">
        <v>2</v>
      </c>
      <c r="L411" s="1006">
        <v>2.0999999999999999E-3</v>
      </c>
    </row>
    <row r="412" spans="1:12" s="227" customFormat="1" ht="13.5" customHeight="1" x14ac:dyDescent="0.2">
      <c r="A412" s="974" t="s">
        <v>1096</v>
      </c>
      <c r="B412" s="974" t="s">
        <v>1097</v>
      </c>
      <c r="C412" s="975">
        <v>0.99868000000000001</v>
      </c>
      <c r="D412" s="1034">
        <v>1.2999999999999999E-4</v>
      </c>
      <c r="E412" s="976">
        <v>5.0000000000000001E-4</v>
      </c>
      <c r="F412" s="1034">
        <v>5.1999999999999995E-4</v>
      </c>
      <c r="G412" s="981">
        <v>0.99590000000000001</v>
      </c>
      <c r="H412" s="1031">
        <v>4.0000000000000001E-3</v>
      </c>
      <c r="I412" s="1043">
        <v>2</v>
      </c>
      <c r="J412" s="1007">
        <v>-2.8E-3</v>
      </c>
      <c r="K412" s="979">
        <v>2</v>
      </c>
      <c r="L412" s="1008">
        <v>4.1000000000000003E-3</v>
      </c>
    </row>
    <row r="413" spans="1:12" s="227" customFormat="1" ht="13.5" customHeight="1" x14ac:dyDescent="0.2">
      <c r="A413" s="974" t="s">
        <v>1098</v>
      </c>
      <c r="B413" s="974" t="s">
        <v>1099</v>
      </c>
      <c r="C413" s="975">
        <v>1.0009600000000001</v>
      </c>
      <c r="D413" s="1034">
        <v>1.2999999999999999E-4</v>
      </c>
      <c r="E413" s="976">
        <v>5.0000000000000001E-4</v>
      </c>
      <c r="F413" s="1034">
        <v>5.1999999999999995E-4</v>
      </c>
      <c r="G413" s="981">
        <v>0.997</v>
      </c>
      <c r="H413" s="1031">
        <v>3.2000000000000001E-2</v>
      </c>
      <c r="I413" s="1043">
        <v>2</v>
      </c>
      <c r="J413" s="1007">
        <v>-4.0000000000000001E-3</v>
      </c>
      <c r="K413" s="979">
        <v>2</v>
      </c>
      <c r="L413" s="1008">
        <v>3.2000000000000001E-2</v>
      </c>
    </row>
    <row r="414" spans="1:12" s="227" customFormat="1" ht="13.5" customHeight="1" x14ac:dyDescent="0.2">
      <c r="A414" s="974" t="s">
        <v>1100</v>
      </c>
      <c r="B414" s="974" t="s">
        <v>1101</v>
      </c>
      <c r="C414" s="975">
        <v>1.0024</v>
      </c>
      <c r="D414" s="1034">
        <v>1.2999999999999999E-4</v>
      </c>
      <c r="E414" s="976">
        <v>5.0000000000000001E-4</v>
      </c>
      <c r="F414" s="1034">
        <v>5.1999999999999995E-4</v>
      </c>
      <c r="G414" s="981">
        <v>1</v>
      </c>
      <c r="H414" s="1031">
        <v>5.0000000000000001E-3</v>
      </c>
      <c r="I414" s="1043">
        <v>2</v>
      </c>
      <c r="J414" s="1007">
        <v>-2.3999999999999998E-3</v>
      </c>
      <c r="K414" s="979">
        <v>2</v>
      </c>
      <c r="L414" s="1008">
        <v>5.1000000000000004E-3</v>
      </c>
    </row>
    <row r="415" spans="1:12" s="227" customFormat="1" ht="13.5" customHeight="1" x14ac:dyDescent="0.2">
      <c r="A415" s="974" t="s">
        <v>1102</v>
      </c>
      <c r="B415" s="974" t="s">
        <v>1103</v>
      </c>
      <c r="C415" s="975">
        <v>0.99904000000000004</v>
      </c>
      <c r="D415" s="1034">
        <v>1.2999999999999999E-4</v>
      </c>
      <c r="E415" s="976">
        <v>5.0000000000000001E-4</v>
      </c>
      <c r="F415" s="1034">
        <v>5.1999999999999995E-4</v>
      </c>
      <c r="G415" s="981">
        <v>0.99809999999999999</v>
      </c>
      <c r="H415" s="1031">
        <v>1.1999999999999999E-3</v>
      </c>
      <c r="I415" s="1047">
        <v>2.37</v>
      </c>
      <c r="J415" s="1007">
        <v>-8.9999999999999998E-4</v>
      </c>
      <c r="K415" s="979">
        <v>2</v>
      </c>
      <c r="L415" s="1008">
        <v>1.4E-3</v>
      </c>
    </row>
    <row r="416" spans="1:12" s="227" customFormat="1" ht="13.5" customHeight="1" x14ac:dyDescent="0.2">
      <c r="A416" s="974" t="s">
        <v>1104</v>
      </c>
      <c r="B416" s="974" t="s">
        <v>1105</v>
      </c>
      <c r="C416" s="975">
        <v>0.99958000000000002</v>
      </c>
      <c r="D416" s="1034">
        <v>1.2999999999999999E-4</v>
      </c>
      <c r="E416" s="976">
        <v>5.0000000000000001E-4</v>
      </c>
      <c r="F416" s="1034">
        <v>5.1999999999999995E-4</v>
      </c>
      <c r="G416" s="981">
        <v>0.99809999999999999</v>
      </c>
      <c r="H416" s="1031">
        <v>3.0000000000000001E-3</v>
      </c>
      <c r="I416" s="1043">
        <v>2</v>
      </c>
      <c r="J416" s="1007">
        <v>-1.5E-3</v>
      </c>
      <c r="K416" s="979">
        <v>2</v>
      </c>
      <c r="L416" s="1008">
        <v>3.2000000000000002E-3</v>
      </c>
    </row>
    <row r="417" spans="1:12" s="227" customFormat="1" ht="13.5" customHeight="1" x14ac:dyDescent="0.2">
      <c r="A417" s="974" t="s">
        <v>1106</v>
      </c>
      <c r="B417" s="974" t="s">
        <v>1107</v>
      </c>
      <c r="C417" s="975">
        <v>0.99824999999999997</v>
      </c>
      <c r="D417" s="1034">
        <v>6.4999999999999997E-4</v>
      </c>
      <c r="E417" s="976">
        <v>5.0000000000000001E-4</v>
      </c>
      <c r="F417" s="1034">
        <v>8.1999999999999998E-4</v>
      </c>
      <c r="G417" s="981">
        <v>0.999</v>
      </c>
      <c r="H417" s="1031">
        <v>3.0000000000000001E-3</v>
      </c>
      <c r="I417" s="1043">
        <v>2</v>
      </c>
      <c r="J417" s="1007">
        <v>8.0000000000000004E-4</v>
      </c>
      <c r="K417" s="979">
        <v>2</v>
      </c>
      <c r="L417" s="1008">
        <v>3.3999999999999998E-3</v>
      </c>
    </row>
    <row r="418" spans="1:12" s="227" customFormat="1" ht="13.5" customHeight="1" x14ac:dyDescent="0.2">
      <c r="A418" s="974" t="s">
        <v>1108</v>
      </c>
      <c r="B418" s="974" t="s">
        <v>1109</v>
      </c>
      <c r="C418" s="975">
        <v>1.0021</v>
      </c>
      <c r="D418" s="1034">
        <v>1.2999999999999999E-4</v>
      </c>
      <c r="E418" s="976">
        <v>5.0000000000000001E-4</v>
      </c>
      <c r="F418" s="1034">
        <v>5.1999999999999995E-4</v>
      </c>
      <c r="G418" s="981">
        <v>0.996</v>
      </c>
      <c r="H418" s="1031">
        <v>9.1999999999999998E-3</v>
      </c>
      <c r="I418" s="1043">
        <v>2</v>
      </c>
      <c r="J418" s="1007">
        <v>-6.1000000000000004E-3</v>
      </c>
      <c r="K418" s="979">
        <v>2</v>
      </c>
      <c r="L418" s="1008">
        <v>9.2999999999999992E-3</v>
      </c>
    </row>
    <row r="419" spans="1:12" s="227" customFormat="1" ht="13.5" customHeight="1" x14ac:dyDescent="0.2">
      <c r="A419" s="974" t="s">
        <v>1110</v>
      </c>
      <c r="B419" s="974" t="s">
        <v>1111</v>
      </c>
      <c r="C419" s="975">
        <v>0.99829999999999997</v>
      </c>
      <c r="D419" s="1034">
        <v>1.2999999999999999E-4</v>
      </c>
      <c r="E419" s="976">
        <v>5.0000000000000001E-4</v>
      </c>
      <c r="F419" s="1034">
        <v>5.1999999999999995E-4</v>
      </c>
      <c r="G419" s="981">
        <v>0.99829999999999997</v>
      </c>
      <c r="H419" s="1031">
        <v>5.7000000000000002E-3</v>
      </c>
      <c r="I419" s="1043">
        <v>2</v>
      </c>
      <c r="J419" s="1007">
        <v>0</v>
      </c>
      <c r="K419" s="979">
        <v>2</v>
      </c>
      <c r="L419" s="1008">
        <v>5.7999999999999996E-3</v>
      </c>
    </row>
    <row r="420" spans="1:12" s="227" customFormat="1" ht="13.5" customHeight="1" x14ac:dyDescent="0.2">
      <c r="A420" s="974" t="s">
        <v>1112</v>
      </c>
      <c r="B420" s="974" t="s">
        <v>1113</v>
      </c>
      <c r="C420" s="975">
        <v>0.99778</v>
      </c>
      <c r="D420" s="1034">
        <v>1.2999999999999999E-4</v>
      </c>
      <c r="E420" s="976">
        <v>5.0000000000000001E-4</v>
      </c>
      <c r="F420" s="1034">
        <v>5.1999999999999995E-4</v>
      </c>
      <c r="G420" s="981">
        <v>0.99860000000000004</v>
      </c>
      <c r="H420" s="1031">
        <v>5.0000000000000001E-3</v>
      </c>
      <c r="I420" s="1043">
        <v>2</v>
      </c>
      <c r="J420" s="1007">
        <v>8.0000000000000004E-4</v>
      </c>
      <c r="K420" s="979">
        <v>2</v>
      </c>
      <c r="L420" s="1008">
        <v>5.1000000000000004E-3</v>
      </c>
    </row>
    <row r="421" spans="1:12" s="227" customFormat="1" ht="13.5" customHeight="1" x14ac:dyDescent="0.2">
      <c r="A421" s="974" t="s">
        <v>1114</v>
      </c>
      <c r="B421" s="974" t="s">
        <v>1115</v>
      </c>
      <c r="C421" s="975">
        <v>1.0027600000000001</v>
      </c>
      <c r="D421" s="1034">
        <v>1.2E-4</v>
      </c>
      <c r="E421" s="976">
        <v>5.0000000000000001E-4</v>
      </c>
      <c r="F421" s="1034">
        <v>5.1999999999999995E-4</v>
      </c>
      <c r="G421" s="981">
        <v>1.002</v>
      </c>
      <c r="H421" s="1031">
        <v>2E-3</v>
      </c>
      <c r="I421" s="1047">
        <v>2.1800000000000002</v>
      </c>
      <c r="J421" s="1007">
        <v>-8.0000000000000004E-4</v>
      </c>
      <c r="K421" s="979">
        <v>2</v>
      </c>
      <c r="L421" s="1008">
        <v>2.0999999999999999E-3</v>
      </c>
    </row>
    <row r="422" spans="1:12" s="227" customFormat="1" ht="13.5" customHeight="1" x14ac:dyDescent="0.2">
      <c r="A422" s="974" t="s">
        <v>1116</v>
      </c>
      <c r="B422" s="974" t="s">
        <v>1117</v>
      </c>
      <c r="C422" s="975">
        <v>0.99999000000000005</v>
      </c>
      <c r="D422" s="1034">
        <v>1.2999999999999999E-4</v>
      </c>
      <c r="E422" s="976">
        <v>5.0000000000000001E-4</v>
      </c>
      <c r="F422" s="1034">
        <v>5.1999999999999995E-4</v>
      </c>
      <c r="G422" s="981">
        <v>1.0001</v>
      </c>
      <c r="H422" s="1031">
        <v>4.3E-3</v>
      </c>
      <c r="I422" s="1043">
        <v>2</v>
      </c>
      <c r="J422" s="1007">
        <v>1E-4</v>
      </c>
      <c r="K422" s="979">
        <v>2</v>
      </c>
      <c r="L422" s="1008">
        <v>4.4000000000000003E-3</v>
      </c>
    </row>
    <row r="423" spans="1:12" s="227" customFormat="1" ht="13.5" customHeight="1" x14ac:dyDescent="0.2">
      <c r="A423" s="974" t="s">
        <v>1118</v>
      </c>
      <c r="B423" s="974" t="s">
        <v>1119</v>
      </c>
      <c r="C423" s="975">
        <v>0.99682999999999999</v>
      </c>
      <c r="D423" s="1034">
        <v>1.2999999999999999E-4</v>
      </c>
      <c r="E423" s="976">
        <v>5.0000000000000001E-4</v>
      </c>
      <c r="F423" s="1034">
        <v>5.1000000000000004E-4</v>
      </c>
      <c r="G423" s="981">
        <v>0.99299999999999999</v>
      </c>
      <c r="H423" s="1031">
        <v>1.4999999999999999E-2</v>
      </c>
      <c r="I423" s="1043">
        <v>2</v>
      </c>
      <c r="J423" s="1007">
        <v>-3.8E-3</v>
      </c>
      <c r="K423" s="979">
        <v>2</v>
      </c>
      <c r="L423" s="1008">
        <v>1.4999999999999999E-2</v>
      </c>
    </row>
    <row r="424" spans="1:12" s="227" customFormat="1" ht="13.5" customHeight="1" x14ac:dyDescent="0.2">
      <c r="A424" s="974" t="s">
        <v>1120</v>
      </c>
      <c r="B424" s="974" t="s">
        <v>1121</v>
      </c>
      <c r="C424" s="975">
        <v>0.99890000000000001</v>
      </c>
      <c r="D424" s="1034">
        <v>1.2999999999999999E-4</v>
      </c>
      <c r="E424" s="976">
        <v>5.0000000000000001E-4</v>
      </c>
      <c r="F424" s="1034">
        <v>5.1999999999999995E-4</v>
      </c>
      <c r="G424" s="981">
        <v>0.99719999999999998</v>
      </c>
      <c r="H424" s="1031">
        <v>7.0000000000000001E-3</v>
      </c>
      <c r="I424" s="1043">
        <v>2</v>
      </c>
      <c r="J424" s="1007">
        <v>-1.6999999999999999E-3</v>
      </c>
      <c r="K424" s="979">
        <v>2</v>
      </c>
      <c r="L424" s="1008">
        <v>7.1000000000000004E-3</v>
      </c>
    </row>
    <row r="425" spans="1:12" s="227" customFormat="1" ht="13.5" customHeight="1" x14ac:dyDescent="0.2">
      <c r="A425" s="974" t="s">
        <v>1122</v>
      </c>
      <c r="B425" s="974" t="s">
        <v>1123</v>
      </c>
      <c r="C425" s="975">
        <v>1.00675</v>
      </c>
      <c r="D425" s="1034">
        <v>1.2E-4</v>
      </c>
      <c r="E425" s="976">
        <v>5.0000000000000001E-4</v>
      </c>
      <c r="F425" s="1034">
        <v>5.1999999999999995E-4</v>
      </c>
      <c r="G425" s="981">
        <v>1.008</v>
      </c>
      <c r="H425" s="1031">
        <v>1.5100000000000001E-2</v>
      </c>
      <c r="I425" s="1043">
        <v>2</v>
      </c>
      <c r="J425" s="1007">
        <v>1.2999999999999999E-3</v>
      </c>
      <c r="K425" s="979">
        <v>2</v>
      </c>
      <c r="L425" s="1008">
        <v>1.52E-2</v>
      </c>
    </row>
    <row r="426" spans="1:12" s="227" customFormat="1" ht="15.6" customHeight="1" x14ac:dyDescent="0.2">
      <c r="A426" s="997" t="s">
        <v>1124</v>
      </c>
      <c r="B426" s="997" t="s">
        <v>1125</v>
      </c>
      <c r="C426" s="998">
        <v>1.0074000000000001</v>
      </c>
      <c r="D426" s="1036">
        <v>1.2E-4</v>
      </c>
      <c r="E426" s="999">
        <v>5.0000000000000001E-4</v>
      </c>
      <c r="F426" s="1036">
        <v>5.1999999999999995E-4</v>
      </c>
      <c r="G426" s="1009">
        <v>1.0078</v>
      </c>
      <c r="H426" s="1029">
        <v>2.3999999999999998E-3</v>
      </c>
      <c r="I426" s="1046">
        <v>2</v>
      </c>
      <c r="J426" s="1010">
        <v>4.0000000000000002E-4</v>
      </c>
      <c r="K426" s="1002">
        <v>2</v>
      </c>
      <c r="L426" s="1011">
        <v>2.5999999999999999E-3</v>
      </c>
    </row>
    <row r="427" spans="1:12" s="227" customFormat="1" ht="15.6" customHeight="1" x14ac:dyDescent="0.2">
      <c r="A427" s="983"/>
      <c r="B427" s="983"/>
      <c r="C427" s="976"/>
      <c r="D427" s="976"/>
      <c r="E427" s="976"/>
      <c r="F427" s="984"/>
      <c r="G427" s="985"/>
      <c r="H427" s="985"/>
      <c r="I427" s="986"/>
      <c r="J427" s="987"/>
      <c r="K427" s="979"/>
      <c r="L427" s="988"/>
    </row>
    <row r="428" spans="1:12" s="227" customFormat="1" ht="15.6" customHeight="1" x14ac:dyDescent="0.2">
      <c r="A428" s="960" t="s">
        <v>1160</v>
      </c>
      <c r="B428" s="983"/>
      <c r="C428" s="976"/>
      <c r="D428" s="976"/>
      <c r="E428" s="976"/>
      <c r="F428" s="984"/>
      <c r="G428" s="985"/>
      <c r="H428" s="985"/>
      <c r="I428" s="986"/>
      <c r="J428" s="987"/>
      <c r="K428" s="979"/>
      <c r="L428" s="988"/>
    </row>
    <row r="429" spans="1:12" s="227" customFormat="1" ht="14.1" customHeight="1" x14ac:dyDescent="0.2">
      <c r="A429" s="961" t="s">
        <v>1082</v>
      </c>
      <c r="B429" s="961" t="s">
        <v>1083</v>
      </c>
      <c r="C429" s="962" t="s">
        <v>1084</v>
      </c>
      <c r="D429" s="626" t="s">
        <v>1085</v>
      </c>
      <c r="E429" s="952" t="s">
        <v>1086</v>
      </c>
      <c r="F429" s="626" t="s">
        <v>1087</v>
      </c>
      <c r="G429" s="963" t="s">
        <v>1088</v>
      </c>
      <c r="H429" s="626" t="s">
        <v>1089</v>
      </c>
      <c r="I429" s="626" t="s">
        <v>1090</v>
      </c>
      <c r="J429" s="964" t="s">
        <v>1091</v>
      </c>
      <c r="K429" s="965" t="s">
        <v>1092</v>
      </c>
      <c r="L429" s="966" t="s">
        <v>1093</v>
      </c>
    </row>
    <row r="430" spans="1:12" s="227" customFormat="1" ht="12.75" customHeight="1" x14ac:dyDescent="0.2">
      <c r="A430" s="967" t="s">
        <v>1094</v>
      </c>
      <c r="B430" s="967" t="s">
        <v>1126</v>
      </c>
      <c r="C430" s="968">
        <v>0.50016000000000005</v>
      </c>
      <c r="D430" s="1035">
        <v>3.4000000000000002E-4</v>
      </c>
      <c r="E430" s="969">
        <v>2.5000000000000001E-4</v>
      </c>
      <c r="F430" s="1035">
        <v>4.2000000000000002E-4</v>
      </c>
      <c r="G430" s="1004">
        <v>0.5</v>
      </c>
      <c r="H430" s="1033">
        <v>6.9999999999999999E-4</v>
      </c>
      <c r="I430" s="1052">
        <v>2</v>
      </c>
      <c r="J430" s="1005">
        <v>-2.0000000000000001E-4</v>
      </c>
      <c r="K430" s="972">
        <v>2</v>
      </c>
      <c r="L430" s="1006">
        <v>1.1000000000000001E-3</v>
      </c>
    </row>
    <row r="431" spans="1:12" s="227" customFormat="1" ht="13.5" customHeight="1" x14ac:dyDescent="0.2">
      <c r="A431" s="974" t="s">
        <v>1096</v>
      </c>
      <c r="B431" s="974" t="s">
        <v>1127</v>
      </c>
      <c r="C431" s="975">
        <v>0.50016000000000005</v>
      </c>
      <c r="D431" s="1034">
        <v>3.4000000000000002E-4</v>
      </c>
      <c r="E431" s="976">
        <v>2.5000000000000001E-4</v>
      </c>
      <c r="F431" s="1034">
        <v>4.2000000000000002E-4</v>
      </c>
      <c r="G431" s="981">
        <v>0.50690000000000002</v>
      </c>
      <c r="H431" s="1031">
        <v>2.5000000000000001E-3</v>
      </c>
      <c r="I431" s="1043">
        <v>2</v>
      </c>
      <c r="J431" s="1007">
        <v>6.7000000000000002E-3</v>
      </c>
      <c r="K431" s="979">
        <v>2</v>
      </c>
      <c r="L431" s="1008">
        <v>2.5999999999999999E-3</v>
      </c>
    </row>
    <row r="432" spans="1:12" s="227" customFormat="1" ht="13.5" customHeight="1" x14ac:dyDescent="0.2">
      <c r="A432" s="974" t="s">
        <v>1098</v>
      </c>
      <c r="B432" s="974" t="s">
        <v>1128</v>
      </c>
      <c r="C432" s="975">
        <v>0.49963000000000002</v>
      </c>
      <c r="D432" s="1034">
        <v>3.4000000000000002E-4</v>
      </c>
      <c r="E432" s="976">
        <v>2.5000000000000001E-4</v>
      </c>
      <c r="F432" s="1034">
        <v>4.2000000000000002E-4</v>
      </c>
      <c r="G432" s="981">
        <v>0.502</v>
      </c>
      <c r="H432" s="1031">
        <v>1.6E-2</v>
      </c>
      <c r="I432" s="1043">
        <v>2</v>
      </c>
      <c r="J432" s="1007">
        <v>2.3999999999999998E-3</v>
      </c>
      <c r="K432" s="979">
        <v>2</v>
      </c>
      <c r="L432" s="1008">
        <v>1.6E-2</v>
      </c>
    </row>
    <row r="433" spans="1:12" s="227" customFormat="1" ht="13.5" customHeight="1" x14ac:dyDescent="0.2">
      <c r="A433" s="974" t="s">
        <v>1100</v>
      </c>
      <c r="B433" s="974" t="s">
        <v>1129</v>
      </c>
      <c r="C433" s="975">
        <v>0.49997999999999998</v>
      </c>
      <c r="D433" s="1034">
        <v>3.4000000000000002E-4</v>
      </c>
      <c r="E433" s="976">
        <v>2.5000000000000001E-4</v>
      </c>
      <c r="F433" s="1034">
        <v>4.2000000000000002E-4</v>
      </c>
      <c r="G433" s="981">
        <v>0.499</v>
      </c>
      <c r="H433" s="1031">
        <v>3.0000000000000001E-3</v>
      </c>
      <c r="I433" s="1043">
        <v>2</v>
      </c>
      <c r="J433" s="1007">
        <v>-1E-3</v>
      </c>
      <c r="K433" s="979">
        <v>2</v>
      </c>
      <c r="L433" s="1008">
        <v>3.0999999999999999E-3</v>
      </c>
    </row>
    <row r="434" spans="1:12" s="227" customFormat="1" ht="13.5" customHeight="1" x14ac:dyDescent="0.2">
      <c r="A434" s="974" t="s">
        <v>1102</v>
      </c>
      <c r="B434" s="974" t="s">
        <v>1130</v>
      </c>
      <c r="C434" s="975">
        <v>0.49992999999999999</v>
      </c>
      <c r="D434" s="1034">
        <v>3.3E-4</v>
      </c>
      <c r="E434" s="976">
        <v>2.5000000000000001E-4</v>
      </c>
      <c r="F434" s="1034">
        <v>4.2000000000000002E-4</v>
      </c>
      <c r="G434" s="981">
        <v>0.50060000000000004</v>
      </c>
      <c r="H434" s="1031">
        <v>6.9999999999999999E-4</v>
      </c>
      <c r="I434" s="1047">
        <v>2.25</v>
      </c>
      <c r="J434" s="1007">
        <v>6.9999999999999999E-4</v>
      </c>
      <c r="K434" s="979">
        <v>2</v>
      </c>
      <c r="L434" s="1008">
        <v>1E-3</v>
      </c>
    </row>
    <row r="435" spans="1:12" s="227" customFormat="1" ht="13.5" customHeight="1" x14ac:dyDescent="0.2">
      <c r="A435" s="974" t="s">
        <v>1104</v>
      </c>
      <c r="B435" s="974" t="s">
        <v>1131</v>
      </c>
      <c r="C435" s="975">
        <v>0.49791999999999997</v>
      </c>
      <c r="D435" s="1034">
        <v>3.3E-4</v>
      </c>
      <c r="E435" s="976">
        <v>2.5000000000000001E-4</v>
      </c>
      <c r="F435" s="1034">
        <v>4.2000000000000002E-4</v>
      </c>
      <c r="G435" s="981">
        <v>0.49830000000000002</v>
      </c>
      <c r="H435" s="1031">
        <v>2.3E-3</v>
      </c>
      <c r="I435" s="1043">
        <v>2</v>
      </c>
      <c r="J435" s="1007">
        <v>4.0000000000000002E-4</v>
      </c>
      <c r="K435" s="979">
        <v>2</v>
      </c>
      <c r="L435" s="1008">
        <v>2.3999999999999998E-3</v>
      </c>
    </row>
    <row r="436" spans="1:12" s="227" customFormat="1" ht="13.5" customHeight="1" x14ac:dyDescent="0.2">
      <c r="A436" s="974" t="s">
        <v>1106</v>
      </c>
      <c r="B436" s="974" t="s">
        <v>1132</v>
      </c>
      <c r="C436" s="975">
        <v>0.49952000000000002</v>
      </c>
      <c r="D436" s="1034">
        <v>3.4000000000000002E-4</v>
      </c>
      <c r="E436" s="976">
        <v>2.5000000000000001E-4</v>
      </c>
      <c r="F436" s="1034">
        <v>4.2000000000000002E-4</v>
      </c>
      <c r="G436" s="981">
        <v>0.49959999999999999</v>
      </c>
      <c r="H436" s="1031">
        <v>1.5E-3</v>
      </c>
      <c r="I436" s="1043">
        <v>2</v>
      </c>
      <c r="J436" s="1007">
        <v>1E-4</v>
      </c>
      <c r="K436" s="979">
        <v>2</v>
      </c>
      <c r="L436" s="1008">
        <v>1.6999999999999999E-3</v>
      </c>
    </row>
    <row r="437" spans="1:12" s="227" customFormat="1" ht="13.5" customHeight="1" x14ac:dyDescent="0.2">
      <c r="A437" s="974" t="s">
        <v>1108</v>
      </c>
      <c r="B437" s="974" t="s">
        <v>1133</v>
      </c>
      <c r="C437" s="975">
        <v>0.50056999999999996</v>
      </c>
      <c r="D437" s="1034">
        <v>3.4000000000000002E-4</v>
      </c>
      <c r="E437" s="976">
        <v>2.5000000000000001E-4</v>
      </c>
      <c r="F437" s="1034">
        <v>4.2000000000000002E-4</v>
      </c>
      <c r="G437" s="981">
        <v>0.501</v>
      </c>
      <c r="H437" s="1031">
        <v>6.4999999999999997E-3</v>
      </c>
      <c r="I437" s="1043">
        <v>2</v>
      </c>
      <c r="J437" s="1007">
        <v>4.0000000000000002E-4</v>
      </c>
      <c r="K437" s="979">
        <v>2</v>
      </c>
      <c r="L437" s="1008">
        <v>6.6E-3</v>
      </c>
    </row>
    <row r="438" spans="1:12" s="227" customFormat="1" ht="13.5" customHeight="1" x14ac:dyDescent="0.2">
      <c r="A438" s="974" t="s">
        <v>1110</v>
      </c>
      <c r="B438" s="974" t="s">
        <v>1134</v>
      </c>
      <c r="C438" s="975">
        <v>0.49974000000000002</v>
      </c>
      <c r="D438" s="1034">
        <v>3.4000000000000002E-4</v>
      </c>
      <c r="E438" s="976">
        <v>2.5000000000000001E-4</v>
      </c>
      <c r="F438" s="1034">
        <v>4.2000000000000002E-4</v>
      </c>
      <c r="G438" s="981">
        <v>0.49819999999999998</v>
      </c>
      <c r="H438" s="1031">
        <v>5.4000000000000003E-3</v>
      </c>
      <c r="I438" s="1043">
        <v>2</v>
      </c>
      <c r="J438" s="1007">
        <v>-1.5E-3</v>
      </c>
      <c r="K438" s="979">
        <v>2</v>
      </c>
      <c r="L438" s="1008">
        <v>5.4999999999999997E-3</v>
      </c>
    </row>
    <row r="439" spans="1:12" s="227" customFormat="1" ht="13.5" customHeight="1" x14ac:dyDescent="0.2">
      <c r="A439" s="974" t="s">
        <v>1112</v>
      </c>
      <c r="B439" s="974" t="s">
        <v>1135</v>
      </c>
      <c r="C439" s="975">
        <v>0.50000999999999995</v>
      </c>
      <c r="D439" s="1034">
        <v>3.4000000000000002E-4</v>
      </c>
      <c r="E439" s="976">
        <v>2.5000000000000001E-4</v>
      </c>
      <c r="F439" s="1034">
        <v>4.2000000000000002E-4</v>
      </c>
      <c r="G439" s="981">
        <v>0.50029999999999997</v>
      </c>
      <c r="H439" s="1031">
        <v>2.5000000000000001E-3</v>
      </c>
      <c r="I439" s="1043">
        <v>2</v>
      </c>
      <c r="J439" s="1007">
        <v>2.9999999999999997E-4</v>
      </c>
      <c r="K439" s="979">
        <v>2</v>
      </c>
      <c r="L439" s="1008">
        <v>2.5999999999999999E-3</v>
      </c>
    </row>
    <row r="440" spans="1:12" s="227" customFormat="1" ht="13.5" customHeight="1" x14ac:dyDescent="0.2">
      <c r="A440" s="974" t="s">
        <v>1114</v>
      </c>
      <c r="B440" s="974" t="s">
        <v>1136</v>
      </c>
      <c r="C440" s="975">
        <v>0.49806</v>
      </c>
      <c r="D440" s="1034">
        <v>3.3E-4</v>
      </c>
      <c r="E440" s="976">
        <v>2.5000000000000001E-4</v>
      </c>
      <c r="F440" s="1034">
        <v>4.2000000000000002E-4</v>
      </c>
      <c r="G440" s="981">
        <v>0.49759999999999999</v>
      </c>
      <c r="H440" s="1031">
        <v>1.4E-3</v>
      </c>
      <c r="I440" s="1047">
        <v>2.1800000000000002</v>
      </c>
      <c r="J440" s="1007">
        <v>-5.0000000000000001E-4</v>
      </c>
      <c r="K440" s="979">
        <v>2</v>
      </c>
      <c r="L440" s="1008">
        <v>1.5E-3</v>
      </c>
    </row>
    <row r="441" spans="1:12" s="227" customFormat="1" ht="13.5" customHeight="1" x14ac:dyDescent="0.2">
      <c r="A441" s="974" t="s">
        <v>1116</v>
      </c>
      <c r="B441" s="974" t="s">
        <v>1137</v>
      </c>
      <c r="C441" s="975">
        <v>0.50248000000000004</v>
      </c>
      <c r="D441" s="1034">
        <v>3.4000000000000002E-4</v>
      </c>
      <c r="E441" s="976">
        <v>2.5000000000000001E-4</v>
      </c>
      <c r="F441" s="1034">
        <v>4.2000000000000002E-4</v>
      </c>
      <c r="G441" s="981">
        <v>0.50329999999999997</v>
      </c>
      <c r="H441" s="1031">
        <v>3.5000000000000001E-3</v>
      </c>
      <c r="I441" s="1043">
        <v>2</v>
      </c>
      <c r="J441" s="1007">
        <v>8.0000000000000004E-4</v>
      </c>
      <c r="K441" s="979">
        <v>2</v>
      </c>
      <c r="L441" s="1008">
        <v>3.5999999999999999E-3</v>
      </c>
    </row>
    <row r="442" spans="1:12" s="227" customFormat="1" ht="13.5" customHeight="1" x14ac:dyDescent="0.2">
      <c r="A442" s="974" t="s">
        <v>1118</v>
      </c>
      <c r="B442" s="974" t="s">
        <v>1138</v>
      </c>
      <c r="C442" s="975">
        <v>0.49969000000000002</v>
      </c>
      <c r="D442" s="1034">
        <v>3.4000000000000002E-4</v>
      </c>
      <c r="E442" s="976">
        <v>2.5000000000000001E-4</v>
      </c>
      <c r="F442" s="1034">
        <v>4.2000000000000002E-4</v>
      </c>
      <c r="G442" s="981">
        <v>0.504</v>
      </c>
      <c r="H442" s="1031">
        <v>0.01</v>
      </c>
      <c r="I442" s="1043">
        <v>2</v>
      </c>
      <c r="J442" s="1007">
        <v>4.3E-3</v>
      </c>
      <c r="K442" s="979">
        <v>2</v>
      </c>
      <c r="L442" s="1008">
        <v>0.01</v>
      </c>
    </row>
    <row r="443" spans="1:12" s="227" customFormat="1" ht="13.5" customHeight="1" x14ac:dyDescent="0.2">
      <c r="A443" s="974" t="s">
        <v>1120</v>
      </c>
      <c r="B443" s="974" t="s">
        <v>1139</v>
      </c>
      <c r="C443" s="975">
        <v>0.49998999999999999</v>
      </c>
      <c r="D443" s="1034">
        <v>3.3E-4</v>
      </c>
      <c r="E443" s="976">
        <v>2.5000000000000001E-4</v>
      </c>
      <c r="F443" s="1034">
        <v>4.2000000000000002E-4</v>
      </c>
      <c r="G443" s="981">
        <v>0.50149999999999995</v>
      </c>
      <c r="H443" s="1031">
        <v>2.5000000000000001E-3</v>
      </c>
      <c r="I443" s="1043">
        <v>2</v>
      </c>
      <c r="J443" s="1007">
        <v>1.5E-3</v>
      </c>
      <c r="K443" s="979">
        <v>2</v>
      </c>
      <c r="L443" s="1008">
        <v>2.5999999999999999E-3</v>
      </c>
    </row>
    <row r="444" spans="1:12" s="227" customFormat="1" ht="13.5" customHeight="1" x14ac:dyDescent="0.2">
      <c r="A444" s="974" t="s">
        <v>1122</v>
      </c>
      <c r="B444" s="974" t="s">
        <v>1140</v>
      </c>
      <c r="C444" s="975">
        <v>0.50034999999999996</v>
      </c>
      <c r="D444" s="1034">
        <v>3.4000000000000002E-4</v>
      </c>
      <c r="E444" s="976">
        <v>2.5000000000000001E-4</v>
      </c>
      <c r="F444" s="1034">
        <v>4.2000000000000002E-4</v>
      </c>
      <c r="G444" s="981">
        <v>0.50260000000000005</v>
      </c>
      <c r="H444" s="1031">
        <v>7.4999999999999997E-3</v>
      </c>
      <c r="I444" s="1043">
        <v>2</v>
      </c>
      <c r="J444" s="1007">
        <v>2.2000000000000001E-3</v>
      </c>
      <c r="K444" s="979">
        <v>2</v>
      </c>
      <c r="L444" s="1008">
        <v>7.6E-3</v>
      </c>
    </row>
    <row r="445" spans="1:12" s="227" customFormat="1" ht="15.6" customHeight="1" x14ac:dyDescent="0.2">
      <c r="A445" s="997" t="s">
        <v>1124</v>
      </c>
      <c r="B445" s="997" t="s">
        <v>1141</v>
      </c>
      <c r="C445" s="998">
        <v>0.4995</v>
      </c>
      <c r="D445" s="1036">
        <v>3.4000000000000002E-4</v>
      </c>
      <c r="E445" s="999">
        <v>2.5000000000000001E-4</v>
      </c>
      <c r="F445" s="1036">
        <v>4.2000000000000002E-4</v>
      </c>
      <c r="G445" s="1009">
        <v>0.49990000000000001</v>
      </c>
      <c r="H445" s="1029">
        <v>1.1999999999999999E-3</v>
      </c>
      <c r="I445" s="1046">
        <v>2</v>
      </c>
      <c r="J445" s="1010">
        <v>4.0000000000000002E-4</v>
      </c>
      <c r="K445" s="1002">
        <v>2</v>
      </c>
      <c r="L445" s="1011">
        <v>1.5E-3</v>
      </c>
    </row>
    <row r="446" spans="1:12" s="227" customFormat="1" ht="15.6" customHeight="1" x14ac:dyDescent="0.2">
      <c r="A446" s="983"/>
      <c r="B446" s="983"/>
      <c r="C446" s="976"/>
      <c r="D446" s="976"/>
      <c r="E446" s="976"/>
      <c r="F446" s="984"/>
      <c r="G446" s="985"/>
      <c r="H446" s="985"/>
      <c r="I446" s="986"/>
      <c r="J446" s="987"/>
      <c r="K446" s="979"/>
      <c r="L446" s="988"/>
    </row>
    <row r="447" spans="1:12" s="227" customFormat="1" ht="15.6" customHeight="1" x14ac:dyDescent="0.2">
      <c r="A447" s="960" t="s">
        <v>1161</v>
      </c>
      <c r="B447" s="983"/>
      <c r="C447" s="976"/>
      <c r="D447" s="976"/>
      <c r="E447" s="976"/>
      <c r="F447" s="984"/>
      <c r="G447" s="985"/>
      <c r="H447" s="985"/>
      <c r="I447" s="986"/>
      <c r="J447" s="987"/>
      <c r="K447" s="979"/>
      <c r="L447" s="988"/>
    </row>
    <row r="448" spans="1:12" s="227" customFormat="1" ht="14.1" customHeight="1" x14ac:dyDescent="0.2">
      <c r="A448" s="961" t="s">
        <v>1082</v>
      </c>
      <c r="B448" s="961" t="s">
        <v>1083</v>
      </c>
      <c r="C448" s="962" t="s">
        <v>1084</v>
      </c>
      <c r="D448" s="626" t="s">
        <v>1085</v>
      </c>
      <c r="E448" s="952" t="s">
        <v>1086</v>
      </c>
      <c r="F448" s="626" t="s">
        <v>1087</v>
      </c>
      <c r="G448" s="962" t="s">
        <v>1088</v>
      </c>
      <c r="H448" s="626" t="s">
        <v>1089</v>
      </c>
      <c r="I448" s="626" t="s">
        <v>1090</v>
      </c>
      <c r="J448" s="964" t="s">
        <v>1091</v>
      </c>
      <c r="K448" s="965" t="s">
        <v>1092</v>
      </c>
      <c r="L448" s="966" t="s">
        <v>1093</v>
      </c>
    </row>
    <row r="449" spans="1:12" s="227" customFormat="1" ht="12.75" customHeight="1" x14ac:dyDescent="0.2">
      <c r="A449" s="967" t="s">
        <v>1094</v>
      </c>
      <c r="B449" s="967" t="s">
        <v>1095</v>
      </c>
      <c r="C449" s="1012">
        <v>0.200292</v>
      </c>
      <c r="D449" s="1040">
        <v>1.5200000000000001E-4</v>
      </c>
      <c r="E449" s="1013">
        <v>1E-4</v>
      </c>
      <c r="F449" s="1040">
        <v>1.8200000000000001E-4</v>
      </c>
      <c r="G449" s="968">
        <v>0.20050000000000001</v>
      </c>
      <c r="H449" s="1035">
        <v>7.2000000000000005E-4</v>
      </c>
      <c r="I449" s="1052">
        <v>2</v>
      </c>
      <c r="J449" s="1005">
        <v>2.0000000000000001E-4</v>
      </c>
      <c r="K449" s="972">
        <v>2</v>
      </c>
      <c r="L449" s="1006">
        <v>8.0000000000000004E-4</v>
      </c>
    </row>
    <row r="450" spans="1:12" s="227" customFormat="1" ht="13.5" customHeight="1" x14ac:dyDescent="0.2">
      <c r="A450" s="974" t="s">
        <v>1096</v>
      </c>
      <c r="B450" s="974" t="s">
        <v>1097</v>
      </c>
      <c r="C450" s="1014">
        <v>0.20033899999999999</v>
      </c>
      <c r="D450" s="1038">
        <v>6.7999999999999999E-5</v>
      </c>
      <c r="E450" s="1015">
        <v>1E-4</v>
      </c>
      <c r="F450" s="1038">
        <v>1.21E-4</v>
      </c>
      <c r="G450" s="975">
        <v>0.20061000000000001</v>
      </c>
      <c r="H450" s="1034">
        <v>8.0000000000000004E-4</v>
      </c>
      <c r="I450" s="1043">
        <v>2</v>
      </c>
      <c r="J450" s="1007">
        <v>2.9999999999999997E-4</v>
      </c>
      <c r="K450" s="979">
        <v>2</v>
      </c>
      <c r="L450" s="1008">
        <v>8.0000000000000004E-4</v>
      </c>
    </row>
    <row r="451" spans="1:12" s="227" customFormat="1" ht="13.5" customHeight="1" x14ac:dyDescent="0.2">
      <c r="A451" s="974" t="s">
        <v>1098</v>
      </c>
      <c r="B451" s="974" t="s">
        <v>1099</v>
      </c>
      <c r="C451" s="1014">
        <v>0.20103299999999999</v>
      </c>
      <c r="D451" s="1038">
        <v>6.8999999999999997E-5</v>
      </c>
      <c r="E451" s="1015">
        <v>1.01E-4</v>
      </c>
      <c r="F451" s="1038">
        <v>1.22E-4</v>
      </c>
      <c r="G451" s="975">
        <v>0.20300000000000001</v>
      </c>
      <c r="H451" s="1034">
        <v>8.9999999999999993E-3</v>
      </c>
      <c r="I451" s="1043">
        <v>2</v>
      </c>
      <c r="J451" s="1007">
        <v>2E-3</v>
      </c>
      <c r="K451" s="979">
        <v>2</v>
      </c>
      <c r="L451" s="1008">
        <v>8.9999999999999993E-3</v>
      </c>
    </row>
    <row r="452" spans="1:12" s="227" customFormat="1" ht="13.5" customHeight="1" x14ac:dyDescent="0.2">
      <c r="A452" s="974" t="s">
        <v>1100</v>
      </c>
      <c r="B452" s="974" t="s">
        <v>1101</v>
      </c>
      <c r="C452" s="1014">
        <v>0.20055700000000001</v>
      </c>
      <c r="D452" s="1038">
        <v>6.7000000000000002E-5</v>
      </c>
      <c r="E452" s="1015">
        <v>1E-4</v>
      </c>
      <c r="F452" s="1038">
        <v>1.21E-4</v>
      </c>
      <c r="G452" s="975">
        <v>0.19989999999999999</v>
      </c>
      <c r="H452" s="1034">
        <v>1.6000000000000001E-3</v>
      </c>
      <c r="I452" s="1043">
        <v>2</v>
      </c>
      <c r="J452" s="1007">
        <v>-6.9999999999999999E-4</v>
      </c>
      <c r="K452" s="979">
        <v>2</v>
      </c>
      <c r="L452" s="1008">
        <v>1.6000000000000001E-3</v>
      </c>
    </row>
    <row r="453" spans="1:12" s="227" customFormat="1" ht="13.5" customHeight="1" x14ac:dyDescent="0.2">
      <c r="A453" s="974" t="s">
        <v>1102</v>
      </c>
      <c r="B453" s="974" t="s">
        <v>1103</v>
      </c>
      <c r="C453" s="1014">
        <v>0.20064799999999999</v>
      </c>
      <c r="D453" s="1038">
        <v>6.7999999999999999E-5</v>
      </c>
      <c r="E453" s="1015">
        <v>1E-4</v>
      </c>
      <c r="F453" s="1038">
        <v>1.21E-4</v>
      </c>
      <c r="G453" s="975">
        <v>0.20030000000000001</v>
      </c>
      <c r="H453" s="1034">
        <v>6.9999999999999999E-4</v>
      </c>
      <c r="I453" s="1047">
        <v>2.4300000000000002</v>
      </c>
      <c r="J453" s="1007">
        <v>-2.9999999999999997E-4</v>
      </c>
      <c r="K453" s="979">
        <v>2</v>
      </c>
      <c r="L453" s="1008">
        <v>5.9999999999999995E-4</v>
      </c>
    </row>
    <row r="454" spans="1:12" s="227" customFormat="1" ht="13.5" customHeight="1" x14ac:dyDescent="0.2">
      <c r="A454" s="974" t="s">
        <v>1104</v>
      </c>
      <c r="B454" s="974" t="s">
        <v>1105</v>
      </c>
      <c r="C454" s="1014">
        <v>0.199993</v>
      </c>
      <c r="D454" s="1038">
        <v>6.7000000000000002E-5</v>
      </c>
      <c r="E454" s="1015">
        <v>1E-4</v>
      </c>
      <c r="F454" s="1038">
        <v>1.21E-4</v>
      </c>
      <c r="G454" s="975">
        <v>0.20036999999999999</v>
      </c>
      <c r="H454" s="1034">
        <v>7.3999999999999999E-4</v>
      </c>
      <c r="I454" s="1043">
        <v>2</v>
      </c>
      <c r="J454" s="1007">
        <v>4.0000000000000002E-4</v>
      </c>
      <c r="K454" s="979">
        <v>2</v>
      </c>
      <c r="L454" s="1008">
        <v>8.0000000000000004E-4</v>
      </c>
    </row>
    <row r="455" spans="1:12" s="227" customFormat="1" ht="13.5" customHeight="1" x14ac:dyDescent="0.2">
      <c r="A455" s="974" t="s">
        <v>1106</v>
      </c>
      <c r="B455" s="974" t="s">
        <v>1107</v>
      </c>
      <c r="C455" s="1014">
        <v>0.19995499999999999</v>
      </c>
      <c r="D455" s="1038">
        <v>1.5200000000000001E-4</v>
      </c>
      <c r="E455" s="1015">
        <v>1E-4</v>
      </c>
      <c r="F455" s="1038">
        <v>1.8200000000000001E-4</v>
      </c>
      <c r="G455" s="975">
        <v>0.2</v>
      </c>
      <c r="H455" s="1034">
        <v>5.0000000000000001E-4</v>
      </c>
      <c r="I455" s="1043">
        <v>2</v>
      </c>
      <c r="J455" s="1007">
        <v>0</v>
      </c>
      <c r="K455" s="979">
        <v>2</v>
      </c>
      <c r="L455" s="1008">
        <v>5.9999999999999995E-4</v>
      </c>
    </row>
    <row r="456" spans="1:12" s="227" customFormat="1" ht="13.5" customHeight="1" x14ac:dyDescent="0.2">
      <c r="A456" s="974" t="s">
        <v>1108</v>
      </c>
      <c r="B456" s="974" t="s">
        <v>1109</v>
      </c>
      <c r="C456" s="1014">
        <v>0.20049700000000001</v>
      </c>
      <c r="D456" s="1038">
        <v>6.7999999999999999E-5</v>
      </c>
      <c r="E456" s="1015">
        <v>1E-4</v>
      </c>
      <c r="F456" s="1038">
        <v>1.21E-4</v>
      </c>
      <c r="G456" s="975">
        <v>0.2</v>
      </c>
      <c r="H456" s="1034">
        <v>1.6999999999999999E-3</v>
      </c>
      <c r="I456" s="1043">
        <v>2</v>
      </c>
      <c r="J456" s="1007">
        <v>-5.0000000000000001E-4</v>
      </c>
      <c r="K456" s="979">
        <v>2</v>
      </c>
      <c r="L456" s="1008">
        <v>1.6999999999999999E-3</v>
      </c>
    </row>
    <row r="457" spans="1:12" s="227" customFormat="1" ht="13.5" customHeight="1" x14ac:dyDescent="0.2">
      <c r="A457" s="974" t="s">
        <v>1110</v>
      </c>
      <c r="B457" s="974" t="s">
        <v>1111</v>
      </c>
      <c r="C457" s="1014">
        <v>0.200262</v>
      </c>
      <c r="D457" s="1038">
        <v>6.7999999999999999E-5</v>
      </c>
      <c r="E457" s="1015">
        <v>1E-4</v>
      </c>
      <c r="F457" s="1038">
        <v>1.21E-4</v>
      </c>
      <c r="G457" s="975">
        <v>0.2001</v>
      </c>
      <c r="H457" s="1034">
        <v>1.1999999999999999E-3</v>
      </c>
      <c r="I457" s="1043">
        <v>2</v>
      </c>
      <c r="J457" s="1007">
        <v>-2.0000000000000001E-4</v>
      </c>
      <c r="K457" s="979">
        <v>2</v>
      </c>
      <c r="L457" s="1008">
        <v>1.1999999999999999E-3</v>
      </c>
    </row>
    <row r="458" spans="1:12" s="227" customFormat="1" ht="13.5" customHeight="1" x14ac:dyDescent="0.2">
      <c r="A458" s="974" t="s">
        <v>1112</v>
      </c>
      <c r="B458" s="974" t="s">
        <v>1113</v>
      </c>
      <c r="C458" s="1014">
        <v>0.19981499999999999</v>
      </c>
      <c r="D458" s="1038">
        <v>6.7000000000000002E-5</v>
      </c>
      <c r="E458" s="1015">
        <v>1E-4</v>
      </c>
      <c r="F458" s="1038">
        <v>1.21E-4</v>
      </c>
      <c r="G458" s="975">
        <v>0.20030000000000001</v>
      </c>
      <c r="H458" s="1034">
        <v>1.6000000000000001E-3</v>
      </c>
      <c r="I458" s="1043">
        <v>2</v>
      </c>
      <c r="J458" s="1007">
        <v>5.0000000000000001E-4</v>
      </c>
      <c r="K458" s="979">
        <v>2</v>
      </c>
      <c r="L458" s="1008">
        <v>1.6000000000000001E-3</v>
      </c>
    </row>
    <row r="459" spans="1:12" s="227" customFormat="1" ht="13.5" customHeight="1" x14ac:dyDescent="0.2">
      <c r="A459" s="974" t="s">
        <v>1114</v>
      </c>
      <c r="B459" s="974" t="s">
        <v>1115</v>
      </c>
      <c r="C459" s="1014">
        <v>0.20070399999999999</v>
      </c>
      <c r="D459" s="1038">
        <v>6.7999999999999999E-5</v>
      </c>
      <c r="E459" s="1015">
        <v>1E-4</v>
      </c>
      <c r="F459" s="1038">
        <v>1.21E-4</v>
      </c>
      <c r="G459" s="975">
        <v>0.20050000000000001</v>
      </c>
      <c r="H459" s="1034">
        <v>1E-3</v>
      </c>
      <c r="I459" s="1047">
        <v>2.1800000000000002</v>
      </c>
      <c r="J459" s="1007">
        <v>-2.0000000000000001E-4</v>
      </c>
      <c r="K459" s="979">
        <v>2</v>
      </c>
      <c r="L459" s="1008">
        <v>8.9999999999999998E-4</v>
      </c>
    </row>
    <row r="460" spans="1:12" s="227" customFormat="1" ht="13.5" customHeight="1" x14ac:dyDescent="0.2">
      <c r="A460" s="974" t="s">
        <v>1116</v>
      </c>
      <c r="B460" s="974" t="s">
        <v>1117</v>
      </c>
      <c r="C460" s="1014">
        <v>0.200602</v>
      </c>
      <c r="D460" s="1038">
        <v>6.7999999999999999E-5</v>
      </c>
      <c r="E460" s="1015">
        <v>1E-4</v>
      </c>
      <c r="F460" s="1038">
        <v>1.21E-4</v>
      </c>
      <c r="G460" s="975">
        <v>0.2001</v>
      </c>
      <c r="H460" s="1034">
        <v>1.4E-3</v>
      </c>
      <c r="I460" s="1043">
        <v>2</v>
      </c>
      <c r="J460" s="1007">
        <v>-5.0000000000000001E-4</v>
      </c>
      <c r="K460" s="979">
        <v>2</v>
      </c>
      <c r="L460" s="1008">
        <v>1.4E-3</v>
      </c>
    </row>
    <row r="461" spans="1:12" s="227" customFormat="1" ht="13.5" customHeight="1" x14ac:dyDescent="0.2">
      <c r="A461" s="974" t="s">
        <v>1118</v>
      </c>
      <c r="B461" s="974" t="s">
        <v>1119</v>
      </c>
      <c r="C461" s="1014">
        <v>0.199624</v>
      </c>
      <c r="D461" s="1038">
        <v>6.7000000000000002E-5</v>
      </c>
      <c r="E461" s="1015">
        <v>1E-4</v>
      </c>
      <c r="F461" s="1038">
        <v>1.2E-4</v>
      </c>
      <c r="G461" s="975">
        <v>0.19620000000000001</v>
      </c>
      <c r="H461" s="1034">
        <v>3.5999999999999999E-3</v>
      </c>
      <c r="I461" s="1043">
        <v>2</v>
      </c>
      <c r="J461" s="1007">
        <v>-3.3999999999999998E-3</v>
      </c>
      <c r="K461" s="979">
        <v>2</v>
      </c>
      <c r="L461" s="1008">
        <v>3.5999999999999999E-3</v>
      </c>
    </row>
    <row r="462" spans="1:12" s="227" customFormat="1" ht="13.5" customHeight="1" x14ac:dyDescent="0.2">
      <c r="A462" s="974" t="s">
        <v>1120</v>
      </c>
      <c r="B462" s="974" t="s">
        <v>1121</v>
      </c>
      <c r="C462" s="1014">
        <v>0.20061999999999999</v>
      </c>
      <c r="D462" s="1038">
        <v>6.7999999999999999E-5</v>
      </c>
      <c r="E462" s="1015">
        <v>1E-4</v>
      </c>
      <c r="F462" s="1038">
        <v>1.21E-4</v>
      </c>
      <c r="G462" s="975">
        <v>0.19989999999999999</v>
      </c>
      <c r="H462" s="1034">
        <v>2E-3</v>
      </c>
      <c r="I462" s="1043">
        <v>2</v>
      </c>
      <c r="J462" s="1007">
        <v>-6.9999999999999999E-4</v>
      </c>
      <c r="K462" s="979">
        <v>2</v>
      </c>
      <c r="L462" s="1008">
        <v>2E-3</v>
      </c>
    </row>
    <row r="463" spans="1:12" s="227" customFormat="1" ht="13.5" customHeight="1" x14ac:dyDescent="0.2">
      <c r="A463" s="974" t="s">
        <v>1122</v>
      </c>
      <c r="B463" s="974" t="s">
        <v>1123</v>
      </c>
      <c r="C463" s="1014">
        <v>0.20150199999999999</v>
      </c>
      <c r="D463" s="1038">
        <v>6.7999999999999999E-5</v>
      </c>
      <c r="E463" s="1015">
        <v>1.01E-4</v>
      </c>
      <c r="F463" s="1038">
        <v>1.21E-4</v>
      </c>
      <c r="G463" s="975">
        <v>0.20100000000000001</v>
      </c>
      <c r="H463" s="1034">
        <v>3.0200000000000001E-3</v>
      </c>
      <c r="I463" s="1043">
        <v>2</v>
      </c>
      <c r="J463" s="1007">
        <v>-5.0000000000000001E-4</v>
      </c>
      <c r="K463" s="979">
        <v>2</v>
      </c>
      <c r="L463" s="1008">
        <v>3.0000000000000001E-3</v>
      </c>
    </row>
    <row r="464" spans="1:12" s="227" customFormat="1" ht="15.6" customHeight="1" x14ac:dyDescent="0.2">
      <c r="A464" s="997" t="s">
        <v>1124</v>
      </c>
      <c r="B464" s="997" t="s">
        <v>1125</v>
      </c>
      <c r="C464" s="1016">
        <v>0.201631</v>
      </c>
      <c r="D464" s="1039">
        <v>6.7999999999999999E-5</v>
      </c>
      <c r="E464" s="1017">
        <v>1.01E-4</v>
      </c>
      <c r="F464" s="1039">
        <v>1.22E-4</v>
      </c>
      <c r="G464" s="998">
        <v>0.2019</v>
      </c>
      <c r="H464" s="1036">
        <v>6.9999999999999999E-4</v>
      </c>
      <c r="I464" s="1046">
        <v>2</v>
      </c>
      <c r="J464" s="1010">
        <v>2.9999999999999997E-4</v>
      </c>
      <c r="K464" s="1002">
        <v>2</v>
      </c>
      <c r="L464" s="1011">
        <v>6.9999999999999999E-4</v>
      </c>
    </row>
    <row r="465" spans="1:12" s="227" customFormat="1" ht="15.6" customHeight="1" x14ac:dyDescent="0.2">
      <c r="A465" s="983"/>
      <c r="B465" s="983"/>
      <c r="C465" s="976"/>
      <c r="D465" s="976"/>
      <c r="E465" s="976"/>
      <c r="F465" s="984"/>
      <c r="G465" s="985"/>
      <c r="H465" s="985"/>
      <c r="I465" s="986"/>
      <c r="J465" s="987"/>
      <c r="K465" s="979"/>
      <c r="L465" s="988"/>
    </row>
    <row r="466" spans="1:12" s="227" customFormat="1" ht="15.6" customHeight="1" x14ac:dyDescent="0.2">
      <c r="A466" s="960" t="s">
        <v>1162</v>
      </c>
      <c r="B466" s="983"/>
      <c r="C466" s="976"/>
      <c r="D466" s="976"/>
      <c r="E466" s="976"/>
      <c r="F466" s="984"/>
      <c r="G466" s="985"/>
      <c r="H466" s="985"/>
      <c r="I466" s="986"/>
      <c r="J466" s="987"/>
      <c r="K466" s="979"/>
      <c r="L466" s="988"/>
    </row>
    <row r="467" spans="1:12" s="227" customFormat="1" ht="14.1" customHeight="1" x14ac:dyDescent="0.2">
      <c r="A467" s="961" t="s">
        <v>1082</v>
      </c>
      <c r="B467" s="961" t="s">
        <v>1083</v>
      </c>
      <c r="C467" s="962" t="s">
        <v>1084</v>
      </c>
      <c r="D467" s="626" t="s">
        <v>1085</v>
      </c>
      <c r="E467" s="952" t="s">
        <v>1086</v>
      </c>
      <c r="F467" s="626" t="s">
        <v>1087</v>
      </c>
      <c r="G467" s="962" t="s">
        <v>1088</v>
      </c>
      <c r="H467" s="626" t="s">
        <v>1089</v>
      </c>
      <c r="I467" s="626" t="s">
        <v>1090</v>
      </c>
      <c r="J467" s="964" t="s">
        <v>1091</v>
      </c>
      <c r="K467" s="965" t="s">
        <v>1092</v>
      </c>
      <c r="L467" s="966" t="s">
        <v>1093</v>
      </c>
    </row>
    <row r="468" spans="1:12" s="227" customFormat="1" ht="12.75" customHeight="1" x14ac:dyDescent="0.2">
      <c r="A468" s="967" t="s">
        <v>1094</v>
      </c>
      <c r="B468" s="967" t="s">
        <v>1126</v>
      </c>
      <c r="C468" s="1012">
        <v>0.100281</v>
      </c>
      <c r="D468" s="1040">
        <v>7.7999999999999999E-5</v>
      </c>
      <c r="E468" s="1013">
        <v>5.0000000000000002E-5</v>
      </c>
      <c r="F468" s="1040">
        <v>9.2999999999999997E-5</v>
      </c>
      <c r="G468" s="968">
        <v>0.10034</v>
      </c>
      <c r="H468" s="1035">
        <v>4.2999999999999999E-4</v>
      </c>
      <c r="I468" s="1052">
        <v>2</v>
      </c>
      <c r="J468" s="1005">
        <v>1E-4</v>
      </c>
      <c r="K468" s="972">
        <v>2</v>
      </c>
      <c r="L468" s="1006">
        <v>5.0000000000000001E-4</v>
      </c>
    </row>
    <row r="469" spans="1:12" s="227" customFormat="1" ht="13.5" customHeight="1" x14ac:dyDescent="0.2">
      <c r="A469" s="974" t="s">
        <v>1096</v>
      </c>
      <c r="B469" s="974" t="s">
        <v>1127</v>
      </c>
      <c r="C469" s="1014">
        <v>0.100018</v>
      </c>
      <c r="D469" s="1038">
        <v>7.7999999999999999E-5</v>
      </c>
      <c r="E469" s="1015">
        <v>5.0000000000000002E-5</v>
      </c>
      <c r="F469" s="1038">
        <v>9.2999999999999997E-5</v>
      </c>
      <c r="G469" s="975">
        <v>0.10120999999999999</v>
      </c>
      <c r="H469" s="1034">
        <v>4.0000000000000002E-4</v>
      </c>
      <c r="I469" s="1043">
        <v>2</v>
      </c>
      <c r="J469" s="1007">
        <v>1.1999999999999999E-3</v>
      </c>
      <c r="K469" s="979">
        <v>2</v>
      </c>
      <c r="L469" s="1008">
        <v>4.0000000000000002E-4</v>
      </c>
    </row>
    <row r="470" spans="1:12" s="227" customFormat="1" ht="13.5" customHeight="1" x14ac:dyDescent="0.2">
      <c r="A470" s="974" t="s">
        <v>1098</v>
      </c>
      <c r="B470" s="974" t="s">
        <v>1128</v>
      </c>
      <c r="C470" s="1014">
        <v>9.9912000000000001E-2</v>
      </c>
      <c r="D470" s="1038">
        <v>7.7999999999999999E-5</v>
      </c>
      <c r="E470" s="1015">
        <v>5.0000000000000002E-5</v>
      </c>
      <c r="F470" s="1038">
        <v>9.2999999999999997E-5</v>
      </c>
      <c r="G470" s="975">
        <v>9.8000000000000004E-2</v>
      </c>
      <c r="H470" s="1034">
        <v>3.0000000000000001E-3</v>
      </c>
      <c r="I470" s="1043">
        <v>2</v>
      </c>
      <c r="J470" s="1007">
        <v>-1.9E-3</v>
      </c>
      <c r="K470" s="979">
        <v>2</v>
      </c>
      <c r="L470" s="1008">
        <v>3.0000000000000001E-3</v>
      </c>
    </row>
    <row r="471" spans="1:12" s="227" customFormat="1" ht="13.5" customHeight="1" x14ac:dyDescent="0.2">
      <c r="A471" s="974" t="s">
        <v>1100</v>
      </c>
      <c r="B471" s="974" t="s">
        <v>1129</v>
      </c>
      <c r="C471" s="1014">
        <v>0.10030500000000001</v>
      </c>
      <c r="D471" s="1038">
        <v>7.7999999999999999E-5</v>
      </c>
      <c r="E471" s="1015">
        <v>5.0000000000000002E-5</v>
      </c>
      <c r="F471" s="1038">
        <v>9.2999999999999997E-5</v>
      </c>
      <c r="G471" s="975">
        <v>9.9599999999999994E-2</v>
      </c>
      <c r="H471" s="1034">
        <v>1.6000000000000001E-3</v>
      </c>
      <c r="I471" s="1043">
        <v>2</v>
      </c>
      <c r="J471" s="1007">
        <v>-6.9999999999999999E-4</v>
      </c>
      <c r="K471" s="979">
        <v>2</v>
      </c>
      <c r="L471" s="1008">
        <v>1.6000000000000001E-3</v>
      </c>
    </row>
    <row r="472" spans="1:12" s="227" customFormat="1" ht="13.5" customHeight="1" x14ac:dyDescent="0.2">
      <c r="A472" s="974" t="s">
        <v>1102</v>
      </c>
      <c r="B472" s="974" t="s">
        <v>1130</v>
      </c>
      <c r="C472" s="1014">
        <v>0.10023600000000001</v>
      </c>
      <c r="D472" s="1038">
        <v>7.7999999999999999E-5</v>
      </c>
      <c r="E472" s="1015">
        <v>5.0000000000000002E-5</v>
      </c>
      <c r="F472" s="1038">
        <v>9.2999999999999997E-5</v>
      </c>
      <c r="G472" s="975">
        <v>0.1003</v>
      </c>
      <c r="H472" s="1034">
        <v>2.9999999999999997E-4</v>
      </c>
      <c r="I472" s="1047">
        <v>2.4300000000000002</v>
      </c>
      <c r="J472" s="1007">
        <v>1E-4</v>
      </c>
      <c r="K472" s="979">
        <v>2</v>
      </c>
      <c r="L472" s="1008">
        <v>2.9999999999999997E-4</v>
      </c>
    </row>
    <row r="473" spans="1:12" s="227" customFormat="1" ht="13.5" customHeight="1" x14ac:dyDescent="0.2">
      <c r="A473" s="974" t="s">
        <v>1104</v>
      </c>
      <c r="B473" s="974" t="s">
        <v>1131</v>
      </c>
      <c r="C473" s="1014">
        <v>9.9890999999999994E-2</v>
      </c>
      <c r="D473" s="1038">
        <v>7.7999999999999999E-5</v>
      </c>
      <c r="E473" s="1015">
        <v>5.0000000000000002E-5</v>
      </c>
      <c r="F473" s="1038">
        <v>9.2999999999999997E-5</v>
      </c>
      <c r="G473" s="975">
        <v>0.1</v>
      </c>
      <c r="H473" s="1034">
        <v>4.2000000000000002E-4</v>
      </c>
      <c r="I473" s="1043">
        <v>2</v>
      </c>
      <c r="J473" s="1007">
        <v>1E-4</v>
      </c>
      <c r="K473" s="979">
        <v>2</v>
      </c>
      <c r="L473" s="1008">
        <v>5.0000000000000001E-4</v>
      </c>
    </row>
    <row r="474" spans="1:12" s="227" customFormat="1" ht="13.5" customHeight="1" x14ac:dyDescent="0.2">
      <c r="A474" s="974" t="s">
        <v>1106</v>
      </c>
      <c r="B474" s="974" t="s">
        <v>1132</v>
      </c>
      <c r="C474" s="1014">
        <v>9.9889000000000006E-2</v>
      </c>
      <c r="D474" s="1038">
        <v>7.7999999999999999E-5</v>
      </c>
      <c r="E474" s="1015">
        <v>5.0000000000000002E-5</v>
      </c>
      <c r="F474" s="1038">
        <v>9.2999999999999997E-5</v>
      </c>
      <c r="G474" s="975">
        <v>0.1</v>
      </c>
      <c r="H474" s="1034">
        <v>4.0000000000000002E-4</v>
      </c>
      <c r="I474" s="1043">
        <v>2</v>
      </c>
      <c r="J474" s="1007">
        <v>1E-4</v>
      </c>
      <c r="K474" s="979">
        <v>2</v>
      </c>
      <c r="L474" s="1008">
        <v>4.0000000000000002E-4</v>
      </c>
    </row>
    <row r="475" spans="1:12" s="227" customFormat="1" ht="13.5" customHeight="1" x14ac:dyDescent="0.2">
      <c r="A475" s="974" t="s">
        <v>1108</v>
      </c>
      <c r="B475" s="974" t="s">
        <v>1133</v>
      </c>
      <c r="C475" s="1014">
        <v>0.100424</v>
      </c>
      <c r="D475" s="1038">
        <v>7.8999999999999996E-5</v>
      </c>
      <c r="E475" s="1015">
        <v>5.0000000000000002E-5</v>
      </c>
      <c r="F475" s="1038">
        <v>9.2999999999999997E-5</v>
      </c>
      <c r="G475" s="975">
        <v>0.1</v>
      </c>
      <c r="H475" s="1034">
        <v>1.2999999999999999E-3</v>
      </c>
      <c r="I475" s="1043">
        <v>2</v>
      </c>
      <c r="J475" s="1007">
        <v>-4.0000000000000002E-4</v>
      </c>
      <c r="K475" s="979">
        <v>2</v>
      </c>
      <c r="L475" s="1008">
        <v>1.2999999999999999E-3</v>
      </c>
    </row>
    <row r="476" spans="1:12" s="227" customFormat="1" ht="13.5" customHeight="1" x14ac:dyDescent="0.2">
      <c r="A476" s="974" t="s">
        <v>1110</v>
      </c>
      <c r="B476" s="974" t="s">
        <v>1134</v>
      </c>
      <c r="C476" s="1014">
        <v>9.9933999999999995E-2</v>
      </c>
      <c r="D476" s="1038">
        <v>7.7999999999999999E-5</v>
      </c>
      <c r="E476" s="1015">
        <v>5.0000000000000002E-5</v>
      </c>
      <c r="F476" s="1038">
        <v>9.2999999999999997E-5</v>
      </c>
      <c r="G476" s="975">
        <v>9.9900000000000003E-2</v>
      </c>
      <c r="H476" s="1034">
        <v>1.4E-3</v>
      </c>
      <c r="I476" s="1043">
        <v>2</v>
      </c>
      <c r="J476" s="1007">
        <v>0</v>
      </c>
      <c r="K476" s="979">
        <v>2</v>
      </c>
      <c r="L476" s="1008">
        <v>1.4E-3</v>
      </c>
    </row>
    <row r="477" spans="1:12" s="227" customFormat="1" ht="13.5" customHeight="1" x14ac:dyDescent="0.2">
      <c r="A477" s="974" t="s">
        <v>1112</v>
      </c>
      <c r="B477" s="974" t="s">
        <v>1135</v>
      </c>
      <c r="C477" s="1014">
        <v>0.10025000000000001</v>
      </c>
      <c r="D477" s="1038">
        <v>7.7999999999999999E-5</v>
      </c>
      <c r="E477" s="1015">
        <v>5.0000000000000002E-5</v>
      </c>
      <c r="F477" s="1038">
        <v>9.2999999999999997E-5</v>
      </c>
      <c r="G477" s="975">
        <v>0.1</v>
      </c>
      <c r="H477" s="1034">
        <v>8.0000000000000004E-4</v>
      </c>
      <c r="I477" s="1043">
        <v>2</v>
      </c>
      <c r="J477" s="1007">
        <v>-2.0000000000000001E-4</v>
      </c>
      <c r="K477" s="979">
        <v>2</v>
      </c>
      <c r="L477" s="1008">
        <v>8.0000000000000004E-4</v>
      </c>
    </row>
    <row r="478" spans="1:12" s="227" customFormat="1" ht="13.5" customHeight="1" x14ac:dyDescent="0.2">
      <c r="A478" s="974" t="s">
        <v>1114</v>
      </c>
      <c r="B478" s="974" t="s">
        <v>1136</v>
      </c>
      <c r="C478" s="1014">
        <v>9.9918999999999994E-2</v>
      </c>
      <c r="D478" s="1038">
        <v>7.7999999999999999E-5</v>
      </c>
      <c r="E478" s="1015">
        <v>5.0000000000000002E-5</v>
      </c>
      <c r="F478" s="1038">
        <v>9.2999999999999997E-5</v>
      </c>
      <c r="G478" s="975">
        <v>9.98E-2</v>
      </c>
      <c r="H478" s="1034">
        <v>1E-3</v>
      </c>
      <c r="I478" s="1047">
        <v>2.1800000000000002</v>
      </c>
      <c r="J478" s="1007">
        <v>-1E-4</v>
      </c>
      <c r="K478" s="979">
        <v>2</v>
      </c>
      <c r="L478" s="1008">
        <v>8.9999999999999998E-4</v>
      </c>
    </row>
    <row r="479" spans="1:12" s="227" customFormat="1" ht="13.5" customHeight="1" x14ac:dyDescent="0.2">
      <c r="A479" s="974" t="s">
        <v>1116</v>
      </c>
      <c r="B479" s="974" t="s">
        <v>1137</v>
      </c>
      <c r="C479" s="1014">
        <v>0.100481</v>
      </c>
      <c r="D479" s="1038">
        <v>7.8999999999999996E-5</v>
      </c>
      <c r="E479" s="1015">
        <v>5.0000000000000002E-5</v>
      </c>
      <c r="F479" s="1038">
        <v>9.2999999999999997E-5</v>
      </c>
      <c r="G479" s="975">
        <v>0.1003</v>
      </c>
      <c r="H479" s="1034">
        <v>1.5E-3</v>
      </c>
      <c r="I479" s="1043">
        <v>2</v>
      </c>
      <c r="J479" s="1007">
        <v>-2.0000000000000001E-4</v>
      </c>
      <c r="K479" s="979">
        <v>2</v>
      </c>
      <c r="L479" s="1008">
        <v>1.5E-3</v>
      </c>
    </row>
    <row r="480" spans="1:12" s="227" customFormat="1" ht="13.5" customHeight="1" x14ac:dyDescent="0.2">
      <c r="A480" s="974" t="s">
        <v>1118</v>
      </c>
      <c r="B480" s="974" t="s">
        <v>1138</v>
      </c>
      <c r="C480" s="1014">
        <v>9.9922999999999998E-2</v>
      </c>
      <c r="D480" s="1038">
        <v>7.7999999999999999E-5</v>
      </c>
      <c r="E480" s="1015">
        <v>5.0000000000000002E-5</v>
      </c>
      <c r="F480" s="1038">
        <v>9.2999999999999997E-5</v>
      </c>
      <c r="G480" s="975">
        <v>0.1021</v>
      </c>
      <c r="H480" s="1034">
        <v>3.0999999999999999E-3</v>
      </c>
      <c r="I480" s="1043">
        <v>2</v>
      </c>
      <c r="J480" s="1007">
        <v>2.2000000000000001E-3</v>
      </c>
      <c r="K480" s="979">
        <v>2</v>
      </c>
      <c r="L480" s="1008">
        <v>3.0999999999999999E-3</v>
      </c>
    </row>
    <row r="481" spans="1:12" s="227" customFormat="1" ht="13.5" customHeight="1" x14ac:dyDescent="0.2">
      <c r="A481" s="974" t="s">
        <v>1120</v>
      </c>
      <c r="B481" s="974" t="s">
        <v>1139</v>
      </c>
      <c r="C481" s="1014">
        <v>0.100247</v>
      </c>
      <c r="D481" s="1038">
        <v>7.7999999999999999E-5</v>
      </c>
      <c r="E481" s="1015">
        <v>5.0000000000000002E-5</v>
      </c>
      <c r="F481" s="1038">
        <v>9.2999999999999997E-5</v>
      </c>
      <c r="G481" s="975">
        <v>0.10050000000000001</v>
      </c>
      <c r="H481" s="1034">
        <v>1E-3</v>
      </c>
      <c r="I481" s="1043">
        <v>2</v>
      </c>
      <c r="J481" s="1007">
        <v>2.9999999999999997E-4</v>
      </c>
      <c r="K481" s="979">
        <v>2</v>
      </c>
      <c r="L481" s="1008">
        <v>1E-3</v>
      </c>
    </row>
    <row r="482" spans="1:12" s="227" customFormat="1" ht="13.5" customHeight="1" x14ac:dyDescent="0.2">
      <c r="A482" s="974" t="s">
        <v>1122</v>
      </c>
      <c r="B482" s="974" t="s">
        <v>1140</v>
      </c>
      <c r="C482" s="1014">
        <v>0.100379</v>
      </c>
      <c r="D482" s="1038">
        <v>7.8999999999999996E-5</v>
      </c>
      <c r="E482" s="1015">
        <v>5.0000000000000002E-5</v>
      </c>
      <c r="F482" s="1038">
        <v>9.2999999999999997E-5</v>
      </c>
      <c r="G482" s="975">
        <v>0.1002</v>
      </c>
      <c r="H482" s="1034">
        <v>1.5E-3</v>
      </c>
      <c r="I482" s="1043">
        <v>2</v>
      </c>
      <c r="J482" s="1007">
        <v>-2.0000000000000001E-4</v>
      </c>
      <c r="K482" s="979">
        <v>2</v>
      </c>
      <c r="L482" s="1008">
        <v>1.5E-3</v>
      </c>
    </row>
    <row r="483" spans="1:12" s="227" customFormat="1" ht="15.6" customHeight="1" x14ac:dyDescent="0.2">
      <c r="A483" s="997" t="s">
        <v>1124</v>
      </c>
      <c r="B483" s="997" t="s">
        <v>1141</v>
      </c>
      <c r="C483" s="1016">
        <v>0.10020900000000001</v>
      </c>
      <c r="D483" s="1039">
        <v>7.7999999999999999E-5</v>
      </c>
      <c r="E483" s="1017">
        <v>5.0000000000000002E-5</v>
      </c>
      <c r="F483" s="1039">
        <v>9.2999999999999997E-5</v>
      </c>
      <c r="G483" s="998">
        <v>0.1003</v>
      </c>
      <c r="H483" s="1036">
        <v>5.0000000000000001E-4</v>
      </c>
      <c r="I483" s="1046">
        <v>2</v>
      </c>
      <c r="J483" s="1010">
        <v>1E-4</v>
      </c>
      <c r="K483" s="1002">
        <v>2</v>
      </c>
      <c r="L483" s="1011">
        <v>5.0000000000000001E-4</v>
      </c>
    </row>
    <row r="484" spans="1:12" s="227" customFormat="1" ht="15.6" customHeight="1" x14ac:dyDescent="0.2">
      <c r="A484" s="983"/>
      <c r="B484" s="983"/>
      <c r="C484" s="976"/>
      <c r="D484" s="976"/>
      <c r="E484" s="976"/>
      <c r="F484" s="984"/>
      <c r="G484" s="985"/>
      <c r="H484" s="985"/>
      <c r="I484" s="986"/>
      <c r="J484" s="987"/>
      <c r="K484" s="979"/>
      <c r="L484" s="988"/>
    </row>
    <row r="485" spans="1:12" s="227" customFormat="1" ht="15.6" customHeight="1" x14ac:dyDescent="0.2">
      <c r="A485" s="960" t="s">
        <v>1163</v>
      </c>
      <c r="B485" s="983"/>
      <c r="C485" s="976"/>
      <c r="D485" s="976"/>
      <c r="E485" s="976"/>
      <c r="F485" s="984"/>
      <c r="G485" s="985"/>
      <c r="H485" s="985"/>
      <c r="I485" s="986"/>
      <c r="J485" s="987"/>
      <c r="K485" s="979"/>
      <c r="L485" s="988"/>
    </row>
    <row r="486" spans="1:12" s="227" customFormat="1" ht="14.1" customHeight="1" x14ac:dyDescent="0.2">
      <c r="A486" s="961" t="s">
        <v>1082</v>
      </c>
      <c r="B486" s="961" t="s">
        <v>1083</v>
      </c>
      <c r="C486" s="962" t="s">
        <v>1084</v>
      </c>
      <c r="D486" s="626" t="s">
        <v>1085</v>
      </c>
      <c r="E486" s="952" t="s">
        <v>1086</v>
      </c>
      <c r="F486" s="626" t="s">
        <v>1087</v>
      </c>
      <c r="G486" s="962" t="s">
        <v>1088</v>
      </c>
      <c r="H486" s="626" t="s">
        <v>1089</v>
      </c>
      <c r="I486" s="626" t="s">
        <v>1090</v>
      </c>
      <c r="J486" s="964" t="s">
        <v>1091</v>
      </c>
      <c r="K486" s="965" t="s">
        <v>1092</v>
      </c>
      <c r="L486" s="966" t="s">
        <v>1093</v>
      </c>
    </row>
    <row r="487" spans="1:12" s="227" customFormat="1" ht="12.75" customHeight="1" x14ac:dyDescent="0.2">
      <c r="A487" s="967" t="s">
        <v>1094</v>
      </c>
      <c r="B487" s="967" t="s">
        <v>1095</v>
      </c>
      <c r="C487" s="1012">
        <v>0.199406</v>
      </c>
      <c r="D487" s="1040">
        <v>1.5200000000000001E-4</v>
      </c>
      <c r="E487" s="1013">
        <v>1E-4</v>
      </c>
      <c r="F487" s="1040">
        <v>1.8100000000000001E-4</v>
      </c>
      <c r="G487" s="968">
        <v>0.19891</v>
      </c>
      <c r="H487" s="1035">
        <v>5.9999999999999995E-4</v>
      </c>
      <c r="I487" s="1052">
        <v>2</v>
      </c>
      <c r="J487" s="1005">
        <v>-5.0000000000000001E-4</v>
      </c>
      <c r="K487" s="972">
        <v>2</v>
      </c>
      <c r="L487" s="1006">
        <v>6.9999999999999999E-4</v>
      </c>
    </row>
    <row r="488" spans="1:12" s="227" customFormat="1" ht="13.5" customHeight="1" x14ac:dyDescent="0.2">
      <c r="A488" s="974" t="s">
        <v>1096</v>
      </c>
      <c r="B488" s="974" t="s">
        <v>1097</v>
      </c>
      <c r="C488" s="1014">
        <v>0.19886100000000001</v>
      </c>
      <c r="D488" s="1038">
        <v>6.7999999999999999E-5</v>
      </c>
      <c r="E488" s="1015">
        <v>9.8999999999999994E-5</v>
      </c>
      <c r="F488" s="1038">
        <v>1.21E-4</v>
      </c>
      <c r="G488" s="975">
        <v>0.19883000000000001</v>
      </c>
      <c r="H488" s="1034">
        <v>8.0000000000000004E-4</v>
      </c>
      <c r="I488" s="1043">
        <v>2</v>
      </c>
      <c r="J488" s="1007">
        <v>0</v>
      </c>
      <c r="K488" s="979">
        <v>2</v>
      </c>
      <c r="L488" s="1008">
        <v>8.0000000000000004E-4</v>
      </c>
    </row>
    <row r="489" spans="1:12" s="227" customFormat="1" ht="13.5" customHeight="1" x14ac:dyDescent="0.2">
      <c r="A489" s="974" t="s">
        <v>1098</v>
      </c>
      <c r="B489" s="974" t="s">
        <v>1099</v>
      </c>
      <c r="C489" s="1014">
        <v>0.19900399999999999</v>
      </c>
      <c r="D489" s="1038">
        <v>6.8999999999999997E-5</v>
      </c>
      <c r="E489" s="1015">
        <v>1E-4</v>
      </c>
      <c r="F489" s="1038">
        <v>1.21E-4</v>
      </c>
      <c r="G489" s="975">
        <v>0.20399999999999999</v>
      </c>
      <c r="H489" s="1034">
        <v>0.01</v>
      </c>
      <c r="I489" s="1043">
        <v>2</v>
      </c>
      <c r="J489" s="1007">
        <v>5.0000000000000001E-3</v>
      </c>
      <c r="K489" s="979">
        <v>2</v>
      </c>
      <c r="L489" s="1008">
        <v>0.01</v>
      </c>
    </row>
    <row r="490" spans="1:12" s="227" customFormat="1" ht="13.5" customHeight="1" x14ac:dyDescent="0.2">
      <c r="A490" s="974" t="s">
        <v>1100</v>
      </c>
      <c r="B490" s="974" t="s">
        <v>1101</v>
      </c>
      <c r="C490" s="1014">
        <v>0.19869200000000001</v>
      </c>
      <c r="D490" s="1038">
        <v>6.7000000000000002E-5</v>
      </c>
      <c r="E490" s="1015">
        <v>9.8999999999999994E-5</v>
      </c>
      <c r="F490" s="1038">
        <v>1.2E-4</v>
      </c>
      <c r="G490" s="975">
        <v>0.19819999999999999</v>
      </c>
      <c r="H490" s="1034">
        <v>1.6000000000000001E-3</v>
      </c>
      <c r="I490" s="1043">
        <v>2</v>
      </c>
      <c r="J490" s="1007">
        <v>-5.0000000000000001E-4</v>
      </c>
      <c r="K490" s="979">
        <v>2</v>
      </c>
      <c r="L490" s="1008">
        <v>1.6000000000000001E-3</v>
      </c>
    </row>
    <row r="491" spans="1:12" s="227" customFormat="1" ht="13.5" customHeight="1" x14ac:dyDescent="0.2">
      <c r="A491" s="974" t="s">
        <v>1102</v>
      </c>
      <c r="B491" s="974" t="s">
        <v>1103</v>
      </c>
      <c r="C491" s="1014">
        <v>0.19862199999999999</v>
      </c>
      <c r="D491" s="1038">
        <v>6.7999999999999999E-5</v>
      </c>
      <c r="E491" s="1015">
        <v>9.8999999999999994E-5</v>
      </c>
      <c r="F491" s="1038">
        <v>1.21E-4</v>
      </c>
      <c r="G491" s="975">
        <v>0.1988</v>
      </c>
      <c r="H491" s="1034">
        <v>6.9999999999999999E-4</v>
      </c>
      <c r="I491" s="1047">
        <v>2.4300000000000002</v>
      </c>
      <c r="J491" s="1007">
        <v>2.0000000000000001E-4</v>
      </c>
      <c r="K491" s="979">
        <v>2</v>
      </c>
      <c r="L491" s="1008">
        <v>5.9999999999999995E-4</v>
      </c>
    </row>
    <row r="492" spans="1:12" s="227" customFormat="1" ht="13.5" customHeight="1" x14ac:dyDescent="0.2">
      <c r="A492" s="974" t="s">
        <v>1104</v>
      </c>
      <c r="B492" s="974" t="s">
        <v>1105</v>
      </c>
      <c r="C492" s="1014">
        <v>0.198133</v>
      </c>
      <c r="D492" s="1038">
        <v>6.7000000000000002E-5</v>
      </c>
      <c r="E492" s="1015">
        <v>9.8999999999999994E-5</v>
      </c>
      <c r="F492" s="1038">
        <v>1.2E-4</v>
      </c>
      <c r="G492" s="975">
        <v>0.1976</v>
      </c>
      <c r="H492" s="1034">
        <v>7.2999999999999996E-4</v>
      </c>
      <c r="I492" s="1043">
        <v>2</v>
      </c>
      <c r="J492" s="1007">
        <v>-5.0000000000000001E-4</v>
      </c>
      <c r="K492" s="979">
        <v>2</v>
      </c>
      <c r="L492" s="1008">
        <v>8.0000000000000004E-4</v>
      </c>
    </row>
    <row r="493" spans="1:12" s="227" customFormat="1" ht="13.5" customHeight="1" x14ac:dyDescent="0.2">
      <c r="A493" s="974" t="s">
        <v>1106</v>
      </c>
      <c r="B493" s="974" t="s">
        <v>1107</v>
      </c>
      <c r="C493" s="1014">
        <v>0.19907</v>
      </c>
      <c r="D493" s="1038">
        <v>1.5100000000000001E-4</v>
      </c>
      <c r="E493" s="1015">
        <v>1E-4</v>
      </c>
      <c r="F493" s="1038">
        <v>1.8100000000000001E-4</v>
      </c>
      <c r="G493" s="975">
        <v>0.1993</v>
      </c>
      <c r="H493" s="1034">
        <v>5.0000000000000001E-4</v>
      </c>
      <c r="I493" s="1043">
        <v>2</v>
      </c>
      <c r="J493" s="1007">
        <v>2.0000000000000001E-4</v>
      </c>
      <c r="K493" s="979">
        <v>2</v>
      </c>
      <c r="L493" s="1008">
        <v>5.9999999999999995E-4</v>
      </c>
    </row>
    <row r="494" spans="1:12" s="227" customFormat="1" ht="13.5" customHeight="1" x14ac:dyDescent="0.2">
      <c r="A494" s="974" t="s">
        <v>1108</v>
      </c>
      <c r="B494" s="974" t="s">
        <v>1109</v>
      </c>
      <c r="C494" s="1014">
        <v>0.198632</v>
      </c>
      <c r="D494" s="1038">
        <v>6.7999999999999999E-5</v>
      </c>
      <c r="E494" s="1015">
        <v>9.8999999999999994E-5</v>
      </c>
      <c r="F494" s="1038">
        <v>1.2E-4</v>
      </c>
      <c r="G494" s="975">
        <v>0.19900000000000001</v>
      </c>
      <c r="H494" s="1034">
        <v>1.6999999999999999E-3</v>
      </c>
      <c r="I494" s="1043">
        <v>2</v>
      </c>
      <c r="J494" s="1007">
        <v>4.0000000000000002E-4</v>
      </c>
      <c r="K494" s="979">
        <v>2</v>
      </c>
      <c r="L494" s="1008">
        <v>1.6999999999999999E-3</v>
      </c>
    </row>
    <row r="495" spans="1:12" s="227" customFormat="1" ht="13.5" customHeight="1" x14ac:dyDescent="0.2">
      <c r="A495" s="974" t="s">
        <v>1110</v>
      </c>
      <c r="B495" s="974" t="s">
        <v>1111</v>
      </c>
      <c r="C495" s="1014">
        <v>0.19878499999999999</v>
      </c>
      <c r="D495" s="1038">
        <v>6.7999999999999999E-5</v>
      </c>
      <c r="E495" s="1015">
        <v>9.8999999999999994E-5</v>
      </c>
      <c r="F495" s="1038">
        <v>1.21E-4</v>
      </c>
      <c r="G495" s="975">
        <v>0.19869999999999999</v>
      </c>
      <c r="H495" s="1034">
        <v>1.1999999999999999E-3</v>
      </c>
      <c r="I495" s="1043">
        <v>2</v>
      </c>
      <c r="J495" s="1007">
        <v>-1E-4</v>
      </c>
      <c r="K495" s="979">
        <v>2</v>
      </c>
      <c r="L495" s="1008">
        <v>1.1999999999999999E-3</v>
      </c>
    </row>
    <row r="496" spans="1:12" s="227" customFormat="1" ht="13.5" customHeight="1" x14ac:dyDescent="0.2">
      <c r="A496" s="974" t="s">
        <v>1112</v>
      </c>
      <c r="B496" s="974" t="s">
        <v>1113</v>
      </c>
      <c r="C496" s="1014">
        <v>0.19675799999999999</v>
      </c>
      <c r="D496" s="1038">
        <v>6.7000000000000002E-5</v>
      </c>
      <c r="E496" s="1015">
        <v>9.7999999999999997E-5</v>
      </c>
      <c r="F496" s="1038">
        <v>1.1900000000000001E-4</v>
      </c>
      <c r="G496" s="975">
        <v>0.19670000000000001</v>
      </c>
      <c r="H496" s="1034">
        <v>1.57E-3</v>
      </c>
      <c r="I496" s="1043">
        <v>2</v>
      </c>
      <c r="J496" s="1007">
        <v>-1E-4</v>
      </c>
      <c r="K496" s="979">
        <v>2</v>
      </c>
      <c r="L496" s="1008">
        <v>1.6000000000000001E-3</v>
      </c>
    </row>
    <row r="497" spans="1:12" s="227" customFormat="1" ht="13.5" customHeight="1" x14ac:dyDescent="0.2">
      <c r="A497" s="974" t="s">
        <v>1114</v>
      </c>
      <c r="B497" s="974" t="s">
        <v>1115</v>
      </c>
      <c r="C497" s="1014">
        <v>0.19808400000000001</v>
      </c>
      <c r="D497" s="1038">
        <v>6.7999999999999999E-5</v>
      </c>
      <c r="E497" s="1015">
        <v>9.8999999999999994E-5</v>
      </c>
      <c r="F497" s="1038">
        <v>1.2E-4</v>
      </c>
      <c r="G497" s="975">
        <v>0.1978</v>
      </c>
      <c r="H497" s="1034">
        <v>1E-3</v>
      </c>
      <c r="I497" s="1047">
        <v>2.1800000000000002</v>
      </c>
      <c r="J497" s="1007">
        <v>-2.9999999999999997E-4</v>
      </c>
      <c r="K497" s="979">
        <v>2</v>
      </c>
      <c r="L497" s="1008">
        <v>8.9999999999999998E-4</v>
      </c>
    </row>
    <row r="498" spans="1:12" s="227" customFormat="1" ht="13.5" customHeight="1" x14ac:dyDescent="0.2">
      <c r="A498" s="974" t="s">
        <v>1116</v>
      </c>
      <c r="B498" s="974" t="s">
        <v>1117</v>
      </c>
      <c r="C498" s="1014">
        <v>0.19912199999999999</v>
      </c>
      <c r="D498" s="1038">
        <v>6.7999999999999999E-5</v>
      </c>
      <c r="E498" s="1015">
        <v>1E-4</v>
      </c>
      <c r="F498" s="1038">
        <v>1.21E-4</v>
      </c>
      <c r="G498" s="975">
        <v>0.19850000000000001</v>
      </c>
      <c r="H498" s="1034">
        <v>1.6000000000000001E-3</v>
      </c>
      <c r="I498" s="1043">
        <v>2</v>
      </c>
      <c r="J498" s="1007">
        <v>-5.9999999999999995E-4</v>
      </c>
      <c r="K498" s="979">
        <v>2</v>
      </c>
      <c r="L498" s="1008">
        <v>1.6000000000000001E-3</v>
      </c>
    </row>
    <row r="499" spans="1:12" s="227" customFormat="1" ht="13.5" customHeight="1" x14ac:dyDescent="0.2">
      <c r="A499" s="974" t="s">
        <v>1118</v>
      </c>
      <c r="B499" s="974" t="s">
        <v>1119</v>
      </c>
      <c r="C499" s="1014">
        <v>0.19656999999999999</v>
      </c>
      <c r="D499" s="1038">
        <v>6.7000000000000002E-5</v>
      </c>
      <c r="E499" s="1015">
        <v>9.7999999999999997E-5</v>
      </c>
      <c r="F499" s="1038">
        <v>1.1900000000000001E-4</v>
      </c>
      <c r="G499" s="975">
        <v>0.1978</v>
      </c>
      <c r="H499" s="1034">
        <v>3.3E-3</v>
      </c>
      <c r="I499" s="1043">
        <v>2</v>
      </c>
      <c r="J499" s="1007">
        <v>1.1999999999999999E-3</v>
      </c>
      <c r="K499" s="979">
        <v>2</v>
      </c>
      <c r="L499" s="1008">
        <v>3.3E-3</v>
      </c>
    </row>
    <row r="500" spans="1:12" s="227" customFormat="1" ht="13.5" customHeight="1" x14ac:dyDescent="0.2">
      <c r="A500" s="974" t="s">
        <v>1120</v>
      </c>
      <c r="B500" s="974" t="s">
        <v>1121</v>
      </c>
      <c r="C500" s="1014">
        <v>0.19859499999999999</v>
      </c>
      <c r="D500" s="1038">
        <v>6.7999999999999999E-5</v>
      </c>
      <c r="E500" s="1015">
        <v>9.8999999999999994E-5</v>
      </c>
      <c r="F500" s="1038">
        <v>1.21E-4</v>
      </c>
      <c r="G500" s="975">
        <v>0.20080000000000001</v>
      </c>
      <c r="H500" s="1034">
        <v>5.0000000000000001E-3</v>
      </c>
      <c r="I500" s="1043">
        <v>2</v>
      </c>
      <c r="J500" s="1007">
        <v>2.2000000000000001E-3</v>
      </c>
      <c r="K500" s="979">
        <v>2</v>
      </c>
      <c r="L500" s="1008">
        <v>5.0000000000000001E-3</v>
      </c>
    </row>
    <row r="501" spans="1:12" s="227" customFormat="1" ht="13.5" customHeight="1" x14ac:dyDescent="0.2">
      <c r="A501" s="974" t="s">
        <v>1122</v>
      </c>
      <c r="B501" s="974" t="s">
        <v>1123</v>
      </c>
      <c r="C501" s="1014">
        <v>0.19887199999999999</v>
      </c>
      <c r="D501" s="1038">
        <v>6.7999999999999999E-5</v>
      </c>
      <c r="E501" s="1015">
        <v>9.8999999999999994E-5</v>
      </c>
      <c r="F501" s="1038">
        <v>1.2E-4</v>
      </c>
      <c r="G501" s="975">
        <v>0.19900000000000001</v>
      </c>
      <c r="H501" s="1034">
        <v>2.99E-3</v>
      </c>
      <c r="I501" s="1043">
        <v>2</v>
      </c>
      <c r="J501" s="1007">
        <v>1E-4</v>
      </c>
      <c r="K501" s="979">
        <v>2</v>
      </c>
      <c r="L501" s="1008">
        <v>3.0000000000000001E-3</v>
      </c>
    </row>
    <row r="502" spans="1:12" s="227" customFormat="1" ht="15.6" customHeight="1" x14ac:dyDescent="0.2">
      <c r="A502" s="997" t="s">
        <v>1124</v>
      </c>
      <c r="B502" s="997" t="s">
        <v>1125</v>
      </c>
      <c r="C502" s="1016">
        <v>0.19900000000000001</v>
      </c>
      <c r="D502" s="1039">
        <v>6.7999999999999999E-5</v>
      </c>
      <c r="E502" s="1017">
        <v>9.8999999999999994E-5</v>
      </c>
      <c r="F502" s="1039">
        <v>1.2E-4</v>
      </c>
      <c r="G502" s="998">
        <v>0.1991</v>
      </c>
      <c r="H502" s="1036">
        <v>6.9999999999999999E-4</v>
      </c>
      <c r="I502" s="1046">
        <v>2</v>
      </c>
      <c r="J502" s="1010">
        <v>1E-4</v>
      </c>
      <c r="K502" s="1002">
        <v>2</v>
      </c>
      <c r="L502" s="1011">
        <v>6.9999999999999999E-4</v>
      </c>
    </row>
    <row r="503" spans="1:12" s="227" customFormat="1" ht="15.6" customHeight="1" x14ac:dyDescent="0.2">
      <c r="A503" s="983"/>
      <c r="B503" s="983"/>
      <c r="C503" s="976"/>
      <c r="D503" s="976"/>
      <c r="E503" s="976"/>
      <c r="F503" s="984"/>
      <c r="G503" s="985"/>
      <c r="H503" s="985"/>
      <c r="I503" s="986"/>
      <c r="J503" s="987"/>
      <c r="K503" s="979"/>
      <c r="L503" s="988"/>
    </row>
    <row r="504" spans="1:12" s="227" customFormat="1" ht="15.6" customHeight="1" x14ac:dyDescent="0.2">
      <c r="A504" s="960" t="s">
        <v>1164</v>
      </c>
      <c r="B504" s="983"/>
      <c r="C504" s="976"/>
      <c r="D504" s="976"/>
      <c r="E504" s="976"/>
      <c r="F504" s="984"/>
      <c r="G504" s="985"/>
      <c r="H504" s="985"/>
      <c r="I504" s="986"/>
      <c r="J504" s="987"/>
      <c r="K504" s="979"/>
      <c r="L504" s="988"/>
    </row>
    <row r="505" spans="1:12" s="227" customFormat="1" ht="14.1" customHeight="1" x14ac:dyDescent="0.2">
      <c r="A505" s="961" t="s">
        <v>1082</v>
      </c>
      <c r="B505" s="961" t="s">
        <v>1083</v>
      </c>
      <c r="C505" s="962" t="s">
        <v>1084</v>
      </c>
      <c r="D505" s="626" t="s">
        <v>1085</v>
      </c>
      <c r="E505" s="952" t="s">
        <v>1086</v>
      </c>
      <c r="F505" s="626" t="s">
        <v>1087</v>
      </c>
      <c r="G505" s="962" t="s">
        <v>1088</v>
      </c>
      <c r="H505" s="626" t="s">
        <v>1089</v>
      </c>
      <c r="I505" s="626" t="s">
        <v>1090</v>
      </c>
      <c r="J505" s="964" t="s">
        <v>1091</v>
      </c>
      <c r="K505" s="965" t="s">
        <v>1092</v>
      </c>
      <c r="L505" s="966" t="s">
        <v>1093</v>
      </c>
    </row>
    <row r="506" spans="1:12" s="227" customFormat="1" ht="12.75" customHeight="1" x14ac:dyDescent="0.2">
      <c r="A506" s="967" t="s">
        <v>1094</v>
      </c>
      <c r="B506" s="967" t="s">
        <v>1126</v>
      </c>
      <c r="C506" s="1012">
        <v>9.9917000000000006E-2</v>
      </c>
      <c r="D506" s="1040">
        <v>7.7999999999999999E-5</v>
      </c>
      <c r="E506" s="1013">
        <v>1E-4</v>
      </c>
      <c r="F506" s="1040">
        <v>1.27E-4</v>
      </c>
      <c r="G506" s="968">
        <v>9.9690000000000001E-2</v>
      </c>
      <c r="H506" s="1035">
        <v>3.6000000000000002E-4</v>
      </c>
      <c r="I506" s="1052">
        <v>2</v>
      </c>
      <c r="J506" s="1005">
        <v>-2.0000000000000001E-4</v>
      </c>
      <c r="K506" s="972">
        <v>2</v>
      </c>
      <c r="L506" s="1006">
        <v>4.0000000000000002E-4</v>
      </c>
    </row>
    <row r="507" spans="1:12" s="227" customFormat="1" ht="13.5" customHeight="1" x14ac:dyDescent="0.2">
      <c r="A507" s="974" t="s">
        <v>1096</v>
      </c>
      <c r="B507" s="974" t="s">
        <v>1127</v>
      </c>
      <c r="C507" s="1014">
        <v>9.98E-2</v>
      </c>
      <c r="D507" s="1038">
        <v>7.7999999999999999E-5</v>
      </c>
      <c r="E507" s="1015">
        <v>1E-4</v>
      </c>
      <c r="F507" s="1038">
        <v>1.27E-4</v>
      </c>
      <c r="G507" s="975">
        <v>0.10077</v>
      </c>
      <c r="H507" s="1034">
        <v>5.0000000000000001E-4</v>
      </c>
      <c r="I507" s="1043">
        <v>2</v>
      </c>
      <c r="J507" s="1007">
        <v>1E-3</v>
      </c>
      <c r="K507" s="979">
        <v>2</v>
      </c>
      <c r="L507" s="1008">
        <v>5.9999999999999995E-4</v>
      </c>
    </row>
    <row r="508" spans="1:12" s="227" customFormat="1" ht="13.5" customHeight="1" x14ac:dyDescent="0.2">
      <c r="A508" s="974" t="s">
        <v>1098</v>
      </c>
      <c r="B508" s="974" t="s">
        <v>1128</v>
      </c>
      <c r="C508" s="1014">
        <v>9.9695000000000006E-2</v>
      </c>
      <c r="D508" s="1038">
        <v>7.7999999999999999E-5</v>
      </c>
      <c r="E508" s="1015">
        <v>1E-4</v>
      </c>
      <c r="F508" s="1038">
        <v>1.27E-4</v>
      </c>
      <c r="G508" s="975">
        <v>9.7000000000000003E-2</v>
      </c>
      <c r="H508" s="1034">
        <v>4.0000000000000001E-3</v>
      </c>
      <c r="I508" s="1043">
        <v>2</v>
      </c>
      <c r="J508" s="1007">
        <v>-2.7000000000000001E-3</v>
      </c>
      <c r="K508" s="979">
        <v>2</v>
      </c>
      <c r="L508" s="1008">
        <v>4.0000000000000001E-3</v>
      </c>
    </row>
    <row r="509" spans="1:12" s="227" customFormat="1" ht="13.5" customHeight="1" x14ac:dyDescent="0.2">
      <c r="A509" s="974" t="s">
        <v>1100</v>
      </c>
      <c r="B509" s="974" t="s">
        <v>1129</v>
      </c>
      <c r="C509" s="1014">
        <v>9.9523E-2</v>
      </c>
      <c r="D509" s="1038">
        <v>7.7999999999999999E-5</v>
      </c>
      <c r="E509" s="1015">
        <v>1E-4</v>
      </c>
      <c r="F509" s="1038">
        <v>1.26E-4</v>
      </c>
      <c r="G509" s="975">
        <v>0.1</v>
      </c>
      <c r="H509" s="1034">
        <v>1.2999999999999999E-3</v>
      </c>
      <c r="I509" s="1043">
        <v>2</v>
      </c>
      <c r="J509" s="1007">
        <v>5.0000000000000001E-4</v>
      </c>
      <c r="K509" s="979">
        <v>2</v>
      </c>
      <c r="L509" s="1008">
        <v>1.2999999999999999E-3</v>
      </c>
    </row>
    <row r="510" spans="1:12" s="227" customFormat="1" ht="13.5" customHeight="1" x14ac:dyDescent="0.2">
      <c r="A510" s="974" t="s">
        <v>1102</v>
      </c>
      <c r="B510" s="974" t="s">
        <v>1130</v>
      </c>
      <c r="C510" s="1014">
        <v>9.9872000000000002E-2</v>
      </c>
      <c r="D510" s="1038">
        <v>7.7999999999999999E-5</v>
      </c>
      <c r="E510" s="1015">
        <v>1E-4</v>
      </c>
      <c r="F510" s="1038">
        <v>1.27E-4</v>
      </c>
      <c r="G510" s="975">
        <v>0.1002</v>
      </c>
      <c r="H510" s="1034">
        <v>4.0000000000000002E-4</v>
      </c>
      <c r="I510" s="1047">
        <v>2.4300000000000002</v>
      </c>
      <c r="J510" s="1007">
        <v>2.9999999999999997E-4</v>
      </c>
      <c r="K510" s="979">
        <v>2</v>
      </c>
      <c r="L510" s="1008">
        <v>4.0000000000000002E-4</v>
      </c>
    </row>
    <row r="511" spans="1:12" s="227" customFormat="1" ht="13.5" customHeight="1" x14ac:dyDescent="0.2">
      <c r="A511" s="974" t="s">
        <v>1104</v>
      </c>
      <c r="B511" s="974" t="s">
        <v>1131</v>
      </c>
      <c r="C511" s="1014">
        <v>9.9112000000000006E-2</v>
      </c>
      <c r="D511" s="1038">
        <v>7.7999999999999999E-5</v>
      </c>
      <c r="E511" s="1015">
        <v>9.8999999999999994E-5</v>
      </c>
      <c r="F511" s="1038">
        <v>1.26E-4</v>
      </c>
      <c r="G511" s="975">
        <v>9.937E-2</v>
      </c>
      <c r="H511" s="1034">
        <v>4.6000000000000001E-4</v>
      </c>
      <c r="I511" s="1043">
        <v>2</v>
      </c>
      <c r="J511" s="1007">
        <v>2.9999999999999997E-4</v>
      </c>
      <c r="K511" s="979">
        <v>2</v>
      </c>
      <c r="L511" s="1008">
        <v>5.0000000000000001E-4</v>
      </c>
    </row>
    <row r="512" spans="1:12" s="227" customFormat="1" ht="13.5" customHeight="1" x14ac:dyDescent="0.2">
      <c r="A512" s="974" t="s">
        <v>1106</v>
      </c>
      <c r="B512" s="974" t="s">
        <v>1132</v>
      </c>
      <c r="C512" s="1014">
        <v>9.9671999999999997E-2</v>
      </c>
      <c r="D512" s="1038">
        <v>7.7999999999999999E-5</v>
      </c>
      <c r="E512" s="1015">
        <v>1E-4</v>
      </c>
      <c r="F512" s="1038">
        <v>1.27E-4</v>
      </c>
      <c r="G512" s="975">
        <v>9.98E-2</v>
      </c>
      <c r="H512" s="1034">
        <v>2.9999999999999997E-4</v>
      </c>
      <c r="I512" s="1043">
        <v>2</v>
      </c>
      <c r="J512" s="1007">
        <v>1E-4</v>
      </c>
      <c r="K512" s="979">
        <v>2</v>
      </c>
      <c r="L512" s="1008">
        <v>4.0000000000000002E-4</v>
      </c>
    </row>
    <row r="513" spans="1:12" s="227" customFormat="1" ht="13.5" customHeight="1" x14ac:dyDescent="0.2">
      <c r="A513" s="974" t="s">
        <v>1108</v>
      </c>
      <c r="B513" s="974" t="s">
        <v>1133</v>
      </c>
      <c r="C513" s="1014">
        <v>9.9640999999999993E-2</v>
      </c>
      <c r="D513" s="1038">
        <v>7.7999999999999999E-5</v>
      </c>
      <c r="E513" s="1015">
        <v>1E-4</v>
      </c>
      <c r="F513" s="1038">
        <v>1.27E-4</v>
      </c>
      <c r="G513" s="975">
        <v>9.9699999999999997E-2</v>
      </c>
      <c r="H513" s="1034">
        <v>1.1999999999999999E-3</v>
      </c>
      <c r="I513" s="1043">
        <v>2</v>
      </c>
      <c r="J513" s="1007">
        <v>1E-4</v>
      </c>
      <c r="K513" s="979">
        <v>2</v>
      </c>
      <c r="L513" s="1008">
        <v>1.1999999999999999E-3</v>
      </c>
    </row>
    <row r="514" spans="1:12" s="227" customFormat="1" ht="13.5" customHeight="1" x14ac:dyDescent="0.2">
      <c r="A514" s="974" t="s">
        <v>1110</v>
      </c>
      <c r="B514" s="974" t="s">
        <v>1134</v>
      </c>
      <c r="C514" s="1014">
        <v>9.9715999999999999E-2</v>
      </c>
      <c r="D514" s="1038">
        <v>7.7999999999999999E-5</v>
      </c>
      <c r="E514" s="1015">
        <v>1E-4</v>
      </c>
      <c r="F514" s="1038">
        <v>1.27E-4</v>
      </c>
      <c r="G514" s="975">
        <v>9.9599999999999994E-2</v>
      </c>
      <c r="H514" s="1034">
        <v>1.4E-3</v>
      </c>
      <c r="I514" s="1043">
        <v>2</v>
      </c>
      <c r="J514" s="1007">
        <v>-1E-4</v>
      </c>
      <c r="K514" s="979">
        <v>2</v>
      </c>
      <c r="L514" s="1008">
        <v>1.4E-3</v>
      </c>
    </row>
    <row r="515" spans="1:12" s="227" customFormat="1" ht="13.5" customHeight="1" x14ac:dyDescent="0.2">
      <c r="A515" s="974" t="s">
        <v>1112</v>
      </c>
      <c r="B515" s="974" t="s">
        <v>1135</v>
      </c>
      <c r="C515" s="1014">
        <v>9.9886000000000003E-2</v>
      </c>
      <c r="D515" s="1038">
        <v>7.7999999999999999E-5</v>
      </c>
      <c r="E515" s="1015">
        <v>1E-4</v>
      </c>
      <c r="F515" s="1038">
        <v>1.27E-4</v>
      </c>
      <c r="G515" s="975">
        <v>9.9599999999999994E-2</v>
      </c>
      <c r="H515" s="1034">
        <v>8.0000000000000004E-4</v>
      </c>
      <c r="I515" s="1043">
        <v>2</v>
      </c>
      <c r="J515" s="1007">
        <v>-2.9999999999999997E-4</v>
      </c>
      <c r="K515" s="979">
        <v>2</v>
      </c>
      <c r="L515" s="1008">
        <v>8.0000000000000004E-4</v>
      </c>
    </row>
    <row r="516" spans="1:12" s="227" customFormat="1" ht="13.5" customHeight="1" x14ac:dyDescent="0.2">
      <c r="A516" s="974" t="s">
        <v>1114</v>
      </c>
      <c r="B516" s="974" t="s">
        <v>1136</v>
      </c>
      <c r="C516" s="1014">
        <v>9.9140000000000006E-2</v>
      </c>
      <c r="D516" s="1038">
        <v>7.7999999999999999E-5</v>
      </c>
      <c r="E516" s="1015">
        <v>9.8999999999999994E-5</v>
      </c>
      <c r="F516" s="1038">
        <v>1.26E-4</v>
      </c>
      <c r="G516" s="975">
        <v>9.9099999999999994E-2</v>
      </c>
      <c r="H516" s="1034">
        <v>1.1000000000000001E-3</v>
      </c>
      <c r="I516" s="1047">
        <v>2.1800000000000002</v>
      </c>
      <c r="J516" s="1007">
        <v>0</v>
      </c>
      <c r="K516" s="979">
        <v>2</v>
      </c>
      <c r="L516" s="1008">
        <v>1E-3</v>
      </c>
    </row>
    <row r="517" spans="1:12" s="227" customFormat="1" ht="13.5" customHeight="1" x14ac:dyDescent="0.2">
      <c r="A517" s="974" t="s">
        <v>1116</v>
      </c>
      <c r="B517" s="974" t="s">
        <v>1137</v>
      </c>
      <c r="C517" s="1014">
        <v>0.100262</v>
      </c>
      <c r="D517" s="1038">
        <v>7.7999999999999999E-5</v>
      </c>
      <c r="E517" s="1015">
        <v>1E-4</v>
      </c>
      <c r="F517" s="1038">
        <v>1.27E-4</v>
      </c>
      <c r="G517" s="975">
        <v>0.1003</v>
      </c>
      <c r="H517" s="1034">
        <v>1.4E-3</v>
      </c>
      <c r="I517" s="1043">
        <v>2</v>
      </c>
      <c r="J517" s="1007">
        <v>0</v>
      </c>
      <c r="K517" s="979">
        <v>2</v>
      </c>
      <c r="L517" s="1008">
        <v>1.4E-3</v>
      </c>
    </row>
    <row r="518" spans="1:12" s="227" customFormat="1" ht="13.5" customHeight="1" x14ac:dyDescent="0.2">
      <c r="A518" s="974" t="s">
        <v>1118</v>
      </c>
      <c r="B518" s="974" t="s">
        <v>1138</v>
      </c>
      <c r="C518" s="1014">
        <v>9.9706000000000003E-2</v>
      </c>
      <c r="D518" s="1038">
        <v>7.7999999999999999E-5</v>
      </c>
      <c r="E518" s="1015">
        <v>1E-4</v>
      </c>
      <c r="F518" s="1038">
        <v>1.27E-4</v>
      </c>
      <c r="G518" s="975">
        <v>0.1026</v>
      </c>
      <c r="H518" s="1034">
        <v>2.5999999999999999E-3</v>
      </c>
      <c r="I518" s="1043">
        <v>2</v>
      </c>
      <c r="J518" s="1007">
        <v>2.8999999999999998E-3</v>
      </c>
      <c r="K518" s="979">
        <v>2</v>
      </c>
      <c r="L518" s="1008">
        <v>2.5999999999999999E-3</v>
      </c>
    </row>
    <row r="519" spans="1:12" s="227" customFormat="1" ht="13.5" customHeight="1" x14ac:dyDescent="0.2">
      <c r="A519" s="974" t="s">
        <v>1120</v>
      </c>
      <c r="B519" s="974" t="s">
        <v>1139</v>
      </c>
      <c r="C519" s="1014">
        <v>9.9883E-2</v>
      </c>
      <c r="D519" s="1038">
        <v>7.7999999999999999E-5</v>
      </c>
      <c r="E519" s="1015">
        <v>1E-4</v>
      </c>
      <c r="F519" s="1038">
        <v>1.27E-4</v>
      </c>
      <c r="G519" s="975">
        <v>9.9900000000000003E-2</v>
      </c>
      <c r="H519" s="1034">
        <v>1E-3</v>
      </c>
      <c r="I519" s="1043">
        <v>2</v>
      </c>
      <c r="J519" s="1007">
        <v>0</v>
      </c>
      <c r="K519" s="979">
        <v>2</v>
      </c>
      <c r="L519" s="1008">
        <v>1E-3</v>
      </c>
    </row>
    <row r="520" spans="1:12" s="227" customFormat="1" ht="13.5" customHeight="1" x14ac:dyDescent="0.2">
      <c r="A520" s="974" t="s">
        <v>1122</v>
      </c>
      <c r="B520" s="974" t="s">
        <v>1140</v>
      </c>
      <c r="C520" s="1014">
        <v>9.9597000000000005E-2</v>
      </c>
      <c r="D520" s="1038">
        <v>7.7999999999999999E-5</v>
      </c>
      <c r="E520" s="1015">
        <v>1E-4</v>
      </c>
      <c r="F520" s="1038">
        <v>1.27E-4</v>
      </c>
      <c r="G520" s="975">
        <v>9.9699999999999997E-2</v>
      </c>
      <c r="H520" s="1034">
        <v>1.5E-3</v>
      </c>
      <c r="I520" s="1043">
        <v>2</v>
      </c>
      <c r="J520" s="1007">
        <v>1E-4</v>
      </c>
      <c r="K520" s="979">
        <v>2</v>
      </c>
      <c r="L520" s="1008">
        <v>1.5E-3</v>
      </c>
    </row>
    <row r="521" spans="1:12" s="227" customFormat="1" ht="15.6" customHeight="1" x14ac:dyDescent="0.2">
      <c r="A521" s="997" t="s">
        <v>1124</v>
      </c>
      <c r="B521" s="997" t="s">
        <v>1141</v>
      </c>
      <c r="C521" s="1016">
        <v>9.9428000000000002E-2</v>
      </c>
      <c r="D521" s="1039">
        <v>7.7999999999999999E-5</v>
      </c>
      <c r="E521" s="1017">
        <v>9.8999999999999994E-5</v>
      </c>
      <c r="F521" s="1039">
        <v>1.26E-4</v>
      </c>
      <c r="G521" s="998">
        <v>9.9599999999999994E-2</v>
      </c>
      <c r="H521" s="1036">
        <v>4.0000000000000002E-4</v>
      </c>
      <c r="I521" s="1046">
        <v>2</v>
      </c>
      <c r="J521" s="1010">
        <v>2.0000000000000001E-4</v>
      </c>
      <c r="K521" s="1002">
        <v>2</v>
      </c>
      <c r="L521" s="1011">
        <v>5.0000000000000001E-4</v>
      </c>
    </row>
    <row r="522" spans="1:12" s="227" customFormat="1" ht="15.6" customHeight="1" x14ac:dyDescent="0.2">
      <c r="A522" s="983"/>
      <c r="B522" s="983"/>
      <c r="C522" s="976"/>
      <c r="D522" s="976"/>
      <c r="E522" s="976"/>
      <c r="F522" s="984"/>
      <c r="G522" s="985"/>
      <c r="H522" s="985"/>
      <c r="I522" s="986"/>
      <c r="J522" s="987"/>
      <c r="K522" s="979"/>
      <c r="L522" s="988"/>
    </row>
    <row r="523" spans="1:12" s="227" customFormat="1" ht="15.6" customHeight="1" x14ac:dyDescent="0.2">
      <c r="A523" s="960" t="s">
        <v>1165</v>
      </c>
      <c r="B523" s="983"/>
      <c r="C523" s="976"/>
      <c r="D523" s="976"/>
      <c r="E523" s="976"/>
      <c r="F523" s="984"/>
      <c r="G523" s="985"/>
      <c r="H523" s="985"/>
      <c r="I523" s="986"/>
      <c r="J523" s="987"/>
      <c r="K523" s="979"/>
      <c r="L523" s="988"/>
    </row>
    <row r="524" spans="1:12" s="227" customFormat="1" ht="14.1" customHeight="1" x14ac:dyDescent="0.2">
      <c r="A524" s="961" t="s">
        <v>1082</v>
      </c>
      <c r="B524" s="961" t="s">
        <v>1083</v>
      </c>
      <c r="C524" s="625" t="s">
        <v>1084</v>
      </c>
      <c r="D524" s="1018" t="s">
        <v>1085</v>
      </c>
      <c r="E524" s="626" t="s">
        <v>1086</v>
      </c>
      <c r="F524" s="966" t="s">
        <v>1087</v>
      </c>
      <c r="G524" s="963" t="s">
        <v>1088</v>
      </c>
      <c r="H524" s="626" t="s">
        <v>1089</v>
      </c>
      <c r="I524" s="966" t="s">
        <v>1090</v>
      </c>
      <c r="J524" s="964" t="s">
        <v>1091</v>
      </c>
      <c r="K524" s="965" t="s">
        <v>1092</v>
      </c>
      <c r="L524" s="966" t="s">
        <v>1093</v>
      </c>
    </row>
    <row r="525" spans="1:12" s="227" customFormat="1" ht="12.75" customHeight="1" x14ac:dyDescent="0.2">
      <c r="A525" s="967" t="s">
        <v>1094</v>
      </c>
      <c r="B525" s="967" t="s">
        <v>1095</v>
      </c>
      <c r="C525" s="1032">
        <v>90.594300000000004</v>
      </c>
      <c r="D525" s="1019">
        <v>8.9999999999999993E-3</v>
      </c>
      <c r="E525" s="1033">
        <v>1.8100000000000002E-2</v>
      </c>
      <c r="F525" s="1006">
        <v>2.0199999999999999E-2</v>
      </c>
      <c r="G525" s="1004">
        <v>90.597999999999999</v>
      </c>
      <c r="H525" s="1033">
        <v>6.3399999999999998E-2</v>
      </c>
      <c r="I525" s="1020">
        <v>2</v>
      </c>
      <c r="J525" s="971">
        <v>4.0000000000000001E-3</v>
      </c>
      <c r="K525" s="972">
        <v>2</v>
      </c>
      <c r="L525" s="973">
        <v>7.4999999999999997E-2</v>
      </c>
    </row>
    <row r="526" spans="1:12" s="227" customFormat="1" ht="13.5" customHeight="1" x14ac:dyDescent="0.2">
      <c r="A526" s="974" t="s">
        <v>1096</v>
      </c>
      <c r="B526" s="974" t="s">
        <v>1097</v>
      </c>
      <c r="C526" s="1030">
        <v>90.618499999999997</v>
      </c>
      <c r="D526" s="985">
        <v>1.1999999999999999E-3</v>
      </c>
      <c r="E526" s="1031">
        <v>1.8100000000000002E-2</v>
      </c>
      <c r="F526" s="1008">
        <v>1.8200000000000001E-2</v>
      </c>
      <c r="G526" s="981">
        <v>90.71</v>
      </c>
      <c r="H526" s="1031">
        <v>0.27</v>
      </c>
      <c r="I526" s="1021">
        <v>2</v>
      </c>
      <c r="J526" s="978">
        <v>9.1999999999999998E-2</v>
      </c>
      <c r="K526" s="979">
        <v>2</v>
      </c>
      <c r="L526" s="980">
        <v>0.27200000000000002</v>
      </c>
    </row>
    <row r="527" spans="1:12" s="227" customFormat="1" ht="13.5" customHeight="1" x14ac:dyDescent="0.2">
      <c r="A527" s="974" t="s">
        <v>1098</v>
      </c>
      <c r="B527" s="974" t="s">
        <v>1099</v>
      </c>
      <c r="C527" s="1030">
        <v>90.613799999999998</v>
      </c>
      <c r="D527" s="985">
        <v>1.1999999999999999E-3</v>
      </c>
      <c r="E527" s="1031">
        <v>1.8100000000000002E-2</v>
      </c>
      <c r="F527" s="1008">
        <v>1.8200000000000001E-2</v>
      </c>
      <c r="G527" s="981">
        <v>90.596999999999994</v>
      </c>
      <c r="H527" s="1031">
        <v>0.61499999999999999</v>
      </c>
      <c r="I527" s="1021">
        <v>2</v>
      </c>
      <c r="J527" s="978">
        <v>-1.7000000000000001E-2</v>
      </c>
      <c r="K527" s="979">
        <v>2</v>
      </c>
      <c r="L527" s="980">
        <v>0.61599999999999999</v>
      </c>
    </row>
    <row r="528" spans="1:12" s="227" customFormat="1" ht="13.5" customHeight="1" x14ac:dyDescent="0.2">
      <c r="A528" s="974" t="s">
        <v>1100</v>
      </c>
      <c r="B528" s="974" t="s">
        <v>1101</v>
      </c>
      <c r="C528" s="1030">
        <v>90.583100000000002</v>
      </c>
      <c r="D528" s="985">
        <v>1.1999999999999999E-3</v>
      </c>
      <c r="E528" s="1031">
        <v>1.8100000000000002E-2</v>
      </c>
      <c r="F528" s="1008">
        <v>1.8200000000000001E-2</v>
      </c>
      <c r="G528" s="981">
        <v>90.599000000000004</v>
      </c>
      <c r="H528" s="1031">
        <v>1.2E-2</v>
      </c>
      <c r="I528" s="1021">
        <v>2</v>
      </c>
      <c r="J528" s="978">
        <v>1.6E-2</v>
      </c>
      <c r="K528" s="979">
        <v>2</v>
      </c>
      <c r="L528" s="980">
        <v>3.7999999999999999E-2</v>
      </c>
    </row>
    <row r="529" spans="1:12" s="227" customFormat="1" ht="13.5" customHeight="1" x14ac:dyDescent="0.2">
      <c r="A529" s="974" t="s">
        <v>1102</v>
      </c>
      <c r="B529" s="974" t="s">
        <v>1103</v>
      </c>
      <c r="C529" s="1030">
        <v>90.597499999999997</v>
      </c>
      <c r="D529" s="985">
        <v>1.1999999999999999E-3</v>
      </c>
      <c r="E529" s="1031">
        <v>1.8100000000000002E-2</v>
      </c>
      <c r="F529" s="1008">
        <v>1.8200000000000001E-2</v>
      </c>
      <c r="G529" s="981">
        <v>90.606700000000004</v>
      </c>
      <c r="H529" s="1031">
        <v>1.0200000000000001E-2</v>
      </c>
      <c r="I529" s="1022">
        <v>2.4300000000000002</v>
      </c>
      <c r="J529" s="978">
        <v>8.9999999999999993E-3</v>
      </c>
      <c r="K529" s="979">
        <v>2</v>
      </c>
      <c r="L529" s="980">
        <v>3.6999999999999998E-2</v>
      </c>
    </row>
    <row r="530" spans="1:12" s="227" customFormat="1" ht="13.5" customHeight="1" x14ac:dyDescent="0.2">
      <c r="A530" s="974" t="s">
        <v>1104</v>
      </c>
      <c r="B530" s="974" t="s">
        <v>1105</v>
      </c>
      <c r="C530" s="1030">
        <v>90.622699999999995</v>
      </c>
      <c r="D530" s="985">
        <v>1.1999999999999999E-3</v>
      </c>
      <c r="E530" s="1031">
        <v>1.8100000000000002E-2</v>
      </c>
      <c r="F530" s="1008">
        <v>1.8200000000000001E-2</v>
      </c>
      <c r="G530" s="981">
        <v>90.68</v>
      </c>
      <c r="H530" s="1031">
        <v>0.6</v>
      </c>
      <c r="I530" s="1021">
        <v>2</v>
      </c>
      <c r="J530" s="978">
        <v>5.7000000000000002E-2</v>
      </c>
      <c r="K530" s="979">
        <v>2</v>
      </c>
      <c r="L530" s="980">
        <v>0.60099999999999998</v>
      </c>
    </row>
    <row r="531" spans="1:12" s="227" customFormat="1" ht="13.5" customHeight="1" x14ac:dyDescent="0.2">
      <c r="A531" s="974" t="s">
        <v>1106</v>
      </c>
      <c r="B531" s="974" t="s">
        <v>1107</v>
      </c>
      <c r="C531" s="1030">
        <v>90.559899999999999</v>
      </c>
      <c r="D531" s="985">
        <v>8.9999999999999993E-3</v>
      </c>
      <c r="E531" s="1031">
        <v>1.8100000000000002E-2</v>
      </c>
      <c r="F531" s="1008">
        <v>2.0199999999999999E-2</v>
      </c>
      <c r="G531" s="981">
        <v>90.53</v>
      </c>
      <c r="H531" s="1031">
        <v>0.11</v>
      </c>
      <c r="I531" s="1021">
        <v>2</v>
      </c>
      <c r="J531" s="978">
        <v>-0.03</v>
      </c>
      <c r="K531" s="979">
        <v>2</v>
      </c>
      <c r="L531" s="980">
        <v>0.11700000000000001</v>
      </c>
    </row>
    <row r="532" spans="1:12" s="227" customFormat="1" ht="13.5" customHeight="1" x14ac:dyDescent="0.2">
      <c r="A532" s="974" t="s">
        <v>1108</v>
      </c>
      <c r="B532" s="974" t="s">
        <v>1109</v>
      </c>
      <c r="C532" s="1030">
        <v>90.571700000000007</v>
      </c>
      <c r="D532" s="985">
        <v>1.1999999999999999E-3</v>
      </c>
      <c r="E532" s="1031">
        <v>1.8100000000000002E-2</v>
      </c>
      <c r="F532" s="1008">
        <v>1.8200000000000001E-2</v>
      </c>
      <c r="G532" s="1023"/>
      <c r="H532" s="1049"/>
      <c r="I532" s="1021">
        <v>2</v>
      </c>
      <c r="J532" s="1023"/>
      <c r="K532" s="1024"/>
      <c r="L532" s="1025"/>
    </row>
    <row r="533" spans="1:12" s="227" customFormat="1" ht="13.5" customHeight="1" x14ac:dyDescent="0.2">
      <c r="A533" s="974" t="s">
        <v>1110</v>
      </c>
      <c r="B533" s="974" t="s">
        <v>1111</v>
      </c>
      <c r="C533" s="1030">
        <v>90.579899999999995</v>
      </c>
      <c r="D533" s="985">
        <v>1.1999999999999999E-3</v>
      </c>
      <c r="E533" s="1031">
        <v>1.8100000000000002E-2</v>
      </c>
      <c r="F533" s="1008">
        <v>1.8200000000000001E-2</v>
      </c>
      <c r="G533" s="981">
        <v>90.528000000000006</v>
      </c>
      <c r="H533" s="1031">
        <v>0.43099999999999999</v>
      </c>
      <c r="I533" s="1021">
        <v>2</v>
      </c>
      <c r="J533" s="978">
        <v>-5.1999999999999998E-2</v>
      </c>
      <c r="K533" s="979">
        <v>2</v>
      </c>
      <c r="L533" s="980">
        <v>0.433</v>
      </c>
    </row>
    <row r="534" spans="1:12" s="227" customFormat="1" ht="13.5" customHeight="1" x14ac:dyDescent="0.2">
      <c r="A534" s="974" t="s">
        <v>1112</v>
      </c>
      <c r="B534" s="974" t="s">
        <v>1113</v>
      </c>
      <c r="C534" s="1030">
        <v>90.598600000000005</v>
      </c>
      <c r="D534" s="985">
        <v>1.1999999999999999E-3</v>
      </c>
      <c r="E534" s="1031">
        <v>1.8100000000000002E-2</v>
      </c>
      <c r="F534" s="1008">
        <v>1.8200000000000001E-2</v>
      </c>
      <c r="G534" s="981">
        <v>90.593800000000002</v>
      </c>
      <c r="H534" s="1031">
        <v>9.06E-2</v>
      </c>
      <c r="I534" s="1021">
        <v>2</v>
      </c>
      <c r="J534" s="978">
        <v>-5.0000000000000001E-3</v>
      </c>
      <c r="K534" s="979">
        <v>2</v>
      </c>
      <c r="L534" s="980">
        <v>9.8000000000000004E-2</v>
      </c>
    </row>
    <row r="535" spans="1:12" s="227" customFormat="1" ht="13.5" customHeight="1" x14ac:dyDescent="0.2">
      <c r="A535" s="974" t="s">
        <v>1114</v>
      </c>
      <c r="B535" s="974" t="s">
        <v>1115</v>
      </c>
      <c r="C535" s="1030">
        <v>90.591399999999993</v>
      </c>
      <c r="D535" s="985">
        <v>1.1999999999999999E-3</v>
      </c>
      <c r="E535" s="1031">
        <v>1.8100000000000002E-2</v>
      </c>
      <c r="F535" s="1008">
        <v>1.8200000000000001E-2</v>
      </c>
      <c r="G535" s="981">
        <v>90.55</v>
      </c>
      <c r="H535" s="1031">
        <v>0.05</v>
      </c>
      <c r="I535" s="1022">
        <v>2.1800000000000002</v>
      </c>
      <c r="J535" s="978">
        <v>-4.1000000000000002E-2</v>
      </c>
      <c r="K535" s="979">
        <v>2</v>
      </c>
      <c r="L535" s="980">
        <v>5.8999999999999997E-2</v>
      </c>
    </row>
    <row r="536" spans="1:12" s="227" customFormat="1" ht="13.5" customHeight="1" x14ac:dyDescent="0.2">
      <c r="A536" s="974" t="s">
        <v>1116</v>
      </c>
      <c r="B536" s="974" t="s">
        <v>1117</v>
      </c>
      <c r="C536" s="1030">
        <v>90.611099999999993</v>
      </c>
      <c r="D536" s="985">
        <v>1.1999999999999999E-3</v>
      </c>
      <c r="E536" s="1031">
        <v>1.8100000000000002E-2</v>
      </c>
      <c r="F536" s="1008">
        <v>1.8200000000000001E-2</v>
      </c>
      <c r="G536" s="981">
        <v>90.51</v>
      </c>
      <c r="H536" s="1031">
        <v>0.33</v>
      </c>
      <c r="I536" s="1021">
        <v>2</v>
      </c>
      <c r="J536" s="978">
        <v>-0.10100000000000001</v>
      </c>
      <c r="K536" s="979">
        <v>2</v>
      </c>
      <c r="L536" s="980">
        <v>0.33200000000000002</v>
      </c>
    </row>
    <row r="537" spans="1:12" s="227" customFormat="1" ht="13.5" customHeight="1" x14ac:dyDescent="0.2">
      <c r="A537" s="974" t="s">
        <v>1118</v>
      </c>
      <c r="B537" s="974" t="s">
        <v>1119</v>
      </c>
      <c r="C537" s="1030">
        <v>90.596299999999999</v>
      </c>
      <c r="D537" s="985">
        <v>1.1999999999999999E-3</v>
      </c>
      <c r="E537" s="1031">
        <v>1.8100000000000002E-2</v>
      </c>
      <c r="F537" s="1008">
        <v>1.8200000000000001E-2</v>
      </c>
      <c r="G537" s="981">
        <v>90.82</v>
      </c>
      <c r="H537" s="1031">
        <v>0.5</v>
      </c>
      <c r="I537" s="1021">
        <v>2</v>
      </c>
      <c r="J537" s="978">
        <v>0.224</v>
      </c>
      <c r="K537" s="979">
        <v>2</v>
      </c>
      <c r="L537" s="980">
        <v>0.501</v>
      </c>
    </row>
    <row r="538" spans="1:12" s="227" customFormat="1" ht="12.75" customHeight="1" x14ac:dyDescent="0.2">
      <c r="A538" s="974" t="s">
        <v>1120</v>
      </c>
      <c r="B538" s="974" t="s">
        <v>1121</v>
      </c>
      <c r="C538" s="1030">
        <v>90.610699999999994</v>
      </c>
      <c r="D538" s="985">
        <v>1.1999999999999999E-3</v>
      </c>
      <c r="E538" s="1031">
        <v>1.8100000000000002E-2</v>
      </c>
      <c r="F538" s="1008">
        <v>1.8200000000000001E-2</v>
      </c>
      <c r="G538" s="981">
        <v>90.55</v>
      </c>
      <c r="H538" s="1031">
        <v>0.04</v>
      </c>
      <c r="I538" s="1021">
        <v>2</v>
      </c>
      <c r="J538" s="978">
        <v>-6.0999999999999999E-2</v>
      </c>
      <c r="K538" s="979">
        <v>2</v>
      </c>
      <c r="L538" s="980">
        <v>5.3999999999999999E-2</v>
      </c>
    </row>
    <row r="539" spans="1:12" s="227" customFormat="1" ht="22.5" customHeight="1" x14ac:dyDescent="0.2">
      <c r="A539" s="974" t="s">
        <v>1122</v>
      </c>
      <c r="B539" s="974" t="s">
        <v>1123</v>
      </c>
      <c r="C539" s="1030">
        <v>90.560400000000001</v>
      </c>
      <c r="D539" s="985">
        <v>1.1999999999999999E-3</v>
      </c>
      <c r="E539" s="1031">
        <v>1.8100000000000002E-2</v>
      </c>
      <c r="F539" s="1008">
        <v>1.8200000000000001E-2</v>
      </c>
      <c r="G539" s="981">
        <v>90.546999999999997</v>
      </c>
      <c r="H539" s="1031">
        <v>1.3582000000000001</v>
      </c>
      <c r="I539" s="1021">
        <v>2</v>
      </c>
      <c r="J539" s="978">
        <v>-1.2999999999999999E-2</v>
      </c>
      <c r="K539" s="979">
        <v>2</v>
      </c>
      <c r="L539" s="980">
        <v>1.359</v>
      </c>
    </row>
    <row r="540" spans="1:12" s="227" customFormat="1" ht="14.25" customHeight="1" x14ac:dyDescent="0.2">
      <c r="A540" s="997" t="s">
        <v>1124</v>
      </c>
      <c r="B540" s="997" t="s">
        <v>1125</v>
      </c>
      <c r="C540" s="1028">
        <v>90.601799999999997</v>
      </c>
      <c r="D540" s="1026">
        <v>1.1999999999999999E-3</v>
      </c>
      <c r="E540" s="1029">
        <v>1.8100000000000002E-2</v>
      </c>
      <c r="F540" s="1011">
        <v>1.8200000000000001E-2</v>
      </c>
      <c r="G540" s="1009">
        <v>90.596999999999994</v>
      </c>
      <c r="H540" s="1029">
        <v>0.1</v>
      </c>
      <c r="I540" s="1027">
        <v>2</v>
      </c>
      <c r="J540" s="1001">
        <v>-5.0000000000000001E-3</v>
      </c>
      <c r="K540" s="1002">
        <v>2</v>
      </c>
      <c r="L540" s="1003">
        <v>0.106</v>
      </c>
    </row>
    <row r="541" spans="1:12" s="227" customFormat="1" ht="15.6" customHeight="1" x14ac:dyDescent="0.2">
      <c r="A541" s="983"/>
      <c r="B541" s="983"/>
      <c r="C541" s="976"/>
      <c r="D541" s="976"/>
      <c r="E541" s="976"/>
      <c r="F541" s="984"/>
      <c r="G541" s="985"/>
      <c r="H541" s="985"/>
      <c r="I541" s="986"/>
      <c r="J541" s="987"/>
      <c r="K541" s="979"/>
      <c r="L541" s="988"/>
    </row>
    <row r="542" spans="1:12" s="227" customFormat="1" ht="15.6" customHeight="1" x14ac:dyDescent="0.2">
      <c r="A542" s="960" t="s">
        <v>1166</v>
      </c>
      <c r="B542" s="983"/>
      <c r="C542" s="976"/>
      <c r="D542" s="976"/>
      <c r="E542" s="976"/>
      <c r="F542" s="984"/>
      <c r="G542" s="985"/>
      <c r="H542" s="985"/>
      <c r="I542" s="986"/>
      <c r="J542" s="987"/>
      <c r="K542" s="979"/>
      <c r="L542" s="988"/>
    </row>
    <row r="543" spans="1:12" s="227" customFormat="1" ht="14.1" customHeight="1" x14ac:dyDescent="0.2">
      <c r="A543" s="961" t="s">
        <v>1082</v>
      </c>
      <c r="B543" s="961" t="s">
        <v>1083</v>
      </c>
      <c r="C543" s="625" t="s">
        <v>1084</v>
      </c>
      <c r="D543" s="1018" t="s">
        <v>1085</v>
      </c>
      <c r="E543" s="626" t="s">
        <v>1086</v>
      </c>
      <c r="F543" s="966" t="s">
        <v>1087</v>
      </c>
      <c r="G543" s="625" t="s">
        <v>1088</v>
      </c>
      <c r="H543" s="626" t="s">
        <v>1089</v>
      </c>
      <c r="I543" s="626" t="s">
        <v>1090</v>
      </c>
      <c r="J543" s="964" t="s">
        <v>1091</v>
      </c>
      <c r="K543" s="965" t="s">
        <v>1092</v>
      </c>
      <c r="L543" s="966" t="s">
        <v>1093</v>
      </c>
    </row>
    <row r="544" spans="1:12" s="227" customFormat="1" ht="12.75" customHeight="1" x14ac:dyDescent="0.2">
      <c r="A544" s="967" t="s">
        <v>1094</v>
      </c>
      <c r="B544" s="967" t="s">
        <v>1126</v>
      </c>
      <c r="C544" s="1032">
        <v>82.306700000000006</v>
      </c>
      <c r="D544" s="1019">
        <v>4.4000000000000003E-3</v>
      </c>
      <c r="E544" s="1033">
        <v>1.6500000000000001E-2</v>
      </c>
      <c r="F544" s="1006">
        <v>1.7000000000000001E-2</v>
      </c>
      <c r="G544" s="1050">
        <v>82.307000000000002</v>
      </c>
      <c r="H544" s="1051">
        <v>5.8000000000000003E-2</v>
      </c>
      <c r="I544" s="1052">
        <v>2</v>
      </c>
      <c r="J544" s="971">
        <v>0</v>
      </c>
      <c r="K544" s="972">
        <v>2</v>
      </c>
      <c r="L544" s="973">
        <v>6.7000000000000004E-2</v>
      </c>
    </row>
    <row r="545" spans="1:12" s="227" customFormat="1" ht="13.5" customHeight="1" x14ac:dyDescent="0.2">
      <c r="A545" s="974" t="s">
        <v>1096</v>
      </c>
      <c r="B545" s="974" t="s">
        <v>1127</v>
      </c>
      <c r="C545" s="1030">
        <v>82.293499999999995</v>
      </c>
      <c r="D545" s="985">
        <v>4.4000000000000003E-3</v>
      </c>
      <c r="E545" s="1031">
        <v>1.6500000000000001E-2</v>
      </c>
      <c r="F545" s="1008">
        <v>1.7000000000000001E-2</v>
      </c>
      <c r="G545" s="1041">
        <v>82.44</v>
      </c>
      <c r="H545" s="1042">
        <v>0.25</v>
      </c>
      <c r="I545" s="1043">
        <v>2</v>
      </c>
      <c r="J545" s="978">
        <v>0.14699999999999999</v>
      </c>
      <c r="K545" s="979">
        <v>2</v>
      </c>
      <c r="L545" s="980">
        <v>0.252</v>
      </c>
    </row>
    <row r="546" spans="1:12" s="227" customFormat="1" ht="13.5" customHeight="1" x14ac:dyDescent="0.2">
      <c r="A546" s="974" t="s">
        <v>1098</v>
      </c>
      <c r="B546" s="974" t="s">
        <v>1128</v>
      </c>
      <c r="C546" s="1030">
        <v>82.327699999999993</v>
      </c>
      <c r="D546" s="985">
        <v>4.4000000000000003E-3</v>
      </c>
      <c r="E546" s="1031">
        <v>1.6500000000000001E-2</v>
      </c>
      <c r="F546" s="1008">
        <v>1.7000000000000001E-2</v>
      </c>
      <c r="G546" s="1041">
        <v>82.635000000000005</v>
      </c>
      <c r="H546" s="1042">
        <v>0.46300000000000002</v>
      </c>
      <c r="I546" s="1043">
        <v>2</v>
      </c>
      <c r="J546" s="978">
        <v>0.307</v>
      </c>
      <c r="K546" s="979">
        <v>2</v>
      </c>
      <c r="L546" s="980">
        <v>0.46400000000000002</v>
      </c>
    </row>
    <row r="547" spans="1:12" s="227" customFormat="1" ht="13.5" customHeight="1" x14ac:dyDescent="0.2">
      <c r="A547" s="974" t="s">
        <v>1100</v>
      </c>
      <c r="B547" s="974" t="s">
        <v>1129</v>
      </c>
      <c r="C547" s="1030">
        <v>82.284400000000005</v>
      </c>
      <c r="D547" s="985">
        <v>4.4000000000000003E-3</v>
      </c>
      <c r="E547" s="1031">
        <v>1.6500000000000001E-2</v>
      </c>
      <c r="F547" s="1008">
        <v>1.7000000000000001E-2</v>
      </c>
      <c r="G547" s="1041">
        <v>82.296999999999997</v>
      </c>
      <c r="H547" s="1042">
        <v>5.0999999999999997E-2</v>
      </c>
      <c r="I547" s="1043">
        <v>2</v>
      </c>
      <c r="J547" s="978">
        <v>1.2999999999999999E-2</v>
      </c>
      <c r="K547" s="979">
        <v>2</v>
      </c>
      <c r="L547" s="980">
        <v>6.0999999999999999E-2</v>
      </c>
    </row>
    <row r="548" spans="1:12" s="227" customFormat="1" ht="13.5" customHeight="1" x14ac:dyDescent="0.2">
      <c r="A548" s="974" t="s">
        <v>1102</v>
      </c>
      <c r="B548" s="974" t="s">
        <v>1130</v>
      </c>
      <c r="C548" s="1030">
        <v>82.305000000000007</v>
      </c>
      <c r="D548" s="985">
        <v>4.4000000000000003E-3</v>
      </c>
      <c r="E548" s="1031">
        <v>1.6500000000000001E-2</v>
      </c>
      <c r="F548" s="1008">
        <v>1.7000000000000001E-2</v>
      </c>
      <c r="G548" s="1041">
        <v>82.331999999999994</v>
      </c>
      <c r="H548" s="1042">
        <v>1.7999999999999999E-2</v>
      </c>
      <c r="I548" s="1047">
        <v>2.4300000000000002</v>
      </c>
      <c r="J548" s="978">
        <v>2.7E-2</v>
      </c>
      <c r="K548" s="979">
        <v>2</v>
      </c>
      <c r="L548" s="980">
        <v>3.6999999999999998E-2</v>
      </c>
    </row>
    <row r="549" spans="1:12" s="227" customFormat="1" ht="13.5" customHeight="1" x14ac:dyDescent="0.2">
      <c r="A549" s="974" t="s">
        <v>1104</v>
      </c>
      <c r="B549" s="974" t="s">
        <v>1131</v>
      </c>
      <c r="C549" s="1030">
        <v>82.329400000000007</v>
      </c>
      <c r="D549" s="985">
        <v>4.4000000000000003E-3</v>
      </c>
      <c r="E549" s="1031">
        <v>1.6500000000000001E-2</v>
      </c>
      <c r="F549" s="1008">
        <v>1.7000000000000001E-2</v>
      </c>
      <c r="G549" s="1041">
        <v>82.37</v>
      </c>
      <c r="H549" s="1042">
        <v>0.39</v>
      </c>
      <c r="I549" s="1043">
        <v>2</v>
      </c>
      <c r="J549" s="978">
        <v>4.1000000000000002E-2</v>
      </c>
      <c r="K549" s="979">
        <v>2</v>
      </c>
      <c r="L549" s="980">
        <v>0.39100000000000001</v>
      </c>
    </row>
    <row r="550" spans="1:12" s="227" customFormat="1" ht="13.5" customHeight="1" x14ac:dyDescent="0.2">
      <c r="A550" s="974" t="s">
        <v>1106</v>
      </c>
      <c r="B550" s="974" t="s">
        <v>1132</v>
      </c>
      <c r="C550" s="1030">
        <v>82.316900000000004</v>
      </c>
      <c r="D550" s="985">
        <v>4.4000000000000003E-3</v>
      </c>
      <c r="E550" s="1031">
        <v>1.6500000000000001E-2</v>
      </c>
      <c r="F550" s="1008">
        <v>1.7000000000000001E-2</v>
      </c>
      <c r="G550" s="1041">
        <v>82.29</v>
      </c>
      <c r="H550" s="1042">
        <v>0.09</v>
      </c>
      <c r="I550" s="1043">
        <v>2</v>
      </c>
      <c r="J550" s="978">
        <v>-2.7E-2</v>
      </c>
      <c r="K550" s="979">
        <v>2</v>
      </c>
      <c r="L550" s="980">
        <v>9.6000000000000002E-2</v>
      </c>
    </row>
    <row r="551" spans="1:12" s="227" customFormat="1" ht="13.5" customHeight="1" x14ac:dyDescent="0.2">
      <c r="A551" s="974" t="s">
        <v>1108</v>
      </c>
      <c r="B551" s="974" t="s">
        <v>1133</v>
      </c>
      <c r="C551" s="1030">
        <v>82.312700000000007</v>
      </c>
      <c r="D551" s="985">
        <v>4.4000000000000003E-3</v>
      </c>
      <c r="E551" s="1031">
        <v>1.6500000000000001E-2</v>
      </c>
      <c r="F551" s="1008">
        <v>1.7000000000000001E-2</v>
      </c>
      <c r="G551" s="1048"/>
      <c r="H551" s="1049"/>
      <c r="I551" s="1043">
        <v>2</v>
      </c>
      <c r="J551" s="1023"/>
      <c r="K551" s="1024"/>
      <c r="L551" s="1025"/>
    </row>
    <row r="552" spans="1:12" s="227" customFormat="1" ht="13.5" customHeight="1" x14ac:dyDescent="0.2">
      <c r="A552" s="974" t="s">
        <v>1110</v>
      </c>
      <c r="B552" s="974" t="s">
        <v>1134</v>
      </c>
      <c r="C552" s="1030">
        <v>82.284000000000006</v>
      </c>
      <c r="D552" s="985">
        <v>4.4000000000000003E-3</v>
      </c>
      <c r="E552" s="1031">
        <v>1.6500000000000001E-2</v>
      </c>
      <c r="F552" s="1008">
        <v>1.7000000000000001E-2</v>
      </c>
      <c r="G552" s="1041">
        <v>82.188000000000002</v>
      </c>
      <c r="H552" s="1042">
        <v>0.245</v>
      </c>
      <c r="I552" s="1043">
        <v>2</v>
      </c>
      <c r="J552" s="978">
        <v>-9.6000000000000002E-2</v>
      </c>
      <c r="K552" s="979">
        <v>2</v>
      </c>
      <c r="L552" s="980">
        <v>0.247</v>
      </c>
    </row>
    <row r="553" spans="1:12" s="227" customFormat="1" ht="13.5" customHeight="1" x14ac:dyDescent="0.2">
      <c r="A553" s="974" t="s">
        <v>1112</v>
      </c>
      <c r="B553" s="974" t="s">
        <v>1135</v>
      </c>
      <c r="C553" s="1030">
        <v>82.294200000000004</v>
      </c>
      <c r="D553" s="985">
        <v>4.4000000000000003E-3</v>
      </c>
      <c r="E553" s="1031">
        <v>1.6500000000000001E-2</v>
      </c>
      <c r="F553" s="1008">
        <v>1.7000000000000001E-2</v>
      </c>
      <c r="G553" s="1041">
        <v>82.319000000000003</v>
      </c>
      <c r="H553" s="1042">
        <v>0.125</v>
      </c>
      <c r="I553" s="1043">
        <v>2</v>
      </c>
      <c r="J553" s="978">
        <v>2.4E-2</v>
      </c>
      <c r="K553" s="979">
        <v>2</v>
      </c>
      <c r="L553" s="980">
        <v>0.13</v>
      </c>
    </row>
    <row r="554" spans="1:12" s="227" customFormat="1" ht="13.5" customHeight="1" x14ac:dyDescent="0.2">
      <c r="A554" s="974" t="s">
        <v>1114</v>
      </c>
      <c r="B554" s="974" t="s">
        <v>1136</v>
      </c>
      <c r="C554" s="1030">
        <v>82.291600000000003</v>
      </c>
      <c r="D554" s="985">
        <v>4.4000000000000003E-3</v>
      </c>
      <c r="E554" s="1031">
        <v>1.6500000000000001E-2</v>
      </c>
      <c r="F554" s="1008">
        <v>1.7000000000000001E-2</v>
      </c>
      <c r="G554" s="1041">
        <v>82.24</v>
      </c>
      <c r="H554" s="1042">
        <v>0.08</v>
      </c>
      <c r="I554" s="1047">
        <v>2.1800000000000002</v>
      </c>
      <c r="J554" s="978">
        <v>-5.1999999999999998E-2</v>
      </c>
      <c r="K554" s="979">
        <v>2</v>
      </c>
      <c r="L554" s="980">
        <v>8.1000000000000003E-2</v>
      </c>
    </row>
    <row r="555" spans="1:12" s="227" customFormat="1" ht="13.5" customHeight="1" x14ac:dyDescent="0.2">
      <c r="A555" s="974" t="s">
        <v>1116</v>
      </c>
      <c r="B555" s="974" t="s">
        <v>1137</v>
      </c>
      <c r="C555" s="1030">
        <v>82.353099999999998</v>
      </c>
      <c r="D555" s="985">
        <v>4.4000000000000003E-3</v>
      </c>
      <c r="E555" s="1031">
        <v>1.6500000000000001E-2</v>
      </c>
      <c r="F555" s="1008">
        <v>1.7100000000000001E-2</v>
      </c>
      <c r="G555" s="1041">
        <v>82.43</v>
      </c>
      <c r="H555" s="1042">
        <v>0.22</v>
      </c>
      <c r="I555" s="1043">
        <v>2</v>
      </c>
      <c r="J555" s="978">
        <v>7.6999999999999999E-2</v>
      </c>
      <c r="K555" s="979">
        <v>2</v>
      </c>
      <c r="L555" s="980">
        <v>0.223</v>
      </c>
    </row>
    <row r="556" spans="1:12" s="227" customFormat="1" ht="13.5" customHeight="1" x14ac:dyDescent="0.2">
      <c r="A556" s="974" t="s">
        <v>1118</v>
      </c>
      <c r="B556" s="974" t="s">
        <v>1138</v>
      </c>
      <c r="C556" s="1030">
        <v>82.304100000000005</v>
      </c>
      <c r="D556" s="985">
        <v>4.4000000000000003E-3</v>
      </c>
      <c r="E556" s="1031">
        <v>1.6500000000000001E-2</v>
      </c>
      <c r="F556" s="1008">
        <v>1.7000000000000001E-2</v>
      </c>
      <c r="G556" s="1041">
        <v>81.739999999999995</v>
      </c>
      <c r="H556" s="1042">
        <v>0.46</v>
      </c>
      <c r="I556" s="1043">
        <v>2</v>
      </c>
      <c r="J556" s="978">
        <v>-0.56399999999999995</v>
      </c>
      <c r="K556" s="979">
        <v>2</v>
      </c>
      <c r="L556" s="980">
        <v>0.46100000000000002</v>
      </c>
    </row>
    <row r="557" spans="1:12" s="227" customFormat="1" ht="13.5" customHeight="1" x14ac:dyDescent="0.2">
      <c r="A557" s="974" t="s">
        <v>1120</v>
      </c>
      <c r="B557" s="974" t="s">
        <v>1139</v>
      </c>
      <c r="C557" s="1030">
        <v>82.241299999999995</v>
      </c>
      <c r="D557" s="985">
        <v>4.4000000000000003E-3</v>
      </c>
      <c r="E557" s="1031">
        <v>1.6400000000000001E-2</v>
      </c>
      <c r="F557" s="1008">
        <v>1.7000000000000001E-2</v>
      </c>
      <c r="G557" s="1041">
        <v>82.22</v>
      </c>
      <c r="H557" s="1042">
        <v>0.12</v>
      </c>
      <c r="I557" s="1043">
        <v>2</v>
      </c>
      <c r="J557" s="978">
        <v>-2.1000000000000001E-2</v>
      </c>
      <c r="K557" s="979">
        <v>2</v>
      </c>
      <c r="L557" s="980">
        <v>0.125</v>
      </c>
    </row>
    <row r="558" spans="1:12" s="227" customFormat="1" ht="13.5" customHeight="1" x14ac:dyDescent="0.2">
      <c r="A558" s="974" t="s">
        <v>1122</v>
      </c>
      <c r="B558" s="974" t="s">
        <v>1140</v>
      </c>
      <c r="C558" s="1030">
        <v>82.306700000000006</v>
      </c>
      <c r="D558" s="985">
        <v>4.4000000000000003E-3</v>
      </c>
      <c r="E558" s="1031">
        <v>1.6500000000000001E-2</v>
      </c>
      <c r="F558" s="1008">
        <v>1.7000000000000001E-2</v>
      </c>
      <c r="G558" s="1041">
        <v>82.3</v>
      </c>
      <c r="H558" s="1042">
        <v>1.2350000000000001</v>
      </c>
      <c r="I558" s="1043">
        <v>2</v>
      </c>
      <c r="J558" s="978">
        <v>-7.0000000000000001E-3</v>
      </c>
      <c r="K558" s="979">
        <v>2</v>
      </c>
      <c r="L558" s="980">
        <v>1.2350000000000001</v>
      </c>
    </row>
    <row r="559" spans="1:12" s="227" customFormat="1" ht="15.6" customHeight="1" x14ac:dyDescent="0.2">
      <c r="A559" s="997" t="s">
        <v>1124</v>
      </c>
      <c r="B559" s="997" t="s">
        <v>1141</v>
      </c>
      <c r="C559" s="1028">
        <v>82.307699999999997</v>
      </c>
      <c r="D559" s="1026">
        <v>4.4000000000000003E-3</v>
      </c>
      <c r="E559" s="1029">
        <v>1.6500000000000001E-2</v>
      </c>
      <c r="F559" s="1011">
        <v>1.7000000000000001E-2</v>
      </c>
      <c r="G559" s="1044">
        <v>82.304000000000002</v>
      </c>
      <c r="H559" s="1045">
        <v>7.3999999999999996E-2</v>
      </c>
      <c r="I559" s="1046">
        <v>2</v>
      </c>
      <c r="J559" s="1001">
        <v>-4.0000000000000001E-3</v>
      </c>
      <c r="K559" s="1002">
        <v>2</v>
      </c>
      <c r="L559" s="1003">
        <v>8.1000000000000003E-2</v>
      </c>
    </row>
  </sheetData>
  <sheetProtection sheet="1" formatCells="0" formatColumns="0" formatRows="0"/>
  <mergeCells count="16">
    <mergeCell ref="A12:B12"/>
    <mergeCell ref="A13:B13"/>
    <mergeCell ref="C6:D6"/>
    <mergeCell ref="C7:D7"/>
    <mergeCell ref="C8:D8"/>
    <mergeCell ref="C9:D9"/>
    <mergeCell ref="C10:D10"/>
    <mergeCell ref="C11:D11"/>
    <mergeCell ref="C12:D12"/>
    <mergeCell ref="C13:D13"/>
    <mergeCell ref="A6:B6"/>
    <mergeCell ref="A7:B7"/>
    <mergeCell ref="A8:B8"/>
    <mergeCell ref="A9:B9"/>
    <mergeCell ref="A10:B10"/>
    <mergeCell ref="A11:B11"/>
  </mergeCells>
  <phoneticPr fontId="4"/>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C3C6F-FB36-4B96-9BD5-5DA6EB3AAD99}">
  <dimension ref="A1:Z141"/>
  <sheetViews>
    <sheetView zoomScale="160" zoomScaleNormal="160" workbookViewId="0">
      <selection activeCell="T16" sqref="T16"/>
    </sheetView>
  </sheetViews>
  <sheetFormatPr defaultColWidth="9.33203125" defaultRowHeight="12.75" x14ac:dyDescent="0.2"/>
  <cols>
    <col min="1" max="2" width="9.33203125" style="1"/>
    <col min="3" max="7" width="10.1640625" style="1" customWidth="1"/>
    <col min="8" max="8" width="9.33203125" style="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360</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361</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 customFormat="1" x14ac:dyDescent="0.2">
      <c r="A6" s="113"/>
      <c r="B6" s="99"/>
      <c r="C6" s="99"/>
      <c r="D6" s="99"/>
      <c r="E6" s="99"/>
      <c r="F6" s="99"/>
      <c r="G6" s="99"/>
      <c r="H6" s="99"/>
      <c r="I6" s="113"/>
      <c r="J6" s="113"/>
      <c r="K6" s="113"/>
      <c r="L6" s="113"/>
      <c r="M6" s="113"/>
      <c r="N6" s="113"/>
      <c r="O6" s="113"/>
      <c r="R6" s="113"/>
      <c r="S6" s="113"/>
      <c r="T6" s="146"/>
      <c r="U6" s="146"/>
    </row>
    <row r="7" spans="1:25" s="2" customFormat="1" x14ac:dyDescent="0.2">
      <c r="A7" s="113"/>
      <c r="B7" s="99"/>
      <c r="C7" s="99"/>
      <c r="D7" s="99"/>
      <c r="E7" s="99"/>
      <c r="F7" s="99"/>
      <c r="G7" s="99"/>
      <c r="H7" s="99"/>
      <c r="I7" s="113"/>
      <c r="J7" s="113"/>
      <c r="K7" s="113"/>
      <c r="L7" s="113"/>
      <c r="M7" s="113"/>
      <c r="N7" s="113"/>
      <c r="O7" s="113"/>
      <c r="R7" s="113"/>
      <c r="S7" s="113"/>
      <c r="T7" s="146"/>
      <c r="U7" s="146"/>
    </row>
    <row r="8" spans="1:25" s="2" customFormat="1" x14ac:dyDescent="0.2">
      <c r="A8" s="99"/>
      <c r="B8" s="99"/>
      <c r="C8" s="99"/>
      <c r="D8" s="99"/>
      <c r="E8" s="99"/>
      <c r="F8" s="99"/>
      <c r="G8" s="99"/>
      <c r="H8" s="99"/>
      <c r="I8" s="113"/>
      <c r="J8" s="113"/>
      <c r="K8" s="113"/>
      <c r="L8" s="113"/>
      <c r="M8" s="113"/>
      <c r="N8" s="113"/>
      <c r="O8" s="113"/>
      <c r="R8" s="113"/>
      <c r="S8" s="113"/>
      <c r="T8" s="146"/>
      <c r="U8" s="146"/>
    </row>
    <row r="9" spans="1:25" s="2" customFormat="1" x14ac:dyDescent="0.2">
      <c r="A9" s="113"/>
      <c r="B9" s="99"/>
      <c r="C9" s="99"/>
      <c r="D9" s="99"/>
      <c r="E9" s="99"/>
      <c r="F9" s="99"/>
      <c r="G9" s="99"/>
      <c r="H9" s="99"/>
      <c r="I9" s="113"/>
      <c r="J9" s="113"/>
      <c r="K9" s="113"/>
      <c r="L9" s="113"/>
      <c r="M9" s="113"/>
      <c r="N9" s="113"/>
      <c r="O9" s="113"/>
      <c r="R9" s="113"/>
      <c r="S9" s="113"/>
      <c r="T9" s="146"/>
      <c r="U9" s="146"/>
    </row>
    <row r="10" spans="1:25" x14ac:dyDescent="0.2">
      <c r="A10" s="102"/>
      <c r="B10" s="97"/>
      <c r="C10" s="97"/>
      <c r="D10" s="97"/>
      <c r="E10" s="97"/>
      <c r="F10" s="97"/>
      <c r="G10" s="97"/>
      <c r="H10" s="97"/>
      <c r="I10" s="113"/>
      <c r="J10" s="113"/>
      <c r="K10" s="113"/>
      <c r="L10" s="113"/>
      <c r="M10" s="113"/>
      <c r="N10" s="113"/>
      <c r="O10" s="113"/>
      <c r="R10" s="113"/>
      <c r="S10" s="113"/>
      <c r="T10" s="146"/>
      <c r="U10" s="146"/>
    </row>
    <row r="11" spans="1:25" x14ac:dyDescent="0.2">
      <c r="A11" s="97"/>
      <c r="B11" s="97"/>
      <c r="C11" s="97"/>
      <c r="D11" s="97"/>
      <c r="E11" s="97"/>
      <c r="F11" s="97"/>
      <c r="G11" s="97"/>
      <c r="H11" s="97"/>
      <c r="I11" s="113"/>
      <c r="J11" s="113"/>
      <c r="K11" s="113"/>
      <c r="L11" s="113"/>
      <c r="M11" s="113"/>
      <c r="N11" s="113"/>
      <c r="O11" s="113"/>
      <c r="R11" s="113"/>
      <c r="S11" s="113"/>
      <c r="T11" s="146"/>
      <c r="U11" s="146"/>
    </row>
    <row r="12" spans="1:25" x14ac:dyDescent="0.2">
      <c r="A12" s="97"/>
      <c r="B12" s="97"/>
      <c r="C12" s="97"/>
      <c r="D12" s="97"/>
      <c r="E12" s="97"/>
      <c r="F12" s="97"/>
      <c r="G12" s="97"/>
      <c r="H12" s="97"/>
      <c r="I12" s="113"/>
      <c r="J12" s="113"/>
      <c r="K12" s="113"/>
      <c r="L12" s="113"/>
      <c r="M12" s="113"/>
      <c r="N12" s="113"/>
      <c r="O12" s="113"/>
      <c r="R12" s="113"/>
      <c r="S12" s="113"/>
      <c r="T12" s="146"/>
      <c r="U12" s="146"/>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
        <v>362</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12</v>
      </c>
      <c r="N16" s="104" t="s">
        <v>1058</v>
      </c>
      <c r="O16" s="104" t="s">
        <v>100</v>
      </c>
      <c r="P16" s="6" t="s">
        <v>105</v>
      </c>
      <c r="Q16" s="6" t="s">
        <v>106</v>
      </c>
      <c r="R16" s="104" t="s">
        <v>1051</v>
      </c>
      <c r="S16" s="104" t="s">
        <v>1052</v>
      </c>
      <c r="T16" s="147" t="s">
        <v>80</v>
      </c>
      <c r="U16" s="147" t="s">
        <v>81</v>
      </c>
      <c r="V16" s="5" t="s">
        <v>101</v>
      </c>
      <c r="W16" s="5" t="s">
        <v>102</v>
      </c>
      <c r="X16" s="112" t="s">
        <v>103</v>
      </c>
      <c r="Y16" s="112" t="s">
        <v>104</v>
      </c>
    </row>
    <row r="17" spans="1:26" x14ac:dyDescent="0.2">
      <c r="A17" s="213" t="str">
        <f>A34</f>
        <v>CENAM</v>
      </c>
      <c r="B17" s="502">
        <f>B34</f>
        <v>22402</v>
      </c>
      <c r="C17" s="219">
        <f t="shared" ref="C17:C28" si="0">E34*0.001</f>
        <v>0.71879999999999999</v>
      </c>
      <c r="D17" s="219">
        <f t="shared" ref="D17:D28" si="1">H34*0.001</f>
        <v>5.6999999999999998E-4</v>
      </c>
      <c r="E17" s="219">
        <f>C34*0.001</f>
        <v>0.72699999999999998</v>
      </c>
      <c r="F17" s="219">
        <f>D34*0.001</f>
        <v>3.0000000000000001E-3</v>
      </c>
      <c r="G17" s="219">
        <f>I34*0.001</f>
        <v>8.199999999999999E-3</v>
      </c>
      <c r="H17" s="219">
        <f>J34*0.001</f>
        <v>6.0999999999999995E-3</v>
      </c>
      <c r="I17" s="155">
        <f t="shared" ref="I17:I28" si="2">IF(ABS(G17)&gt;ABS(H17), 1, 0)</f>
        <v>1</v>
      </c>
      <c r="J17" s="155">
        <f t="shared" ref="J17:J28" si="3">I17*ABS(C17-E17)</f>
        <v>8.1999999999999851E-3</v>
      </c>
      <c r="K17" s="155">
        <f t="shared" ref="K17:K28" si="4">SQRT(SUMSQ(F17,J17))*2</f>
        <v>1.7463103962354429E-2</v>
      </c>
      <c r="L17" s="155">
        <f t="shared" ref="L17:L28" si="5">IF(C17&lt;$K$2, C17, $K$1)</f>
        <v>0.71879999999999999</v>
      </c>
      <c r="M17" s="156">
        <f t="shared" ref="M17:M28" si="6">IF(AND(C17&lt;$K$1,C17&gt; $K$2), K17/L17*100, K17/C17*100)</f>
        <v>2.4294802396152519</v>
      </c>
      <c r="N17" s="157">
        <f t="shared" ref="N17" si="7">M17*L17/100</f>
        <v>1.7463103962354433E-2</v>
      </c>
      <c r="O17" s="155">
        <f t="shared" ref="O17" si="8">N17/(M17*L17/100)*100</f>
        <v>100</v>
      </c>
      <c r="P17" s="250">
        <v>1</v>
      </c>
      <c r="Q17" s="250">
        <v>1000</v>
      </c>
      <c r="R17" s="148">
        <f>IF( IF(P17&lt;L17, M17*L17/P17, M17)&gt;100, "ERROR",  IF(P17&lt;L17, M17*L17/P17, M17))</f>
        <v>2.4294802396152519</v>
      </c>
      <c r="S17" s="148">
        <f>IF(IF(Q17&lt;L17, M17*L17/Q17, M17)&gt;100, "ERROR", IF(Q17&lt;L17, M17*L17/Q17, M17))</f>
        <v>2.4294802396152519</v>
      </c>
      <c r="T17" s="148">
        <f>R17*P17*0.01</f>
        <v>2.4294802396152521E-2</v>
      </c>
      <c r="U17" s="148">
        <f>S17*Q17*0.01</f>
        <v>24.294802396152519</v>
      </c>
      <c r="V17" s="7">
        <f>P17*1000</f>
        <v>1000</v>
      </c>
      <c r="W17" s="7">
        <f>Q17*1000</f>
        <v>1000000</v>
      </c>
      <c r="X17" s="1345">
        <f>T17*1000</f>
        <v>24.294802396152523</v>
      </c>
      <c r="Y17" s="1345">
        <f>U17*1000</f>
        <v>24294.802396152518</v>
      </c>
    </row>
    <row r="18" spans="1:26" x14ac:dyDescent="0.2">
      <c r="A18" s="213" t="str">
        <f t="shared" ref="A18:B18" si="9">A35</f>
        <v>CERI/NMIJ</v>
      </c>
      <c r="B18" s="502">
        <f t="shared" si="9"/>
        <v>22492</v>
      </c>
      <c r="C18" s="219">
        <f t="shared" si="0"/>
        <v>0.71940000000000004</v>
      </c>
      <c r="D18" s="219">
        <f t="shared" si="1"/>
        <v>5.6000000000000006E-4</v>
      </c>
      <c r="E18" s="219">
        <f t="shared" ref="E18:F18" si="10">C35*0.001</f>
        <v>0.71770000000000012</v>
      </c>
      <c r="F18" s="219">
        <f t="shared" si="10"/>
        <v>2.3E-3</v>
      </c>
      <c r="G18" s="219">
        <f t="shared" ref="G18:H18" si="11">I35*0.001</f>
        <v>-1.6999999999999999E-3</v>
      </c>
      <c r="H18" s="219">
        <f t="shared" si="11"/>
        <v>4.7000000000000002E-3</v>
      </c>
      <c r="I18" s="155">
        <f t="shared" si="2"/>
        <v>0</v>
      </c>
      <c r="J18" s="155">
        <f t="shared" si="3"/>
        <v>0</v>
      </c>
      <c r="K18" s="155">
        <f t="shared" si="4"/>
        <v>4.5999999999999999E-3</v>
      </c>
      <c r="L18" s="155">
        <f t="shared" si="5"/>
        <v>0.71940000000000004</v>
      </c>
      <c r="M18" s="156">
        <f t="shared" si="6"/>
        <v>0.63942174033917143</v>
      </c>
      <c r="N18" s="157">
        <f t="shared" ref="N18:N28" si="12">M18*L18/100</f>
        <v>4.5999999999999999E-3</v>
      </c>
      <c r="O18" s="155">
        <f t="shared" ref="O18:O28" si="13">N18/(M18*L18/100)*100</f>
        <v>100</v>
      </c>
      <c r="P18" s="250">
        <v>1</v>
      </c>
      <c r="Q18" s="250">
        <v>1000</v>
      </c>
      <c r="R18" s="148">
        <f t="shared" ref="R18:R28" si="14">IF( IF(P18&lt;L18, M18*L18/P18, M18)&gt;100, "ERROR",  IF(P18&lt;L18, M18*L18/P18, M18))</f>
        <v>0.63942174033917143</v>
      </c>
      <c r="S18" s="148">
        <f t="shared" ref="S18:S28" si="15">IF(IF(Q18&lt;L18, M18*L18/Q18, M18)&gt;100, "ERROR", IF(Q18&lt;L18, M18*L18/Q18, M18))</f>
        <v>0.63942174033917143</v>
      </c>
      <c r="T18" s="148">
        <f t="shared" ref="T18:U28" si="16">R18*P18*0.01</f>
        <v>6.3942174033917148E-3</v>
      </c>
      <c r="U18" s="148">
        <f t="shared" si="16"/>
        <v>6.3942174033917141</v>
      </c>
      <c r="V18" s="7">
        <f t="shared" ref="V18:W28" si="17">P18*1000</f>
        <v>1000</v>
      </c>
      <c r="W18" s="7">
        <f t="shared" si="17"/>
        <v>1000000</v>
      </c>
      <c r="X18" s="1345">
        <f t="shared" ref="X18:Y28" si="18">T18*1000</f>
        <v>6.394217403391715</v>
      </c>
      <c r="Y18" s="1345">
        <f t="shared" si="18"/>
        <v>6394.2174033917145</v>
      </c>
    </row>
    <row r="19" spans="1:26" x14ac:dyDescent="0.2">
      <c r="A19" s="213" t="str">
        <f t="shared" ref="A19:B19" si="19">A36</f>
        <v>CHMI</v>
      </c>
      <c r="B19" s="502">
        <f t="shared" si="19"/>
        <v>22418</v>
      </c>
      <c r="C19" s="219">
        <f t="shared" si="0"/>
        <v>0.71850000000000003</v>
      </c>
      <c r="D19" s="219">
        <f t="shared" si="1"/>
        <v>6.8999999999999997E-4</v>
      </c>
      <c r="E19" s="219">
        <f t="shared" ref="E19:F19" si="20">C36*0.001</f>
        <v>0.71579999999999999</v>
      </c>
      <c r="F19" s="219">
        <f t="shared" si="20"/>
        <v>3.7499999999999999E-3</v>
      </c>
      <c r="G19" s="219">
        <f t="shared" ref="G19:H19" si="21">I36*0.001</f>
        <v>-2.7000000000000001E-3</v>
      </c>
      <c r="H19" s="219">
        <f t="shared" si="21"/>
        <v>7.6E-3</v>
      </c>
      <c r="I19" s="155">
        <f t="shared" si="2"/>
        <v>0</v>
      </c>
      <c r="J19" s="155">
        <f t="shared" si="3"/>
        <v>0</v>
      </c>
      <c r="K19" s="155">
        <f t="shared" si="4"/>
        <v>7.4999999999999997E-3</v>
      </c>
      <c r="L19" s="155">
        <f t="shared" si="5"/>
        <v>0.71850000000000003</v>
      </c>
      <c r="M19" s="156">
        <f t="shared" si="6"/>
        <v>1.0438413361169103</v>
      </c>
      <c r="N19" s="157">
        <f t="shared" si="12"/>
        <v>7.5000000000000015E-3</v>
      </c>
      <c r="O19" s="155">
        <f t="shared" si="13"/>
        <v>100</v>
      </c>
      <c r="P19" s="250">
        <v>1</v>
      </c>
      <c r="Q19" s="250">
        <v>1000</v>
      </c>
      <c r="R19" s="148">
        <f t="shared" si="14"/>
        <v>1.0438413361169103</v>
      </c>
      <c r="S19" s="148">
        <f t="shared" si="15"/>
        <v>1.0438413361169103</v>
      </c>
      <c r="T19" s="148">
        <f t="shared" si="16"/>
        <v>1.0438413361169104E-2</v>
      </c>
      <c r="U19" s="148">
        <f t="shared" si="16"/>
        <v>10.438413361169102</v>
      </c>
      <c r="V19" s="7">
        <f t="shared" si="17"/>
        <v>1000</v>
      </c>
      <c r="W19" s="7">
        <f t="shared" si="17"/>
        <v>1000000</v>
      </c>
      <c r="X19" s="1345">
        <f t="shared" si="18"/>
        <v>10.438413361169104</v>
      </c>
      <c r="Y19" s="1345">
        <f t="shared" si="18"/>
        <v>10438.413361169103</v>
      </c>
    </row>
    <row r="20" spans="1:26" x14ac:dyDescent="0.2">
      <c r="A20" s="213" t="str">
        <f t="shared" ref="A20:B20" si="22">A37</f>
        <v>FMI</v>
      </c>
      <c r="B20" s="502">
        <f t="shared" si="22"/>
        <v>22416</v>
      </c>
      <c r="C20" s="219">
        <f t="shared" si="0"/>
        <v>0.72529999999999994</v>
      </c>
      <c r="D20" s="219">
        <f t="shared" si="1"/>
        <v>9.3999999999999997E-4</v>
      </c>
      <c r="E20" s="219">
        <f t="shared" ref="E20:F20" si="23">C37*0.001</f>
        <v>0.72110000000000007</v>
      </c>
      <c r="F20" s="219">
        <f t="shared" si="23"/>
        <v>5.77E-3</v>
      </c>
      <c r="G20" s="219">
        <f t="shared" ref="G20:H20" si="24">I37*0.001</f>
        <v>-4.2000000000000006E-3</v>
      </c>
      <c r="H20" s="219">
        <f t="shared" si="24"/>
        <v>1.17E-2</v>
      </c>
      <c r="I20" s="155">
        <f t="shared" si="2"/>
        <v>0</v>
      </c>
      <c r="J20" s="155">
        <f t="shared" si="3"/>
        <v>0</v>
      </c>
      <c r="K20" s="155">
        <f t="shared" si="4"/>
        <v>1.154E-2</v>
      </c>
      <c r="L20" s="155">
        <f t="shared" si="5"/>
        <v>0.72529999999999994</v>
      </c>
      <c r="M20" s="156">
        <f t="shared" si="6"/>
        <v>1.5910657658899767</v>
      </c>
      <c r="N20" s="157">
        <f t="shared" si="12"/>
        <v>1.1540000000000002E-2</v>
      </c>
      <c r="O20" s="155">
        <f t="shared" si="13"/>
        <v>100</v>
      </c>
      <c r="P20" s="250">
        <v>1</v>
      </c>
      <c r="Q20" s="250">
        <v>1000</v>
      </c>
      <c r="R20" s="148">
        <f t="shared" si="14"/>
        <v>1.5910657658899767</v>
      </c>
      <c r="S20" s="148">
        <f t="shared" si="15"/>
        <v>1.5910657658899767</v>
      </c>
      <c r="T20" s="148">
        <f t="shared" si="16"/>
        <v>1.5910657658899766E-2</v>
      </c>
      <c r="U20" s="148">
        <f t="shared" si="16"/>
        <v>15.910657658899767</v>
      </c>
      <c r="V20" s="7">
        <f t="shared" si="17"/>
        <v>1000</v>
      </c>
      <c r="W20" s="7">
        <f t="shared" si="17"/>
        <v>1000000</v>
      </c>
      <c r="X20" s="1345">
        <f t="shared" si="18"/>
        <v>15.910657658899765</v>
      </c>
      <c r="Y20" s="1345">
        <f t="shared" si="18"/>
        <v>15910.657658899767</v>
      </c>
    </row>
    <row r="21" spans="1:26" x14ac:dyDescent="0.2">
      <c r="A21" s="213" t="str">
        <f t="shared" ref="A21:B21" si="25">A38</f>
        <v>JRC</v>
      </c>
      <c r="B21" s="502">
        <f t="shared" si="25"/>
        <v>22496</v>
      </c>
      <c r="C21" s="219">
        <f t="shared" si="0"/>
        <v>0.71889999999999998</v>
      </c>
      <c r="D21" s="219">
        <f t="shared" si="1"/>
        <v>7.5000000000000002E-4</v>
      </c>
      <c r="E21" s="219">
        <f t="shared" ref="E21:F21" si="26">C38*0.001</f>
        <v>0.7278</v>
      </c>
      <c r="F21" s="219">
        <f t="shared" si="26"/>
        <v>1.4499999999999999E-3</v>
      </c>
      <c r="G21" s="219">
        <f t="shared" ref="G21:H21" si="27">I38*0.001</f>
        <v>8.8999999999999999E-3</v>
      </c>
      <c r="H21" s="219">
        <f t="shared" si="27"/>
        <v>3.3E-3</v>
      </c>
      <c r="I21" s="155">
        <f t="shared" si="2"/>
        <v>1</v>
      </c>
      <c r="J21" s="155">
        <f t="shared" si="3"/>
        <v>8.900000000000019E-3</v>
      </c>
      <c r="K21" s="155">
        <f t="shared" si="4"/>
        <v>1.8034688796871472E-2</v>
      </c>
      <c r="L21" s="155">
        <f t="shared" si="5"/>
        <v>0.71889999999999998</v>
      </c>
      <c r="M21" s="156">
        <f t="shared" si="6"/>
        <v>2.5086505490153668</v>
      </c>
      <c r="N21" s="157">
        <f t="shared" si="12"/>
        <v>1.8034688796871472E-2</v>
      </c>
      <c r="O21" s="155">
        <f t="shared" si="13"/>
        <v>100</v>
      </c>
      <c r="P21" s="250">
        <v>1</v>
      </c>
      <c r="Q21" s="250">
        <v>1000</v>
      </c>
      <c r="R21" s="148">
        <f t="shared" si="14"/>
        <v>2.5086505490153668</v>
      </c>
      <c r="S21" s="148">
        <f t="shared" si="15"/>
        <v>2.5086505490153668</v>
      </c>
      <c r="T21" s="148">
        <f t="shared" si="16"/>
        <v>2.508650549015367E-2</v>
      </c>
      <c r="U21" s="148">
        <f t="shared" si="16"/>
        <v>25.086505490153669</v>
      </c>
      <c r="V21" s="7">
        <f t="shared" si="17"/>
        <v>1000</v>
      </c>
      <c r="W21" s="7">
        <f t="shared" si="17"/>
        <v>1000000</v>
      </c>
      <c r="X21" s="1345">
        <f t="shared" si="18"/>
        <v>25.086505490153669</v>
      </c>
      <c r="Y21" s="1345">
        <f t="shared" si="18"/>
        <v>25086.505490153668</v>
      </c>
    </row>
    <row r="22" spans="1:26" x14ac:dyDescent="0.2">
      <c r="A22" s="213" t="str">
        <f t="shared" ref="A22:B22" si="28">A39</f>
        <v>KRISS</v>
      </c>
      <c r="B22" s="502">
        <f t="shared" si="28"/>
        <v>22423</v>
      </c>
      <c r="C22" s="219">
        <f t="shared" si="0"/>
        <v>0.71210000000000007</v>
      </c>
      <c r="D22" s="219">
        <f t="shared" si="1"/>
        <v>6.8999999999999997E-4</v>
      </c>
      <c r="E22" s="219">
        <f t="shared" ref="E22:F22" si="29">C39*0.001</f>
        <v>0.71320000000000006</v>
      </c>
      <c r="F22" s="219">
        <f t="shared" si="29"/>
        <v>4.3499999999999997E-3</v>
      </c>
      <c r="G22" s="219">
        <f t="shared" ref="G22:H22" si="30">I39*0.001</f>
        <v>1.1000000000000001E-3</v>
      </c>
      <c r="H22" s="219">
        <f t="shared" si="30"/>
        <v>8.8000000000000005E-3</v>
      </c>
      <c r="I22" s="155">
        <f t="shared" si="2"/>
        <v>0</v>
      </c>
      <c r="J22" s="155">
        <f t="shared" si="3"/>
        <v>0</v>
      </c>
      <c r="K22" s="155">
        <f t="shared" si="4"/>
        <v>8.6999999999999994E-3</v>
      </c>
      <c r="L22" s="155">
        <f t="shared" si="5"/>
        <v>0.71210000000000007</v>
      </c>
      <c r="M22" s="156">
        <f t="shared" si="6"/>
        <v>1.2217385198708044</v>
      </c>
      <c r="N22" s="157">
        <f t="shared" si="12"/>
        <v>8.6999999999999994E-3</v>
      </c>
      <c r="O22" s="155">
        <f t="shared" si="13"/>
        <v>100</v>
      </c>
      <c r="P22" s="250">
        <v>1</v>
      </c>
      <c r="Q22" s="250">
        <v>1000</v>
      </c>
      <c r="R22" s="148">
        <f t="shared" si="14"/>
        <v>1.2217385198708044</v>
      </c>
      <c r="S22" s="148">
        <f t="shared" si="15"/>
        <v>1.2217385198708044</v>
      </c>
      <c r="T22" s="148">
        <f t="shared" si="16"/>
        <v>1.2217385198708044E-2</v>
      </c>
      <c r="U22" s="148">
        <f t="shared" si="16"/>
        <v>12.217385198708044</v>
      </c>
      <c r="V22" s="7">
        <f t="shared" si="17"/>
        <v>1000</v>
      </c>
      <c r="W22" s="7">
        <f t="shared" si="17"/>
        <v>1000000</v>
      </c>
      <c r="X22" s="1345">
        <f t="shared" si="18"/>
        <v>12.217385198708044</v>
      </c>
      <c r="Y22" s="1345">
        <f t="shared" si="18"/>
        <v>12217.385198708043</v>
      </c>
    </row>
    <row r="23" spans="1:26" x14ac:dyDescent="0.2">
      <c r="A23" s="213" t="str">
        <f t="shared" ref="A23:B23" si="31">A40</f>
        <v>LNE</v>
      </c>
      <c r="B23" s="502">
        <f t="shared" si="31"/>
        <v>22422</v>
      </c>
      <c r="C23" s="219">
        <f t="shared" si="0"/>
        <v>0.72520000000000007</v>
      </c>
      <c r="D23" s="219">
        <f t="shared" si="1"/>
        <v>5.9999999999999995E-4</v>
      </c>
      <c r="E23" s="219">
        <f t="shared" ref="E23:F23" si="32">C40*0.001</f>
        <v>0.72570000000000001</v>
      </c>
      <c r="F23" s="219">
        <f t="shared" si="32"/>
        <v>2.8999999999999998E-3</v>
      </c>
      <c r="G23" s="219">
        <f t="shared" ref="G23:H23" si="33">I40*0.001</f>
        <v>5.0000000000000001E-4</v>
      </c>
      <c r="H23" s="219">
        <f t="shared" si="33"/>
        <v>5.9000000000000007E-3</v>
      </c>
      <c r="I23" s="155">
        <f t="shared" si="2"/>
        <v>0</v>
      </c>
      <c r="J23" s="155">
        <f t="shared" si="3"/>
        <v>0</v>
      </c>
      <c r="K23" s="155">
        <f t="shared" si="4"/>
        <v>5.7999999999999996E-3</v>
      </c>
      <c r="L23" s="155">
        <f t="shared" si="5"/>
        <v>0.72520000000000007</v>
      </c>
      <c r="M23" s="156">
        <f t="shared" si="6"/>
        <v>0.7997793712079424</v>
      </c>
      <c r="N23" s="157">
        <f t="shared" si="12"/>
        <v>5.7999999999999987E-3</v>
      </c>
      <c r="O23" s="155">
        <f t="shared" si="13"/>
        <v>100</v>
      </c>
      <c r="P23" s="250">
        <v>1</v>
      </c>
      <c r="Q23" s="250">
        <v>1000</v>
      </c>
      <c r="R23" s="148">
        <f t="shared" si="14"/>
        <v>0.7997793712079424</v>
      </c>
      <c r="S23" s="148">
        <f t="shared" si="15"/>
        <v>0.7997793712079424</v>
      </c>
      <c r="T23" s="148">
        <f t="shared" si="16"/>
        <v>7.9977937120794245E-3</v>
      </c>
      <c r="U23" s="148">
        <f t="shared" si="16"/>
        <v>7.9977937120794245</v>
      </c>
      <c r="V23" s="7">
        <f t="shared" si="17"/>
        <v>1000</v>
      </c>
      <c r="W23" s="7">
        <f t="shared" si="17"/>
        <v>1000000</v>
      </c>
      <c r="X23" s="1345">
        <f t="shared" si="18"/>
        <v>7.9977937120794245</v>
      </c>
      <c r="Y23" s="1345">
        <f t="shared" si="18"/>
        <v>7997.793712079424</v>
      </c>
    </row>
    <row r="24" spans="1:26" x14ac:dyDescent="0.2">
      <c r="A24" s="213" t="str">
        <f t="shared" ref="A24:B24" si="34">A41</f>
        <v>NIST</v>
      </c>
      <c r="B24" s="502">
        <f t="shared" si="34"/>
        <v>22396</v>
      </c>
      <c r="C24" s="219">
        <f t="shared" si="0"/>
        <v>0.71729999999999994</v>
      </c>
      <c r="D24" s="219">
        <f t="shared" si="1"/>
        <v>8.4000000000000003E-4</v>
      </c>
      <c r="E24" s="219">
        <f t="shared" ref="E24:F24" si="35">C41*0.001</f>
        <v>0.71499999999999997</v>
      </c>
      <c r="F24" s="219">
        <f t="shared" si="35"/>
        <v>3.5000000000000001E-3</v>
      </c>
      <c r="G24" s="219">
        <f t="shared" ref="G24:H24" si="36">I41*0.001</f>
        <v>-2.3E-3</v>
      </c>
      <c r="H24" s="219">
        <f t="shared" si="36"/>
        <v>7.2000000000000007E-3</v>
      </c>
      <c r="I24" s="155">
        <f t="shared" si="2"/>
        <v>0</v>
      </c>
      <c r="J24" s="155">
        <f t="shared" si="3"/>
        <v>0</v>
      </c>
      <c r="K24" s="155">
        <f t="shared" si="4"/>
        <v>7.0000000000000001E-3</v>
      </c>
      <c r="L24" s="155">
        <f t="shared" si="5"/>
        <v>0.71729999999999994</v>
      </c>
      <c r="M24" s="156">
        <f t="shared" si="6"/>
        <v>0.97588177889307137</v>
      </c>
      <c r="N24" s="157">
        <f t="shared" si="12"/>
        <v>7.000000000000001E-3</v>
      </c>
      <c r="O24" s="155">
        <f t="shared" si="13"/>
        <v>100</v>
      </c>
      <c r="P24" s="250">
        <v>1</v>
      </c>
      <c r="Q24" s="250">
        <v>1000</v>
      </c>
      <c r="R24" s="148">
        <f t="shared" si="14"/>
        <v>0.97588177889307137</v>
      </c>
      <c r="S24" s="148">
        <f t="shared" si="15"/>
        <v>0.97588177889307137</v>
      </c>
      <c r="T24" s="148">
        <f t="shared" si="16"/>
        <v>9.7588177889307137E-3</v>
      </c>
      <c r="U24" s="148">
        <f t="shared" si="16"/>
        <v>9.7588177889307133</v>
      </c>
      <c r="V24" s="7">
        <f t="shared" si="17"/>
        <v>1000</v>
      </c>
      <c r="W24" s="7">
        <f t="shared" si="17"/>
        <v>1000000</v>
      </c>
      <c r="X24" s="1345">
        <f t="shared" si="18"/>
        <v>9.7588177889307133</v>
      </c>
      <c r="Y24" s="1345">
        <f t="shared" si="18"/>
        <v>9758.8177889307135</v>
      </c>
    </row>
    <row r="25" spans="1:26" x14ac:dyDescent="0.2">
      <c r="A25" s="213" t="str">
        <f t="shared" ref="A25:B25" si="37">A42</f>
        <v>NMi</v>
      </c>
      <c r="B25" s="502">
        <f t="shared" si="37"/>
        <v>22414</v>
      </c>
      <c r="C25" s="219">
        <f t="shared" si="0"/>
        <v>0.72020000000000006</v>
      </c>
      <c r="D25" s="219">
        <f t="shared" si="1"/>
        <v>6.4000000000000005E-4</v>
      </c>
      <c r="E25" s="219">
        <f t="shared" ref="E25:F25" si="38">C42*0.001</f>
        <v>0.71810000000000007</v>
      </c>
      <c r="F25" s="219">
        <f t="shared" si="38"/>
        <v>4.0000000000000001E-3</v>
      </c>
      <c r="G25" s="219">
        <f t="shared" ref="G25:H25" si="39">I42*0.001</f>
        <v>-2.1000000000000003E-3</v>
      </c>
      <c r="H25" s="219">
        <f t="shared" si="39"/>
        <v>8.0999999999999996E-3</v>
      </c>
      <c r="I25" s="155">
        <f t="shared" si="2"/>
        <v>0</v>
      </c>
      <c r="J25" s="155">
        <f t="shared" si="3"/>
        <v>0</v>
      </c>
      <c r="K25" s="155">
        <f t="shared" si="4"/>
        <v>8.0000000000000002E-3</v>
      </c>
      <c r="L25" s="155">
        <f t="shared" si="5"/>
        <v>0.72020000000000006</v>
      </c>
      <c r="M25" s="156">
        <f t="shared" si="6"/>
        <v>1.1108025548458762</v>
      </c>
      <c r="N25" s="157">
        <f t="shared" si="12"/>
        <v>8.0000000000000019E-3</v>
      </c>
      <c r="O25" s="155">
        <f t="shared" si="13"/>
        <v>100</v>
      </c>
      <c r="P25" s="250">
        <v>1</v>
      </c>
      <c r="Q25" s="250">
        <v>1000</v>
      </c>
      <c r="R25" s="148">
        <f t="shared" si="14"/>
        <v>1.1108025548458762</v>
      </c>
      <c r="S25" s="148">
        <f t="shared" si="15"/>
        <v>1.1108025548458762</v>
      </c>
      <c r="T25" s="148">
        <f t="shared" si="16"/>
        <v>1.1108025548458762E-2</v>
      </c>
      <c r="U25" s="148">
        <f t="shared" si="16"/>
        <v>11.108025548458761</v>
      </c>
      <c r="V25" s="7">
        <f t="shared" si="17"/>
        <v>1000</v>
      </c>
      <c r="W25" s="7">
        <f t="shared" si="17"/>
        <v>1000000</v>
      </c>
      <c r="X25" s="1345">
        <f t="shared" si="18"/>
        <v>11.108025548458762</v>
      </c>
      <c r="Y25" s="1345">
        <f t="shared" si="18"/>
        <v>11108.025548458761</v>
      </c>
    </row>
    <row r="26" spans="1:26" x14ac:dyDescent="0.2">
      <c r="A26" s="213" t="str">
        <f t="shared" ref="A26:B26" si="40">A43</f>
        <v>NPL</v>
      </c>
      <c r="B26" s="502">
        <f t="shared" si="40"/>
        <v>22412</v>
      </c>
      <c r="C26" s="219">
        <f t="shared" si="0"/>
        <v>0.72270000000000001</v>
      </c>
      <c r="D26" s="219">
        <f t="shared" si="1"/>
        <v>6.0999999999999997E-4</v>
      </c>
      <c r="E26" s="219">
        <f t="shared" ref="E26:F26" si="41">C43*0.001</f>
        <v>0.72226999999999997</v>
      </c>
      <c r="F26" s="219">
        <f t="shared" si="41"/>
        <v>1.3000000000000002E-3</v>
      </c>
      <c r="G26" s="219">
        <f t="shared" ref="G26:H26" si="42">I43*0.001</f>
        <v>-5.0000000000000001E-4</v>
      </c>
      <c r="H26" s="219">
        <f t="shared" si="42"/>
        <v>2.8999999999999998E-3</v>
      </c>
      <c r="I26" s="155">
        <f t="shared" si="2"/>
        <v>0</v>
      </c>
      <c r="J26" s="155">
        <f t="shared" si="3"/>
        <v>0</v>
      </c>
      <c r="K26" s="155">
        <f t="shared" si="4"/>
        <v>2.6000000000000003E-3</v>
      </c>
      <c r="L26" s="155">
        <f t="shared" si="5"/>
        <v>0.72270000000000001</v>
      </c>
      <c r="M26" s="156">
        <f t="shared" si="6"/>
        <v>0.35976200359762012</v>
      </c>
      <c r="N26" s="157">
        <f t="shared" si="12"/>
        <v>2.6000000000000007E-3</v>
      </c>
      <c r="O26" s="155">
        <f t="shared" si="13"/>
        <v>100</v>
      </c>
      <c r="P26" s="250">
        <v>1</v>
      </c>
      <c r="Q26" s="250">
        <v>1000</v>
      </c>
      <c r="R26" s="148">
        <f t="shared" si="14"/>
        <v>0.35976200359762012</v>
      </c>
      <c r="S26" s="148">
        <f t="shared" si="15"/>
        <v>0.35976200359762012</v>
      </c>
      <c r="T26" s="148">
        <f t="shared" si="16"/>
        <v>3.5976200359762013E-3</v>
      </c>
      <c r="U26" s="148">
        <f t="shared" si="16"/>
        <v>3.5976200359762012</v>
      </c>
      <c r="V26" s="7">
        <f t="shared" si="17"/>
        <v>1000</v>
      </c>
      <c r="W26" s="7">
        <f t="shared" si="17"/>
        <v>1000000</v>
      </c>
      <c r="X26" s="1345">
        <f t="shared" si="18"/>
        <v>3.5976200359762012</v>
      </c>
      <c r="Y26" s="1345">
        <f t="shared" si="18"/>
        <v>3597.6200359762011</v>
      </c>
    </row>
    <row r="27" spans="1:26" x14ac:dyDescent="0.2">
      <c r="A27" s="213" t="str">
        <f t="shared" ref="A27:B27" si="43">A44</f>
        <v>UBA(D)</v>
      </c>
      <c r="B27" s="502">
        <f t="shared" si="43"/>
        <v>22411</v>
      </c>
      <c r="C27" s="219">
        <f t="shared" si="0"/>
        <v>0.71050000000000002</v>
      </c>
      <c r="D27" s="219">
        <f t="shared" si="1"/>
        <v>6.3000000000000003E-4</v>
      </c>
      <c r="E27" s="219">
        <f t="shared" ref="E27:F27" si="44">C44*0.001</f>
        <v>0.71379999999999999</v>
      </c>
      <c r="F27" s="219">
        <f t="shared" si="44"/>
        <v>2.9100000000000003E-3</v>
      </c>
      <c r="G27" s="219">
        <f t="shared" ref="G27:H27" si="45">I44*0.001</f>
        <v>3.3E-3</v>
      </c>
      <c r="H27" s="219">
        <f t="shared" si="45"/>
        <v>6.0000000000000001E-3</v>
      </c>
      <c r="I27" s="155">
        <f t="shared" si="2"/>
        <v>0</v>
      </c>
      <c r="J27" s="155">
        <f t="shared" si="3"/>
        <v>0</v>
      </c>
      <c r="K27" s="155">
        <f t="shared" si="4"/>
        <v>5.8200000000000005E-3</v>
      </c>
      <c r="L27" s="155">
        <f t="shared" si="5"/>
        <v>0.71050000000000002</v>
      </c>
      <c r="M27" s="156">
        <f t="shared" si="6"/>
        <v>0.81914144968332159</v>
      </c>
      <c r="N27" s="157">
        <f t="shared" si="12"/>
        <v>5.8199999999999997E-3</v>
      </c>
      <c r="O27" s="155">
        <f t="shared" si="13"/>
        <v>100</v>
      </c>
      <c r="P27" s="250">
        <v>1</v>
      </c>
      <c r="Q27" s="250">
        <v>1000</v>
      </c>
      <c r="R27" s="148">
        <f t="shared" si="14"/>
        <v>0.81914144968332159</v>
      </c>
      <c r="S27" s="148">
        <f t="shared" si="15"/>
        <v>0.81914144968332159</v>
      </c>
      <c r="T27" s="148">
        <f t="shared" si="16"/>
        <v>8.1914144968332162E-3</v>
      </c>
      <c r="U27" s="148">
        <f t="shared" si="16"/>
        <v>8.1914144968332163</v>
      </c>
      <c r="V27" s="7">
        <f t="shared" si="17"/>
        <v>1000</v>
      </c>
      <c r="W27" s="7">
        <f t="shared" si="17"/>
        <v>1000000</v>
      </c>
      <c r="X27" s="1345">
        <f t="shared" si="18"/>
        <v>8.1914144968332163</v>
      </c>
      <c r="Y27" s="1345">
        <f t="shared" si="18"/>
        <v>8191.4144968332166</v>
      </c>
    </row>
    <row r="28" spans="1:26" x14ac:dyDescent="0.2">
      <c r="A28" s="213" t="str">
        <f t="shared" ref="A28:B28" si="46">A45</f>
        <v>VNIIM</v>
      </c>
      <c r="B28" s="502">
        <f t="shared" si="46"/>
        <v>22403</v>
      </c>
      <c r="C28" s="219">
        <f t="shared" si="0"/>
        <v>0.71389999999999998</v>
      </c>
      <c r="D28" s="219">
        <f t="shared" si="1"/>
        <v>7.1999999999999994E-4</v>
      </c>
      <c r="E28" s="219">
        <f t="shared" ref="E28:F28" si="47">C45*0.001</f>
        <v>0.71129999999999993</v>
      </c>
      <c r="F28" s="219">
        <f t="shared" si="47"/>
        <v>4.62E-3</v>
      </c>
      <c r="G28" s="219">
        <f t="shared" ref="G28:H28" si="48">I45*0.001</f>
        <v>-2.63E-3</v>
      </c>
      <c r="H28" s="219">
        <f t="shared" si="48"/>
        <v>9.4000000000000004E-3</v>
      </c>
      <c r="I28" s="155">
        <f t="shared" si="2"/>
        <v>0</v>
      </c>
      <c r="J28" s="155">
        <f t="shared" si="3"/>
        <v>0</v>
      </c>
      <c r="K28" s="155">
        <f t="shared" si="4"/>
        <v>9.2399999999999999E-3</v>
      </c>
      <c r="L28" s="155">
        <f t="shared" si="5"/>
        <v>0.71389999999999998</v>
      </c>
      <c r="M28" s="156">
        <f t="shared" si="6"/>
        <v>1.2942989214175655</v>
      </c>
      <c r="N28" s="157">
        <f t="shared" si="12"/>
        <v>9.2399999999999999E-3</v>
      </c>
      <c r="O28" s="155">
        <f t="shared" si="13"/>
        <v>100</v>
      </c>
      <c r="P28" s="250">
        <v>1</v>
      </c>
      <c r="Q28" s="250">
        <v>1000</v>
      </c>
      <c r="R28" s="148">
        <f t="shared" si="14"/>
        <v>1.2942989214175655</v>
      </c>
      <c r="S28" s="148">
        <f t="shared" si="15"/>
        <v>1.2942989214175655</v>
      </c>
      <c r="T28" s="148">
        <f t="shared" si="16"/>
        <v>1.2942989214175655E-2</v>
      </c>
      <c r="U28" s="148">
        <f t="shared" si="16"/>
        <v>12.942989214175654</v>
      </c>
      <c r="V28" s="7">
        <f t="shared" si="17"/>
        <v>1000</v>
      </c>
      <c r="W28" s="7">
        <f t="shared" si="17"/>
        <v>1000000</v>
      </c>
      <c r="X28" s="1345">
        <f t="shared" si="18"/>
        <v>12.942989214175656</v>
      </c>
      <c r="Y28" s="1345">
        <f t="shared" si="18"/>
        <v>12942.989214175654</v>
      </c>
    </row>
    <row r="29" spans="1:26" ht="14.25" x14ac:dyDescent="0.2">
      <c r="H29" s="9"/>
      <c r="U29" s="152"/>
      <c r="V29" s="21"/>
      <c r="W29" s="21"/>
      <c r="X29" s="21"/>
      <c r="Y29" s="21"/>
      <c r="Z29" s="21"/>
    </row>
    <row r="30" spans="1:26" ht="14.25" x14ac:dyDescent="0.2">
      <c r="H30" s="9"/>
      <c r="U30" s="152"/>
      <c r="V30" s="21"/>
      <c r="W30" s="21"/>
      <c r="X30" s="21"/>
      <c r="Y30" s="21"/>
      <c r="Z30" s="21"/>
    </row>
    <row r="31" spans="1:26" ht="14.25" x14ac:dyDescent="0.2">
      <c r="H31" s="9"/>
      <c r="V31" s="21"/>
      <c r="W31" s="21"/>
      <c r="X31" s="21"/>
      <c r="Y31" s="21"/>
      <c r="Z31" s="21"/>
    </row>
    <row r="32" spans="1:26" s="226" customFormat="1" x14ac:dyDescent="0.2">
      <c r="A32" s="226" t="s">
        <v>363</v>
      </c>
    </row>
    <row r="33" spans="1:26" s="226" customFormat="1" ht="39.75" x14ac:dyDescent="0.2">
      <c r="A33" s="462" t="s">
        <v>0</v>
      </c>
      <c r="B33" s="463" t="s">
        <v>364</v>
      </c>
      <c r="C33" s="464" t="s">
        <v>365</v>
      </c>
      <c r="D33" s="465" t="s">
        <v>366</v>
      </c>
      <c r="E33" s="464" t="s">
        <v>367</v>
      </c>
      <c r="F33" s="464" t="s">
        <v>368</v>
      </c>
      <c r="G33" s="465" t="s">
        <v>369</v>
      </c>
      <c r="H33" s="464" t="s">
        <v>370</v>
      </c>
      <c r="I33" s="465" t="s">
        <v>371</v>
      </c>
      <c r="J33" s="466" t="s">
        <v>372</v>
      </c>
      <c r="M33" s="412"/>
      <c r="O33" s="412"/>
    </row>
    <row r="34" spans="1:26" s="226" customFormat="1" x14ac:dyDescent="0.2">
      <c r="A34" s="467" t="s">
        <v>373</v>
      </c>
      <c r="B34" s="468">
        <v>22402</v>
      </c>
      <c r="C34" s="469">
        <v>727</v>
      </c>
      <c r="D34" s="470">
        <v>3</v>
      </c>
      <c r="E34" s="471">
        <v>718.8</v>
      </c>
      <c r="F34" s="471">
        <v>1.3</v>
      </c>
      <c r="G34" s="472">
        <v>0.1</v>
      </c>
      <c r="H34" s="473">
        <v>0.56999999999999995</v>
      </c>
      <c r="I34" s="472">
        <v>8.1999999999999993</v>
      </c>
      <c r="J34" s="474">
        <v>6.1</v>
      </c>
      <c r="M34" s="475"/>
      <c r="O34" s="475"/>
    </row>
    <row r="35" spans="1:26" s="226" customFormat="1" ht="25.5" x14ac:dyDescent="0.2">
      <c r="A35" s="476" t="s">
        <v>374</v>
      </c>
      <c r="B35" s="477">
        <v>22492</v>
      </c>
      <c r="C35" s="478">
        <v>717.7</v>
      </c>
      <c r="D35" s="479">
        <v>2.2999999999999998</v>
      </c>
      <c r="E35" s="480">
        <v>719.4</v>
      </c>
      <c r="F35" s="480">
        <v>1.4</v>
      </c>
      <c r="G35" s="481">
        <v>0.1</v>
      </c>
      <c r="H35" s="482">
        <v>0.56000000000000005</v>
      </c>
      <c r="I35" s="481">
        <v>-1.7</v>
      </c>
      <c r="J35" s="483">
        <v>4.7</v>
      </c>
      <c r="M35" s="475"/>
      <c r="O35" s="475"/>
    </row>
    <row r="36" spans="1:26" s="226" customFormat="1" x14ac:dyDescent="0.2">
      <c r="A36" s="476" t="s">
        <v>68</v>
      </c>
      <c r="B36" s="477">
        <v>22418</v>
      </c>
      <c r="C36" s="478">
        <v>715.8</v>
      </c>
      <c r="D36" s="479">
        <v>3.75</v>
      </c>
      <c r="E36" s="480">
        <v>718.5</v>
      </c>
      <c r="F36" s="480">
        <v>1.7</v>
      </c>
      <c r="G36" s="481">
        <v>0.1</v>
      </c>
      <c r="H36" s="482">
        <v>0.69</v>
      </c>
      <c r="I36" s="481">
        <v>-2.7</v>
      </c>
      <c r="J36" s="483">
        <v>7.6</v>
      </c>
      <c r="M36" s="475"/>
      <c r="O36" s="475"/>
    </row>
    <row r="37" spans="1:26" s="226" customFormat="1" x14ac:dyDescent="0.2">
      <c r="A37" s="476" t="s">
        <v>375</v>
      </c>
      <c r="B37" s="477">
        <v>22416</v>
      </c>
      <c r="C37" s="478">
        <v>721.1</v>
      </c>
      <c r="D37" s="479">
        <v>5.77</v>
      </c>
      <c r="E37" s="480">
        <v>725.3</v>
      </c>
      <c r="F37" s="480">
        <v>2.2999999999999998</v>
      </c>
      <c r="G37" s="481">
        <v>0.1</v>
      </c>
      <c r="H37" s="482">
        <v>0.94</v>
      </c>
      <c r="I37" s="481">
        <v>-4.2</v>
      </c>
      <c r="J37" s="483">
        <v>11.7</v>
      </c>
      <c r="M37" s="475"/>
      <c r="O37" s="475"/>
    </row>
    <row r="38" spans="1:26" s="226" customFormat="1" x14ac:dyDescent="0.2">
      <c r="A38" s="476" t="s">
        <v>376</v>
      </c>
      <c r="B38" s="477">
        <v>22496</v>
      </c>
      <c r="C38" s="478">
        <v>727.8</v>
      </c>
      <c r="D38" s="479">
        <v>1.45</v>
      </c>
      <c r="E38" s="480">
        <v>718.9</v>
      </c>
      <c r="F38" s="480">
        <v>1.8</v>
      </c>
      <c r="G38" s="481">
        <v>0.1</v>
      </c>
      <c r="H38" s="482">
        <v>0.75</v>
      </c>
      <c r="I38" s="481">
        <v>8.9</v>
      </c>
      <c r="J38" s="483">
        <v>3.3</v>
      </c>
      <c r="M38" s="475"/>
      <c r="O38" s="475"/>
    </row>
    <row r="39" spans="1:26" s="226" customFormat="1" x14ac:dyDescent="0.2">
      <c r="A39" s="476" t="s">
        <v>17</v>
      </c>
      <c r="B39" s="477">
        <v>22423</v>
      </c>
      <c r="C39" s="478">
        <v>713.2</v>
      </c>
      <c r="D39" s="479">
        <v>4.3499999999999996</v>
      </c>
      <c r="E39" s="480">
        <v>712.1</v>
      </c>
      <c r="F39" s="480">
        <v>1.7</v>
      </c>
      <c r="G39" s="481">
        <v>0.1</v>
      </c>
      <c r="H39" s="482">
        <v>0.69</v>
      </c>
      <c r="I39" s="481">
        <v>1.1000000000000001</v>
      </c>
      <c r="J39" s="483">
        <v>8.8000000000000007</v>
      </c>
      <c r="M39" s="475"/>
      <c r="O39" s="475"/>
    </row>
    <row r="40" spans="1:26" s="226" customFormat="1" x14ac:dyDescent="0.2">
      <c r="A40" s="476" t="s">
        <v>18</v>
      </c>
      <c r="B40" s="477">
        <v>22422</v>
      </c>
      <c r="C40" s="478">
        <v>725.7</v>
      </c>
      <c r="D40" s="479">
        <v>2.9</v>
      </c>
      <c r="E40" s="480">
        <v>725.2</v>
      </c>
      <c r="F40" s="480">
        <v>1.5</v>
      </c>
      <c r="G40" s="481">
        <v>0.1</v>
      </c>
      <c r="H40" s="482">
        <v>0.6</v>
      </c>
      <c r="I40" s="481">
        <v>0.5</v>
      </c>
      <c r="J40" s="483">
        <v>5.9</v>
      </c>
      <c r="M40" s="475"/>
      <c r="O40" s="475"/>
    </row>
    <row r="41" spans="1:26" s="226" customFormat="1" x14ac:dyDescent="0.2">
      <c r="A41" s="476" t="s">
        <v>20</v>
      </c>
      <c r="B41" s="477">
        <v>22396</v>
      </c>
      <c r="C41" s="478">
        <v>715</v>
      </c>
      <c r="D41" s="479">
        <v>3.5</v>
      </c>
      <c r="E41" s="480">
        <v>717.3</v>
      </c>
      <c r="F41" s="480">
        <v>2.1</v>
      </c>
      <c r="G41" s="481">
        <v>0.1</v>
      </c>
      <c r="H41" s="482">
        <v>0.84</v>
      </c>
      <c r="I41" s="481">
        <v>-2.2999999999999998</v>
      </c>
      <c r="J41" s="483">
        <v>7.2</v>
      </c>
      <c r="M41" s="475"/>
      <c r="O41" s="475"/>
    </row>
    <row r="42" spans="1:26" s="226" customFormat="1" x14ac:dyDescent="0.2">
      <c r="A42" s="476" t="s">
        <v>377</v>
      </c>
      <c r="B42" s="477">
        <v>22414</v>
      </c>
      <c r="C42" s="478">
        <v>718.1</v>
      </c>
      <c r="D42" s="479">
        <v>4</v>
      </c>
      <c r="E42" s="480">
        <v>720.2</v>
      </c>
      <c r="F42" s="480">
        <v>1.6</v>
      </c>
      <c r="G42" s="481">
        <v>0.1</v>
      </c>
      <c r="H42" s="482">
        <v>0.64</v>
      </c>
      <c r="I42" s="481">
        <v>-2.1</v>
      </c>
      <c r="J42" s="483">
        <v>8.1</v>
      </c>
      <c r="M42" s="475"/>
      <c r="O42" s="475"/>
    </row>
    <row r="43" spans="1:26" s="226" customFormat="1" x14ac:dyDescent="0.2">
      <c r="A43" s="476" t="s">
        <v>16</v>
      </c>
      <c r="B43" s="477">
        <v>22412</v>
      </c>
      <c r="C43" s="478">
        <v>722.27</v>
      </c>
      <c r="D43" s="479">
        <v>1.3</v>
      </c>
      <c r="E43" s="480">
        <v>722.7</v>
      </c>
      <c r="F43" s="480">
        <v>1.5</v>
      </c>
      <c r="G43" s="481">
        <v>0.1</v>
      </c>
      <c r="H43" s="482">
        <v>0.61</v>
      </c>
      <c r="I43" s="481">
        <v>-0.5</v>
      </c>
      <c r="J43" s="483">
        <v>2.9</v>
      </c>
      <c r="M43" s="475"/>
      <c r="O43" s="475"/>
    </row>
    <row r="44" spans="1:26" s="226" customFormat="1" x14ac:dyDescent="0.2">
      <c r="A44" s="476" t="s">
        <v>378</v>
      </c>
      <c r="B44" s="477">
        <v>22411</v>
      </c>
      <c r="C44" s="478">
        <v>713.8</v>
      </c>
      <c r="D44" s="479">
        <v>2.91</v>
      </c>
      <c r="E44" s="480">
        <v>710.5</v>
      </c>
      <c r="F44" s="480">
        <v>1.5</v>
      </c>
      <c r="G44" s="481">
        <v>0.1</v>
      </c>
      <c r="H44" s="482">
        <v>0.63</v>
      </c>
      <c r="I44" s="481">
        <v>3.3</v>
      </c>
      <c r="J44" s="483">
        <v>6</v>
      </c>
      <c r="M44" s="475"/>
      <c r="O44" s="475"/>
    </row>
    <row r="45" spans="1:26" s="226" customFormat="1" x14ac:dyDescent="0.2">
      <c r="A45" s="484" t="s">
        <v>2</v>
      </c>
      <c r="B45" s="485">
        <v>22403</v>
      </c>
      <c r="C45" s="486">
        <v>711.3</v>
      </c>
      <c r="D45" s="487">
        <v>4.62</v>
      </c>
      <c r="E45" s="488">
        <v>713.9</v>
      </c>
      <c r="F45" s="488">
        <v>1.8</v>
      </c>
      <c r="G45" s="489">
        <v>0.1</v>
      </c>
      <c r="H45" s="490">
        <v>0.72</v>
      </c>
      <c r="I45" s="487">
        <v>-2.63</v>
      </c>
      <c r="J45" s="491">
        <v>9.4</v>
      </c>
      <c r="M45" s="492"/>
      <c r="O45" s="475"/>
    </row>
    <row r="46" spans="1:26" s="226" customFormat="1" x14ac:dyDescent="0.2">
      <c r="A46" s="493" t="s">
        <v>379</v>
      </c>
    </row>
    <row r="47" spans="1:26" s="226" customFormat="1" x14ac:dyDescent="0.2">
      <c r="A47" s="494" t="s">
        <v>19</v>
      </c>
      <c r="B47" s="495">
        <v>22520</v>
      </c>
      <c r="C47" s="496">
        <v>714.3</v>
      </c>
      <c r="D47" s="497">
        <v>2.2000000000000002</v>
      </c>
      <c r="E47" s="496">
        <v>712.6</v>
      </c>
      <c r="F47" s="498">
        <v>1.42</v>
      </c>
      <c r="G47" s="499">
        <v>0.2</v>
      </c>
      <c r="H47" s="500">
        <v>0.57999999999999996</v>
      </c>
      <c r="J47" s="501"/>
    </row>
    <row r="48" spans="1:26" ht="14.25" x14ac:dyDescent="0.2">
      <c r="H48" s="9"/>
      <c r="X48" s="21"/>
      <c r="Y48" s="21"/>
      <c r="Z48" s="21"/>
    </row>
    <row r="49" spans="8:26" ht="14.25" x14ac:dyDescent="0.2">
      <c r="H49" s="9"/>
      <c r="X49" s="21"/>
      <c r="Y49" s="21"/>
      <c r="Z49" s="21"/>
    </row>
    <row r="50" spans="8:26" ht="14.25" x14ac:dyDescent="0.2">
      <c r="H50" s="9"/>
      <c r="X50" s="21"/>
      <c r="Y50" s="21"/>
      <c r="Z50" s="21"/>
    </row>
    <row r="51" spans="8:26" ht="14.25" x14ac:dyDescent="0.2">
      <c r="H51" s="9"/>
      <c r="X51" s="21"/>
      <c r="Y51" s="21"/>
      <c r="Z51" s="21"/>
    </row>
    <row r="52" spans="8:26" ht="14.25" x14ac:dyDescent="0.2">
      <c r="H52" s="9"/>
      <c r="X52" s="21"/>
      <c r="Y52" s="21"/>
      <c r="Z52" s="21"/>
    </row>
    <row r="53" spans="8:26" ht="14.25" x14ac:dyDescent="0.2">
      <c r="H53" s="9"/>
      <c r="X53" s="21"/>
      <c r="Y53" s="21"/>
      <c r="Z53" s="21"/>
    </row>
    <row r="54" spans="8:26" ht="14.25" x14ac:dyDescent="0.2">
      <c r="H54" s="9"/>
      <c r="X54" s="21"/>
      <c r="Y54" s="21"/>
      <c r="Z54" s="21"/>
    </row>
    <row r="55" spans="8:26" ht="14.25" x14ac:dyDescent="0.2">
      <c r="H55" s="9"/>
      <c r="X55" s="21"/>
      <c r="Y55" s="21"/>
      <c r="Z55" s="21"/>
    </row>
    <row r="56" spans="8:26" ht="14.25" x14ac:dyDescent="0.2">
      <c r="H56" s="9"/>
      <c r="X56" s="21"/>
      <c r="Y56" s="21"/>
      <c r="Z56" s="21"/>
    </row>
    <row r="57" spans="8:26" ht="14.25" x14ac:dyDescent="0.2">
      <c r="H57" s="9"/>
      <c r="X57" s="21"/>
      <c r="Y57" s="21"/>
      <c r="Z57" s="21"/>
    </row>
    <row r="58" spans="8:26" ht="14.25" x14ac:dyDescent="0.2">
      <c r="H58" s="9"/>
      <c r="U58" s="152"/>
      <c r="V58" s="21"/>
      <c r="W58" s="21"/>
      <c r="X58" s="21"/>
      <c r="Y58" s="21"/>
      <c r="Z58" s="21"/>
    </row>
    <row r="59" spans="8:26" ht="14.25" x14ac:dyDescent="0.2">
      <c r="H59" s="9"/>
      <c r="U59" s="152"/>
      <c r="V59" s="21"/>
      <c r="W59" s="21"/>
      <c r="X59" s="21"/>
      <c r="Y59" s="21"/>
      <c r="Z59" s="21"/>
    </row>
    <row r="60" spans="8:26" ht="14.25" x14ac:dyDescent="0.2">
      <c r="H60" s="9"/>
      <c r="U60" s="152"/>
      <c r="V60" s="21"/>
      <c r="W60" s="21"/>
      <c r="X60" s="21"/>
      <c r="Y60" s="21"/>
      <c r="Z60" s="21"/>
    </row>
    <row r="61" spans="8:26" ht="14.25" x14ac:dyDescent="0.2">
      <c r="H61" s="9"/>
      <c r="U61" s="152"/>
      <c r="V61" s="21"/>
      <c r="W61" s="21"/>
      <c r="X61" s="21"/>
      <c r="Y61" s="21"/>
      <c r="Z61" s="21"/>
    </row>
    <row r="62" spans="8:26" ht="14.25" x14ac:dyDescent="0.2">
      <c r="H62" s="9"/>
      <c r="U62" s="152"/>
      <c r="V62" s="21"/>
      <c r="W62" s="21"/>
      <c r="X62" s="21"/>
      <c r="Y62" s="21"/>
      <c r="Z62" s="21"/>
    </row>
    <row r="63" spans="8:26" ht="14.25" x14ac:dyDescent="0.2">
      <c r="H63" s="9"/>
      <c r="U63" s="152"/>
      <c r="V63" s="21"/>
      <c r="W63" s="21"/>
      <c r="X63" s="21"/>
      <c r="Y63" s="21"/>
      <c r="Z63" s="21"/>
    </row>
    <row r="64" spans="8:26" ht="14.25" x14ac:dyDescent="0.2">
      <c r="H64" s="9"/>
      <c r="U64" s="152"/>
      <c r="V64" s="21"/>
      <c r="W64" s="21"/>
      <c r="X64" s="21"/>
      <c r="Y64" s="21"/>
      <c r="Z64" s="21"/>
    </row>
    <row r="65" spans="8:26" ht="14.25" x14ac:dyDescent="0.2">
      <c r="H65" s="9"/>
      <c r="U65" s="152"/>
      <c r="V65" s="21"/>
      <c r="W65" s="21"/>
      <c r="X65" s="21"/>
      <c r="Y65" s="21"/>
      <c r="Z65" s="21"/>
    </row>
    <row r="66" spans="8:26" ht="14.25" x14ac:dyDescent="0.2">
      <c r="H66" s="9"/>
      <c r="U66" s="152"/>
      <c r="V66" s="21"/>
      <c r="W66" s="21"/>
      <c r="X66" s="21"/>
      <c r="Y66" s="21"/>
      <c r="Z66" s="21"/>
    </row>
    <row r="67" spans="8:26" ht="14.25" x14ac:dyDescent="0.2">
      <c r="H67" s="9"/>
      <c r="U67" s="152"/>
      <c r="V67" s="21"/>
      <c r="W67" s="21"/>
      <c r="X67" s="21"/>
      <c r="Y67" s="21"/>
      <c r="Z67" s="21"/>
    </row>
    <row r="68" spans="8:26" ht="14.25" x14ac:dyDescent="0.2">
      <c r="H68" s="9"/>
      <c r="U68" s="152"/>
      <c r="V68" s="21"/>
      <c r="W68" s="21"/>
      <c r="X68" s="21"/>
      <c r="Y68" s="21"/>
      <c r="Z68" s="21"/>
    </row>
    <row r="69" spans="8:26" ht="14.25" x14ac:dyDescent="0.2">
      <c r="H69" s="9"/>
      <c r="U69" s="152"/>
      <c r="V69" s="21"/>
      <c r="W69" s="21"/>
      <c r="X69" s="21"/>
      <c r="Y69" s="21"/>
      <c r="Z69" s="21"/>
    </row>
    <row r="70" spans="8:26" ht="14.25" x14ac:dyDescent="0.2">
      <c r="H70" s="9"/>
      <c r="U70" s="152"/>
      <c r="V70" s="21"/>
      <c r="W70" s="21"/>
      <c r="X70" s="21"/>
      <c r="Y70" s="21"/>
      <c r="Z70" s="21"/>
    </row>
    <row r="71" spans="8:26" ht="14.25" x14ac:dyDescent="0.2">
      <c r="H71" s="9"/>
      <c r="U71" s="152"/>
      <c r="V71" s="21"/>
      <c r="W71" s="21"/>
      <c r="X71" s="21"/>
      <c r="Y71" s="21"/>
      <c r="Z71" s="21"/>
    </row>
    <row r="72" spans="8:26" ht="14.25" x14ac:dyDescent="0.2">
      <c r="H72" s="9"/>
      <c r="U72" s="152"/>
      <c r="V72" s="21"/>
      <c r="W72" s="21"/>
      <c r="X72" s="21"/>
      <c r="Y72" s="21"/>
      <c r="Z72" s="21"/>
    </row>
    <row r="73" spans="8:26" ht="14.25" x14ac:dyDescent="0.2">
      <c r="H73" s="9"/>
      <c r="U73" s="152"/>
      <c r="V73" s="21"/>
      <c r="W73" s="21"/>
      <c r="X73" s="21"/>
      <c r="Y73" s="21"/>
      <c r="Z73" s="21"/>
    </row>
    <row r="74" spans="8:26" ht="14.25" x14ac:dyDescent="0.2">
      <c r="H74" s="9"/>
      <c r="U74" s="152"/>
      <c r="V74" s="21"/>
      <c r="W74" s="21"/>
      <c r="X74" s="21"/>
      <c r="Y74" s="21"/>
      <c r="Z74" s="21"/>
    </row>
    <row r="75" spans="8:26" ht="14.25" x14ac:dyDescent="0.2">
      <c r="H75" s="9"/>
      <c r="U75" s="152"/>
      <c r="V75" s="21"/>
      <c r="W75" s="21"/>
      <c r="X75" s="21"/>
      <c r="Y75" s="21"/>
      <c r="Z75" s="21"/>
    </row>
    <row r="76" spans="8:26" ht="14.25" x14ac:dyDescent="0.2">
      <c r="U76" s="152"/>
      <c r="V76" s="21"/>
      <c r="W76" s="21"/>
      <c r="X76" s="21"/>
      <c r="Y76" s="21"/>
      <c r="Z76" s="21"/>
    </row>
    <row r="77" spans="8:26" ht="14.25" x14ac:dyDescent="0.2">
      <c r="H77" s="9"/>
      <c r="U77" s="152"/>
      <c r="V77" s="21"/>
      <c r="W77" s="21"/>
      <c r="X77" s="21"/>
      <c r="Y77" s="21"/>
      <c r="Z77" s="21"/>
    </row>
    <row r="78" spans="8:26" ht="14.25" x14ac:dyDescent="0.2">
      <c r="H78" s="9"/>
      <c r="U78" s="152"/>
      <c r="V78" s="21"/>
      <c r="W78" s="21"/>
      <c r="X78" s="21"/>
      <c r="Y78" s="21"/>
      <c r="Z78" s="21"/>
    </row>
    <row r="79" spans="8:26" ht="14.25" x14ac:dyDescent="0.2">
      <c r="H79" s="9"/>
      <c r="U79" s="152"/>
      <c r="V79" s="21"/>
      <c r="W79" s="21"/>
      <c r="X79" s="21"/>
      <c r="Y79" s="21"/>
      <c r="Z79" s="21"/>
    </row>
    <row r="80" spans="8:26" ht="14.25" x14ac:dyDescent="0.2">
      <c r="H80" s="9"/>
      <c r="U80" s="152"/>
      <c r="V80" s="21"/>
      <c r="W80" s="21"/>
      <c r="X80" s="21"/>
      <c r="Y80" s="21"/>
      <c r="Z80" s="21"/>
    </row>
    <row r="81" spans="1:26" ht="14.25" x14ac:dyDescent="0.2">
      <c r="H81" s="9"/>
      <c r="U81" s="152"/>
      <c r="V81" s="21"/>
      <c r="W81" s="21"/>
      <c r="X81" s="21"/>
      <c r="Y81" s="21"/>
      <c r="Z81" s="21"/>
    </row>
    <row r="82" spans="1:26" ht="14.25" x14ac:dyDescent="0.2">
      <c r="H82" s="9"/>
      <c r="U82" s="152"/>
      <c r="V82" s="21"/>
      <c r="W82" s="21"/>
      <c r="X82" s="21"/>
      <c r="Y82" s="21"/>
      <c r="Z82" s="21"/>
    </row>
    <row r="83" spans="1:26" ht="14.25" x14ac:dyDescent="0.2">
      <c r="U83" s="152"/>
      <c r="V83" s="21"/>
      <c r="W83" s="21"/>
      <c r="X83" s="21"/>
      <c r="Y83" s="21"/>
      <c r="Z83" s="21"/>
    </row>
    <row r="84" spans="1:26" ht="14.25" x14ac:dyDescent="0.2">
      <c r="U84" s="152"/>
      <c r="V84" s="21"/>
      <c r="W84" s="21"/>
      <c r="X84" s="21"/>
      <c r="Y84" s="21"/>
      <c r="Z84" s="21"/>
    </row>
    <row r="85" spans="1:26" ht="14.25" x14ac:dyDescent="0.2">
      <c r="U85" s="152"/>
      <c r="V85" s="21"/>
      <c r="W85" s="21"/>
      <c r="X85" s="21"/>
      <c r="Y85" s="21"/>
      <c r="Z85" s="21"/>
    </row>
    <row r="86" spans="1:26" ht="14.25" x14ac:dyDescent="0.2">
      <c r="U86" s="152"/>
      <c r="V86" s="21"/>
      <c r="W86" s="21"/>
      <c r="X86" s="21"/>
      <c r="Y86" s="21"/>
      <c r="Z86" s="21"/>
    </row>
    <row r="87" spans="1:26" ht="14.25" x14ac:dyDescent="0.2">
      <c r="U87" s="152"/>
      <c r="V87" s="21"/>
      <c r="W87" s="21"/>
      <c r="X87" s="21"/>
      <c r="Y87" s="21"/>
      <c r="Z87" s="21"/>
    </row>
    <row r="88" spans="1:26" ht="14.25" x14ac:dyDescent="0.2">
      <c r="U88" s="152"/>
      <c r="V88" s="21"/>
      <c r="W88" s="21"/>
      <c r="X88" s="21"/>
      <c r="Y88" s="21"/>
      <c r="Z88" s="21"/>
    </row>
    <row r="89" spans="1:26" ht="14.25" x14ac:dyDescent="0.2">
      <c r="A89" s="23"/>
      <c r="B89" s="23"/>
      <c r="C89" s="23"/>
      <c r="D89" s="23"/>
      <c r="T89" s="151"/>
      <c r="U89" s="152"/>
      <c r="V89" s="21"/>
      <c r="W89" s="21"/>
      <c r="X89" s="21"/>
      <c r="Y89" s="21"/>
      <c r="Z89" s="21"/>
    </row>
    <row r="90" spans="1:26" ht="14.25" x14ac:dyDescent="0.2">
      <c r="T90" s="151"/>
      <c r="U90" s="152"/>
      <c r="V90" s="21"/>
      <c r="W90" s="21"/>
      <c r="X90" s="21"/>
      <c r="Y90" s="21"/>
      <c r="Z90" s="21"/>
    </row>
    <row r="91" spans="1:26" ht="14.25" x14ac:dyDescent="0.2">
      <c r="T91" s="151"/>
      <c r="U91" s="152"/>
      <c r="V91" s="21"/>
      <c r="W91" s="21"/>
      <c r="X91" s="21"/>
      <c r="Y91" s="21"/>
      <c r="Z91" s="21"/>
    </row>
    <row r="92" spans="1:26" ht="14.25" x14ac:dyDescent="0.2">
      <c r="T92" s="151"/>
      <c r="U92" s="152"/>
      <c r="V92" s="21"/>
      <c r="W92" s="21"/>
      <c r="X92" s="21"/>
      <c r="Y92" s="21"/>
      <c r="Z92" s="21"/>
    </row>
    <row r="93" spans="1:26" ht="14.25" x14ac:dyDescent="0.2">
      <c r="T93" s="151"/>
      <c r="U93" s="152"/>
      <c r="V93" s="21"/>
      <c r="W93" s="21"/>
      <c r="X93" s="21"/>
      <c r="Y93" s="21"/>
      <c r="Z93" s="21"/>
    </row>
    <row r="94" spans="1:26" ht="14.25" x14ac:dyDescent="0.2">
      <c r="T94" s="151"/>
      <c r="U94" s="152"/>
      <c r="V94" s="21"/>
      <c r="W94" s="21"/>
      <c r="X94" s="21"/>
      <c r="Y94" s="21"/>
      <c r="Z94" s="21"/>
    </row>
    <row r="95" spans="1:26" ht="14.25" x14ac:dyDescent="0.2">
      <c r="T95" s="151"/>
      <c r="U95" s="152"/>
      <c r="V95" s="21"/>
      <c r="W95" s="21"/>
      <c r="X95" s="21"/>
      <c r="Y95" s="21"/>
      <c r="Z95" s="21"/>
    </row>
    <row r="96" spans="1:26" ht="14.25" x14ac:dyDescent="0.2">
      <c r="T96" s="151"/>
      <c r="U96" s="152"/>
      <c r="V96" s="21"/>
      <c r="W96" s="21"/>
      <c r="X96" s="21"/>
      <c r="Y96" s="21"/>
      <c r="Z96" s="21"/>
    </row>
    <row r="97" spans="1:26" ht="14.25" x14ac:dyDescent="0.2">
      <c r="T97" s="151"/>
      <c r="U97" s="152"/>
      <c r="V97" s="21"/>
      <c r="W97" s="21"/>
      <c r="X97" s="21"/>
      <c r="Y97" s="21"/>
      <c r="Z97" s="21"/>
    </row>
    <row r="98" spans="1:26" ht="14.25" x14ac:dyDescent="0.2">
      <c r="T98" s="151"/>
      <c r="U98" s="152"/>
      <c r="V98" s="21"/>
      <c r="W98" s="21"/>
      <c r="X98" s="21"/>
      <c r="Y98" s="21"/>
      <c r="Z98" s="21"/>
    </row>
    <row r="99" spans="1:26" ht="14.25" x14ac:dyDescent="0.2">
      <c r="T99" s="151"/>
      <c r="U99" s="152"/>
      <c r="V99" s="21"/>
      <c r="W99" s="21"/>
      <c r="X99" s="21"/>
      <c r="Y99" s="21"/>
      <c r="Z99" s="21"/>
    </row>
    <row r="100" spans="1:26" ht="14.25" x14ac:dyDescent="0.2">
      <c r="T100" s="151"/>
      <c r="U100" s="152"/>
      <c r="V100" s="21"/>
      <c r="W100" s="21"/>
      <c r="X100" s="21"/>
      <c r="Y100" s="21"/>
      <c r="Z100" s="21"/>
    </row>
    <row r="101" spans="1:26" ht="14.25" x14ac:dyDescent="0.2">
      <c r="T101" s="151"/>
      <c r="U101" s="152"/>
      <c r="V101" s="21"/>
      <c r="W101" s="21"/>
      <c r="X101" s="21"/>
      <c r="Y101" s="21"/>
      <c r="Z101" s="21"/>
    </row>
    <row r="102" spans="1:26" ht="14.25" x14ac:dyDescent="0.2">
      <c r="A102" s="23"/>
      <c r="B102" s="23"/>
      <c r="C102" s="23"/>
      <c r="D102" s="23"/>
      <c r="T102" s="151"/>
      <c r="U102" s="152"/>
      <c r="V102" s="21"/>
      <c r="W102" s="21"/>
      <c r="X102" s="21"/>
      <c r="Y102" s="21"/>
      <c r="Z102" s="21"/>
    </row>
    <row r="103" spans="1:26" ht="14.25" x14ac:dyDescent="0.2">
      <c r="A103" s="23"/>
      <c r="B103" s="23"/>
      <c r="C103" s="23"/>
      <c r="D103" s="23"/>
      <c r="T103" s="151"/>
      <c r="U103" s="152"/>
      <c r="V103" s="21"/>
      <c r="W103" s="21"/>
      <c r="X103" s="21"/>
      <c r="Y103" s="21"/>
      <c r="Z103" s="21"/>
    </row>
    <row r="104" spans="1:26" ht="14.25" x14ac:dyDescent="0.2">
      <c r="A104" s="23"/>
      <c r="B104" s="23"/>
      <c r="C104" s="23"/>
      <c r="D104" s="23"/>
      <c r="T104" s="151"/>
      <c r="U104" s="152"/>
      <c r="V104" s="21"/>
      <c r="W104" s="21"/>
      <c r="X104" s="21"/>
      <c r="Y104" s="21"/>
      <c r="Z104" s="21"/>
    </row>
    <row r="105" spans="1:26" ht="14.25" x14ac:dyDescent="0.2">
      <c r="A105" s="23"/>
      <c r="B105" s="23"/>
      <c r="C105" s="23"/>
      <c r="D105" s="23"/>
      <c r="T105" s="151"/>
      <c r="U105" s="152"/>
      <c r="V105" s="21"/>
      <c r="W105" s="21"/>
      <c r="X105" s="21"/>
      <c r="Y105" s="21"/>
      <c r="Z105" s="21"/>
    </row>
    <row r="106" spans="1:26" ht="14.25" x14ac:dyDescent="0.2">
      <c r="A106" s="23"/>
      <c r="B106" s="23"/>
      <c r="C106" s="23"/>
      <c r="D106" s="23"/>
      <c r="T106" s="151"/>
      <c r="U106" s="152"/>
      <c r="V106" s="21"/>
      <c r="W106" s="21"/>
      <c r="X106" s="21"/>
      <c r="Y106" s="21"/>
      <c r="Z106" s="21"/>
    </row>
    <row r="107" spans="1:26" ht="14.25" x14ac:dyDescent="0.2">
      <c r="A107" s="23"/>
      <c r="B107" s="23"/>
      <c r="C107" s="23"/>
      <c r="D107" s="23"/>
      <c r="T107" s="151"/>
      <c r="U107" s="152"/>
      <c r="V107" s="21"/>
      <c r="W107" s="21"/>
      <c r="X107" s="21"/>
      <c r="Y107" s="21"/>
      <c r="Z107" s="21"/>
    </row>
    <row r="108" spans="1:26" ht="14.25" x14ac:dyDescent="0.2">
      <c r="A108" s="23"/>
      <c r="B108" s="23"/>
      <c r="C108" s="23"/>
      <c r="D108" s="23"/>
      <c r="T108" s="151"/>
      <c r="U108" s="152"/>
      <c r="V108" s="21"/>
      <c r="W108" s="21"/>
      <c r="X108" s="21"/>
      <c r="Y108" s="21"/>
      <c r="Z108" s="21"/>
    </row>
    <row r="109" spans="1:26" ht="14.25" x14ac:dyDescent="0.2">
      <c r="A109" s="23"/>
      <c r="B109" s="23"/>
      <c r="C109" s="23"/>
      <c r="D109" s="23"/>
      <c r="T109" s="151"/>
      <c r="U109" s="152"/>
      <c r="V109" s="21"/>
      <c r="W109" s="21"/>
      <c r="X109" s="21"/>
      <c r="Y109" s="21"/>
      <c r="Z109" s="21"/>
    </row>
    <row r="110" spans="1:26" ht="14.25" x14ac:dyDescent="0.2">
      <c r="A110" s="23"/>
      <c r="B110" s="23"/>
      <c r="C110" s="23"/>
      <c r="D110" s="23"/>
      <c r="T110" s="151"/>
      <c r="U110" s="152"/>
      <c r="V110" s="21"/>
      <c r="W110" s="21"/>
      <c r="X110" s="21"/>
      <c r="Y110" s="21"/>
      <c r="Z110" s="21"/>
    </row>
    <row r="111" spans="1:26" ht="14.25" x14ac:dyDescent="0.2">
      <c r="A111" s="23"/>
      <c r="B111" s="23"/>
      <c r="C111" s="23"/>
      <c r="D111" s="23"/>
      <c r="T111" s="151"/>
      <c r="U111" s="152"/>
      <c r="V111" s="21"/>
      <c r="W111" s="21"/>
      <c r="X111" s="21"/>
      <c r="Y111" s="21"/>
      <c r="Z111" s="21"/>
    </row>
    <row r="112" spans="1:26" ht="14.25" x14ac:dyDescent="0.2">
      <c r="A112" s="23"/>
      <c r="B112" s="23"/>
      <c r="C112" s="23"/>
      <c r="D112" s="23"/>
      <c r="T112" s="151"/>
      <c r="U112" s="152"/>
      <c r="V112" s="21"/>
      <c r="W112" s="21"/>
      <c r="X112" s="21"/>
      <c r="Y112" s="21"/>
      <c r="Z112" s="21"/>
    </row>
    <row r="113" spans="1:26" ht="14.25" x14ac:dyDescent="0.2">
      <c r="A113" s="23"/>
      <c r="B113" s="23"/>
      <c r="C113" s="23"/>
      <c r="D113" s="23"/>
      <c r="T113" s="151"/>
      <c r="U113" s="152"/>
      <c r="V113" s="21"/>
      <c r="W113" s="21"/>
      <c r="X113" s="21"/>
      <c r="Y113" s="21"/>
      <c r="Z113" s="21"/>
    </row>
    <row r="114" spans="1:26" ht="14.25" x14ac:dyDescent="0.2">
      <c r="A114" s="23"/>
      <c r="B114" s="23"/>
      <c r="C114" s="23"/>
      <c r="D114" s="23"/>
      <c r="T114" s="151"/>
      <c r="U114" s="152"/>
      <c r="V114" s="21"/>
      <c r="W114" s="21"/>
      <c r="X114" s="21"/>
      <c r="Y114" s="21"/>
      <c r="Z114" s="21"/>
    </row>
    <row r="115" spans="1:26" ht="14.25" x14ac:dyDescent="0.2">
      <c r="A115" s="23"/>
      <c r="B115" s="23"/>
      <c r="C115" s="23"/>
      <c r="D115" s="23"/>
      <c r="T115" s="151"/>
      <c r="U115" s="152"/>
      <c r="V115" s="21"/>
      <c r="W115" s="21"/>
      <c r="X115" s="21"/>
      <c r="Y115" s="21"/>
      <c r="Z115" s="21"/>
    </row>
    <row r="116" spans="1:26" ht="13.5" x14ac:dyDescent="0.2">
      <c r="A116" s="24"/>
      <c r="B116" s="24"/>
      <c r="T116" s="153"/>
      <c r="V116" s="21"/>
      <c r="W116" s="21"/>
      <c r="X116" s="21"/>
      <c r="Y116" s="21"/>
      <c r="Z116" s="21"/>
    </row>
    <row r="130" spans="1:26" ht="16.899999999999999" customHeight="1" x14ac:dyDescent="0.2">
      <c r="A130" s="25"/>
    </row>
    <row r="131" spans="1:26" ht="12" customHeight="1" x14ac:dyDescent="0.2">
      <c r="A131" s="4"/>
    </row>
    <row r="132" spans="1:26" ht="13.15" customHeight="1" x14ac:dyDescent="0.2"/>
    <row r="133" spans="1:26" ht="13.15" customHeight="1" x14ac:dyDescent="0.2"/>
    <row r="134" spans="1:26" ht="13.15" customHeight="1" x14ac:dyDescent="0.2"/>
    <row r="135" spans="1:26" s="149" customFormat="1" ht="13.15" customHeight="1" x14ac:dyDescent="0.2">
      <c r="A135" s="1"/>
      <c r="B135" s="1"/>
      <c r="C135" s="1"/>
      <c r="D135" s="1"/>
      <c r="E135" s="1"/>
      <c r="F135" s="1"/>
      <c r="G135" s="1"/>
      <c r="H135" s="1"/>
      <c r="P135" s="1"/>
      <c r="Q135" s="1"/>
      <c r="T135" s="150"/>
      <c r="U135" s="150"/>
      <c r="V135" s="1"/>
      <c r="W135" s="1"/>
      <c r="X135" s="1"/>
      <c r="Y135" s="1"/>
      <c r="Z135" s="1"/>
    </row>
    <row r="136" spans="1:26" s="149" customFormat="1" ht="13.15" customHeight="1" x14ac:dyDescent="0.2">
      <c r="A136" s="1"/>
      <c r="B136" s="1"/>
      <c r="C136" s="1"/>
      <c r="D136" s="1"/>
      <c r="E136" s="1"/>
      <c r="F136" s="1"/>
      <c r="G136" s="1"/>
      <c r="H136" s="1"/>
      <c r="P136" s="1"/>
      <c r="Q136" s="1"/>
      <c r="T136" s="150"/>
      <c r="U136" s="150"/>
      <c r="V136" s="1"/>
      <c r="W136" s="1"/>
      <c r="X136" s="1"/>
      <c r="Y136" s="1"/>
      <c r="Z136" s="1"/>
    </row>
    <row r="137" spans="1:26" s="149" customFormat="1" ht="13.15" customHeight="1" x14ac:dyDescent="0.2">
      <c r="A137" s="1"/>
      <c r="B137" s="1"/>
      <c r="C137" s="1"/>
      <c r="D137" s="1"/>
      <c r="E137" s="1"/>
      <c r="F137" s="1"/>
      <c r="G137" s="1"/>
      <c r="H137" s="1"/>
      <c r="P137" s="1"/>
      <c r="Q137" s="1"/>
      <c r="T137" s="150"/>
      <c r="U137" s="150"/>
      <c r="V137" s="1"/>
      <c r="W137" s="1"/>
      <c r="X137" s="1"/>
      <c r="Y137" s="1"/>
      <c r="Z137" s="1"/>
    </row>
    <row r="138" spans="1:26" s="149" customFormat="1" ht="12" customHeight="1" x14ac:dyDescent="0.2">
      <c r="A138" s="1"/>
      <c r="B138" s="1"/>
      <c r="C138" s="1"/>
      <c r="D138" s="1"/>
      <c r="E138" s="1"/>
      <c r="F138" s="1"/>
      <c r="G138" s="1"/>
      <c r="H138" s="1"/>
      <c r="P138" s="1"/>
      <c r="Q138" s="1"/>
      <c r="T138" s="150"/>
      <c r="U138" s="150"/>
      <c r="V138" s="1"/>
      <c r="W138" s="1"/>
      <c r="X138" s="1"/>
      <c r="Y138" s="1"/>
      <c r="Z138" s="1"/>
    </row>
    <row r="139" spans="1:26" s="149" customFormat="1" ht="12" customHeight="1" x14ac:dyDescent="0.2">
      <c r="A139" s="1"/>
      <c r="B139" s="1"/>
      <c r="C139" s="1"/>
      <c r="D139" s="1"/>
      <c r="E139" s="1"/>
      <c r="F139" s="1"/>
      <c r="G139" s="1"/>
      <c r="H139" s="1"/>
      <c r="P139" s="1"/>
      <c r="Q139" s="1"/>
      <c r="T139" s="150"/>
      <c r="U139" s="150"/>
      <c r="V139" s="1"/>
      <c r="W139" s="1"/>
      <c r="X139" s="1"/>
      <c r="Y139" s="1"/>
      <c r="Z139" s="1"/>
    </row>
    <row r="140" spans="1:26" s="149" customFormat="1" ht="15" customHeight="1" x14ac:dyDescent="0.2">
      <c r="A140" s="1"/>
      <c r="B140" s="1"/>
      <c r="C140" s="1"/>
      <c r="D140" s="1"/>
      <c r="E140" s="1"/>
      <c r="F140" s="1"/>
      <c r="G140" s="1"/>
      <c r="H140" s="1"/>
      <c r="P140" s="1"/>
      <c r="Q140" s="1"/>
      <c r="T140" s="150"/>
      <c r="U140" s="150"/>
      <c r="V140" s="1"/>
      <c r="W140" s="1"/>
      <c r="X140" s="1"/>
      <c r="Y140" s="1"/>
      <c r="Z140" s="1"/>
    </row>
    <row r="141" spans="1:26" s="149" customFormat="1" ht="15" customHeight="1" x14ac:dyDescent="0.2">
      <c r="A141" s="1"/>
      <c r="B141" s="1"/>
      <c r="C141" s="1"/>
      <c r="D141" s="1"/>
      <c r="E141" s="1"/>
      <c r="F141" s="1"/>
      <c r="G141" s="1"/>
      <c r="H141" s="1"/>
      <c r="P141" s="1"/>
      <c r="Q141" s="1"/>
      <c r="T141" s="150"/>
      <c r="U141" s="150"/>
      <c r="V141" s="1"/>
      <c r="W141" s="1"/>
      <c r="X141" s="1"/>
      <c r="Y141" s="1"/>
      <c r="Z141" s="1"/>
    </row>
  </sheetData>
  <sheetProtection sheet="1" formatCells="0" formatColumns="0" formatRows="0"/>
  <phoneticPr fontId="4"/>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5A750-B0D8-4048-AB4D-21C390BFE369}">
  <dimension ref="A1:Z141"/>
  <sheetViews>
    <sheetView zoomScale="160" zoomScaleNormal="160" workbookViewId="0">
      <selection activeCell="M16" sqref="M16"/>
    </sheetView>
  </sheetViews>
  <sheetFormatPr defaultColWidth="9.33203125" defaultRowHeight="12.75" x14ac:dyDescent="0.2"/>
  <cols>
    <col min="1" max="2" width="9.33203125" style="1"/>
    <col min="3" max="7" width="10.1640625" style="1" customWidth="1"/>
    <col min="8" max="8" width="9.33203125" style="1"/>
    <col min="9" max="15" width="8" style="149" customWidth="1"/>
    <col min="16" max="17" width="9.1640625" style="1" customWidth="1"/>
    <col min="18" max="19" width="11.83203125" style="149" customWidth="1"/>
    <col min="20" max="21" width="11.83203125" style="150" customWidth="1"/>
    <col min="22" max="25" width="10.1640625" style="1" customWidth="1"/>
    <col min="26" max="27" width="8" style="1" customWidth="1"/>
    <col min="28" max="16384" width="9.33203125" style="1"/>
  </cols>
  <sheetData>
    <row r="1" spans="1:25" ht="20.25" x14ac:dyDescent="0.2">
      <c r="A1" s="96" t="s">
        <v>380</v>
      </c>
      <c r="B1" s="97"/>
      <c r="C1" s="97"/>
      <c r="D1" s="97"/>
      <c r="E1" s="97"/>
      <c r="F1" s="97"/>
      <c r="G1" s="97"/>
      <c r="H1" s="97"/>
      <c r="I1" s="113"/>
      <c r="J1" s="154" t="s">
        <v>130</v>
      </c>
      <c r="K1" s="210">
        <v>10</v>
      </c>
      <c r="L1" s="154" t="s">
        <v>129</v>
      </c>
      <c r="M1" s="113"/>
      <c r="N1" s="113" t="s">
        <v>1059</v>
      </c>
      <c r="O1" s="113"/>
      <c r="R1" s="113"/>
      <c r="S1" s="113"/>
      <c r="T1" s="146"/>
      <c r="U1" s="146"/>
    </row>
    <row r="2" spans="1:25" x14ac:dyDescent="0.2">
      <c r="A2" s="99" t="s">
        <v>381</v>
      </c>
      <c r="B2" s="97"/>
      <c r="C2" s="97"/>
      <c r="D2" s="97"/>
      <c r="E2" s="97"/>
      <c r="F2" s="97"/>
      <c r="G2" s="97"/>
      <c r="H2" s="97"/>
      <c r="I2" s="113"/>
      <c r="J2" s="154" t="s">
        <v>4</v>
      </c>
      <c r="K2" s="210">
        <v>1</v>
      </c>
      <c r="L2" s="154" t="s">
        <v>129</v>
      </c>
      <c r="M2" s="113"/>
      <c r="N2" s="113" t="s">
        <v>79</v>
      </c>
      <c r="O2" s="113"/>
      <c r="R2" s="113"/>
      <c r="S2" s="113"/>
      <c r="T2" s="146"/>
      <c r="U2" s="146"/>
    </row>
    <row r="3" spans="1:25" x14ac:dyDescent="0.2">
      <c r="A3" s="97"/>
      <c r="B3" s="97"/>
      <c r="C3" s="97"/>
      <c r="D3" s="97"/>
      <c r="E3" s="97"/>
      <c r="F3" s="97"/>
      <c r="G3" s="97"/>
      <c r="H3" s="97"/>
      <c r="I3" s="113"/>
      <c r="J3" s="113"/>
      <c r="K3" s="113"/>
      <c r="L3" s="113"/>
      <c r="M3" s="113"/>
      <c r="N3" s="113" t="s">
        <v>311</v>
      </c>
      <c r="O3" s="113"/>
      <c r="R3" s="113"/>
      <c r="S3" s="113"/>
      <c r="T3" s="146"/>
      <c r="U3" s="146"/>
    </row>
    <row r="4" spans="1:25" x14ac:dyDescent="0.2">
      <c r="A4" s="100"/>
      <c r="B4" s="97"/>
      <c r="C4" s="97"/>
      <c r="D4" s="97"/>
      <c r="E4" s="97"/>
      <c r="F4" s="97"/>
      <c r="G4" s="97"/>
      <c r="H4" s="97"/>
      <c r="I4" s="113"/>
      <c r="J4" s="113"/>
      <c r="K4" s="113"/>
      <c r="L4" s="113"/>
      <c r="M4" s="113"/>
      <c r="N4" s="113"/>
      <c r="O4" s="113"/>
      <c r="R4" s="113"/>
      <c r="S4" s="113"/>
      <c r="T4" s="146"/>
      <c r="U4" s="146"/>
    </row>
    <row r="5" spans="1:25" ht="20.25" x14ac:dyDescent="0.2">
      <c r="A5" s="101" t="s">
        <v>78</v>
      </c>
      <c r="B5" s="97"/>
      <c r="C5" s="97"/>
      <c r="D5" s="97"/>
      <c r="E5" s="97"/>
      <c r="F5" s="97"/>
      <c r="G5" s="97"/>
      <c r="H5" s="97"/>
      <c r="I5" s="113"/>
      <c r="J5" s="113"/>
      <c r="K5" s="113"/>
      <c r="L5" s="113"/>
      <c r="M5" s="113"/>
      <c r="N5" s="113"/>
      <c r="O5" s="113"/>
      <c r="R5" s="113"/>
      <c r="S5" s="113"/>
      <c r="T5" s="146"/>
      <c r="U5" s="146"/>
    </row>
    <row r="6" spans="1:25" s="2" customFormat="1" x14ac:dyDescent="0.2">
      <c r="A6" s="113"/>
      <c r="B6" s="99"/>
      <c r="C6" s="99"/>
      <c r="D6" s="99"/>
      <c r="E6" s="99"/>
      <c r="F6" s="99"/>
      <c r="G6" s="99"/>
      <c r="H6" s="99"/>
      <c r="I6" s="113"/>
      <c r="J6" s="113"/>
      <c r="K6" s="113"/>
      <c r="L6" s="113"/>
      <c r="M6" s="113"/>
      <c r="N6" s="113"/>
      <c r="O6" s="113"/>
      <c r="R6" s="113"/>
      <c r="S6" s="113"/>
      <c r="T6" s="146"/>
      <c r="U6" s="146"/>
    </row>
    <row r="7" spans="1:25" s="2" customFormat="1" x14ac:dyDescent="0.2">
      <c r="A7" s="113"/>
      <c r="B7" s="99"/>
      <c r="C7" s="99"/>
      <c r="D7" s="99"/>
      <c r="E7" s="99"/>
      <c r="F7" s="99"/>
      <c r="G7" s="99"/>
      <c r="H7" s="99"/>
      <c r="I7" s="113"/>
      <c r="J7" s="113"/>
      <c r="K7" s="113"/>
      <c r="L7" s="113"/>
      <c r="M7" s="113"/>
      <c r="N7" s="113"/>
      <c r="O7" s="113"/>
      <c r="R7" s="113"/>
      <c r="S7" s="113"/>
      <c r="T7" s="146"/>
      <c r="U7" s="146"/>
    </row>
    <row r="8" spans="1:25" s="2" customFormat="1" x14ac:dyDescent="0.2">
      <c r="A8" s="99"/>
      <c r="B8" s="99"/>
      <c r="C8" s="99"/>
      <c r="D8" s="99"/>
      <c r="E8" s="99"/>
      <c r="F8" s="99"/>
      <c r="G8" s="99"/>
      <c r="H8" s="99"/>
      <c r="I8" s="113"/>
      <c r="J8" s="113"/>
      <c r="K8" s="113"/>
      <c r="L8" s="113"/>
      <c r="M8" s="113"/>
      <c r="N8" s="113"/>
      <c r="O8" s="113"/>
      <c r="R8" s="113"/>
      <c r="S8" s="113"/>
      <c r="T8" s="146"/>
      <c r="U8" s="146"/>
    </row>
    <row r="9" spans="1:25" s="2" customFormat="1" x14ac:dyDescent="0.2">
      <c r="A9" s="113"/>
      <c r="B9" s="99"/>
      <c r="C9" s="99"/>
      <c r="D9" s="99"/>
      <c r="E9" s="99"/>
      <c r="F9" s="99"/>
      <c r="G9" s="99"/>
      <c r="H9" s="99"/>
      <c r="I9" s="113"/>
      <c r="J9" s="113"/>
      <c r="K9" s="113"/>
      <c r="L9" s="113"/>
      <c r="M9" s="113"/>
      <c r="N9" s="113"/>
      <c r="O9" s="113"/>
      <c r="R9" s="113"/>
      <c r="S9" s="113"/>
      <c r="T9" s="146"/>
      <c r="U9" s="146"/>
    </row>
    <row r="10" spans="1:25" x14ac:dyDescent="0.2">
      <c r="A10" s="102"/>
      <c r="B10" s="97"/>
      <c r="C10" s="97"/>
      <c r="D10" s="97"/>
      <c r="E10" s="97"/>
      <c r="F10" s="97"/>
      <c r="G10" s="97"/>
      <c r="H10" s="97"/>
      <c r="I10" s="113"/>
      <c r="J10" s="113"/>
      <c r="K10" s="113"/>
      <c r="L10" s="113"/>
      <c r="M10" s="113"/>
      <c r="N10" s="113"/>
      <c r="O10" s="113"/>
      <c r="R10" s="113"/>
      <c r="S10" s="113"/>
      <c r="T10" s="146"/>
      <c r="U10" s="146"/>
    </row>
    <row r="11" spans="1:25" x14ac:dyDescent="0.2">
      <c r="A11" s="97"/>
      <c r="B11" s="97"/>
      <c r="C11" s="97"/>
      <c r="D11" s="97"/>
      <c r="E11" s="97"/>
      <c r="F11" s="97"/>
      <c r="G11" s="97"/>
      <c r="H11" s="97"/>
      <c r="I11" s="113"/>
      <c r="J11" s="113"/>
      <c r="K11" s="113"/>
      <c r="L11" s="113"/>
      <c r="M11" s="113"/>
      <c r="N11" s="113"/>
      <c r="O11" s="113"/>
      <c r="R11" s="113"/>
      <c r="S11" s="113"/>
      <c r="T11" s="146"/>
      <c r="U11" s="146"/>
    </row>
    <row r="12" spans="1:25" x14ac:dyDescent="0.2">
      <c r="A12" s="97"/>
      <c r="B12" s="97"/>
      <c r="C12" s="97"/>
      <c r="D12" s="97"/>
      <c r="E12" s="97"/>
      <c r="F12" s="97"/>
      <c r="G12" s="97"/>
      <c r="H12" s="97"/>
      <c r="I12" s="113"/>
      <c r="J12" s="113"/>
      <c r="K12" s="113"/>
      <c r="L12" s="113"/>
      <c r="M12" s="113"/>
      <c r="N12" s="113"/>
      <c r="O12" s="113"/>
      <c r="R12" s="113"/>
      <c r="S12" s="113"/>
      <c r="T12" s="146"/>
      <c r="U12" s="146"/>
    </row>
    <row r="13" spans="1:25" x14ac:dyDescent="0.2">
      <c r="A13" s="97"/>
      <c r="B13" s="97"/>
      <c r="C13" s="97"/>
      <c r="D13" s="97"/>
      <c r="E13" s="97"/>
      <c r="F13" s="97"/>
      <c r="G13" s="97"/>
      <c r="H13" s="97"/>
      <c r="I13" s="113"/>
      <c r="J13" s="113"/>
      <c r="K13" s="113"/>
      <c r="L13" s="113"/>
      <c r="M13" s="113"/>
      <c r="N13" s="113"/>
      <c r="O13" s="113"/>
      <c r="R13" s="113"/>
      <c r="S13" s="113"/>
      <c r="T13" s="146"/>
      <c r="U13" s="146"/>
    </row>
    <row r="14" spans="1:25" x14ac:dyDescent="0.2">
      <c r="A14" s="97"/>
      <c r="B14" s="97"/>
      <c r="C14" s="97"/>
      <c r="D14" s="97"/>
      <c r="E14" s="97"/>
      <c r="F14" s="97"/>
      <c r="G14" s="97"/>
      <c r="H14" s="97"/>
      <c r="I14" s="113"/>
      <c r="J14" s="113"/>
      <c r="K14" s="113"/>
      <c r="L14" s="113"/>
      <c r="M14" s="113"/>
      <c r="N14" s="113"/>
      <c r="O14" s="113"/>
      <c r="R14" s="113"/>
      <c r="S14" s="113"/>
      <c r="T14" s="146"/>
      <c r="U14" s="146"/>
    </row>
    <row r="15" spans="1:25" ht="15.75" x14ac:dyDescent="0.2">
      <c r="A15" s="103" t="s">
        <v>382</v>
      </c>
      <c r="B15" s="97"/>
      <c r="C15" s="97"/>
      <c r="D15" s="97"/>
      <c r="E15" s="97"/>
      <c r="F15" s="97"/>
      <c r="G15" s="97"/>
      <c r="H15" s="97"/>
      <c r="I15" s="113"/>
      <c r="J15" s="113"/>
      <c r="K15" s="113"/>
      <c r="L15" s="113"/>
      <c r="M15" s="113"/>
      <c r="N15" s="113"/>
      <c r="O15" s="113"/>
      <c r="R15" s="113"/>
      <c r="S15" s="113"/>
      <c r="T15" s="146"/>
      <c r="U15" s="146"/>
    </row>
    <row r="16" spans="1:25" ht="102" x14ac:dyDescent="0.2">
      <c r="A16" s="211" t="s">
        <v>0</v>
      </c>
      <c r="B16" s="212" t="s">
        <v>1</v>
      </c>
      <c r="C16" s="212" t="s">
        <v>133</v>
      </c>
      <c r="D16" s="212" t="s">
        <v>199</v>
      </c>
      <c r="E16" s="212" t="s">
        <v>135</v>
      </c>
      <c r="F16" s="212" t="s">
        <v>200</v>
      </c>
      <c r="G16" s="212" t="s">
        <v>137</v>
      </c>
      <c r="H16" s="212" t="s">
        <v>201</v>
      </c>
      <c r="I16" s="104" t="s">
        <v>8</v>
      </c>
      <c r="J16" s="104" t="s">
        <v>9</v>
      </c>
      <c r="K16" s="104" t="s">
        <v>107</v>
      </c>
      <c r="L16" s="104" t="s">
        <v>14</v>
      </c>
      <c r="M16" s="104" t="s">
        <v>12</v>
      </c>
      <c r="N16" s="104" t="s">
        <v>1058</v>
      </c>
      <c r="O16" s="104" t="s">
        <v>100</v>
      </c>
      <c r="P16" s="6" t="s">
        <v>105</v>
      </c>
      <c r="Q16" s="6" t="s">
        <v>106</v>
      </c>
      <c r="R16" s="104" t="s">
        <v>1051</v>
      </c>
      <c r="S16" s="104" t="s">
        <v>1052</v>
      </c>
      <c r="T16" s="147" t="s">
        <v>80</v>
      </c>
      <c r="U16" s="147" t="s">
        <v>81</v>
      </c>
      <c r="V16" s="5" t="s">
        <v>101</v>
      </c>
      <c r="W16" s="5" t="s">
        <v>102</v>
      </c>
      <c r="X16" s="112" t="s">
        <v>103</v>
      </c>
      <c r="Y16" s="112" t="s">
        <v>104</v>
      </c>
    </row>
    <row r="17" spans="1:26" x14ac:dyDescent="0.2">
      <c r="A17" s="213" t="str">
        <f>A33</f>
        <v>CERI/NMIJ</v>
      </c>
      <c r="B17" s="213" t="str">
        <f>B33</f>
        <v>CPB-19107</v>
      </c>
      <c r="C17" s="219">
        <f t="shared" ref="C17:C28" si="0">E33*0.001</f>
        <v>0.2707</v>
      </c>
      <c r="D17" s="219">
        <f t="shared" ref="D17:D28" si="1">H33*0.001</f>
        <v>1.41E-3</v>
      </c>
      <c r="E17" s="219">
        <f>C33*0.001</f>
        <v>0.27779999999999999</v>
      </c>
      <c r="F17" s="219">
        <f>D33*0.001</f>
        <v>3.1000000000000003E-3</v>
      </c>
      <c r="G17" s="219">
        <f>I33*0.001</f>
        <v>7.0999999999999995E-3</v>
      </c>
      <c r="H17" s="219">
        <f>J33*0.001</f>
        <v>6.7999999999999996E-3</v>
      </c>
      <c r="I17" s="155">
        <f t="shared" ref="I17:I28" si="2">IF(ABS(G17)&gt;ABS(H17), 1, 0)</f>
        <v>1</v>
      </c>
      <c r="J17" s="155">
        <f t="shared" ref="J17:J28" si="3">I17*ABS(C17-E17)</f>
        <v>7.0999999999999952E-3</v>
      </c>
      <c r="K17" s="155">
        <f t="shared" ref="K17:K28" si="4">SQRT(SUMSQ(F17,J17))*2</f>
        <v>1.5494515158597243E-2</v>
      </c>
      <c r="L17" s="155">
        <f t="shared" ref="L17:L28" si="5">IF(C17&lt;$K$2, C17, $K$1)</f>
        <v>0.2707</v>
      </c>
      <c r="M17" s="156">
        <f t="shared" ref="M17:M28" si="6">IF(AND(C17&lt;$K$1,C17&gt; $K$2), K17/L17*100, K17/C17*100)</f>
        <v>5.7238696559280546</v>
      </c>
      <c r="N17" s="157">
        <f t="shared" ref="N17" si="7">M17*L17/100</f>
        <v>1.5494515158597243E-2</v>
      </c>
      <c r="O17" s="155">
        <f t="shared" ref="O17" si="8">N17/(M17*L17/100)*100</f>
        <v>100</v>
      </c>
      <c r="P17" s="250">
        <v>1</v>
      </c>
      <c r="Q17" s="250">
        <v>1000</v>
      </c>
      <c r="R17" s="148">
        <f>IF( IF(P17&lt;L17, M17*L17/P17, M17)&gt;100, "ERROR",  IF(P17&lt;L17, M17*L17/P17, M17))</f>
        <v>5.7238696559280546</v>
      </c>
      <c r="S17" s="148">
        <f>IF(IF(Q17&lt;L17, M17*L17/Q17, M17)&gt;100, "ERROR", IF(Q17&lt;L17, M17*L17/Q17, M17))</f>
        <v>5.7238696559280546</v>
      </c>
      <c r="T17" s="148">
        <f>R17*P17*0.01</f>
        <v>5.7238696559280544E-2</v>
      </c>
      <c r="U17" s="148">
        <f>S17*Q17*0.01</f>
        <v>57.238696559280541</v>
      </c>
      <c r="V17" s="7">
        <f>P17*1000</f>
        <v>1000</v>
      </c>
      <c r="W17" s="7">
        <f>Q17*1000</f>
        <v>1000000</v>
      </c>
      <c r="X17" s="1345">
        <f>T17*1000</f>
        <v>57.238696559280541</v>
      </c>
      <c r="Y17" s="1345">
        <f>U17*1000</f>
        <v>57238.696559280543</v>
      </c>
    </row>
    <row r="18" spans="1:26" x14ac:dyDescent="0.2">
      <c r="A18" s="213" t="str">
        <f t="shared" ref="A18:B18" si="9">A34</f>
        <v>CHMI</v>
      </c>
      <c r="B18" s="213">
        <f t="shared" si="9"/>
        <v>172468</v>
      </c>
      <c r="C18" s="219">
        <f t="shared" si="0"/>
        <v>0.2848</v>
      </c>
      <c r="D18" s="219">
        <f t="shared" si="1"/>
        <v>1.41E-3</v>
      </c>
      <c r="E18" s="219">
        <f t="shared" ref="E18:F18" si="10">C34*0.001</f>
        <v>0.28520000000000001</v>
      </c>
      <c r="F18" s="219">
        <f t="shared" si="10"/>
        <v>2.3E-3</v>
      </c>
      <c r="G18" s="219">
        <f t="shared" ref="G18:H18" si="11">I34*0.001</f>
        <v>4.0000000000000002E-4</v>
      </c>
      <c r="H18" s="219">
        <f t="shared" si="11"/>
        <v>5.4000000000000003E-3</v>
      </c>
      <c r="I18" s="155">
        <f t="shared" si="2"/>
        <v>0</v>
      </c>
      <c r="J18" s="155">
        <f t="shared" si="3"/>
        <v>0</v>
      </c>
      <c r="K18" s="155">
        <f t="shared" si="4"/>
        <v>4.5999999999999999E-3</v>
      </c>
      <c r="L18" s="155">
        <f t="shared" si="5"/>
        <v>0.2848</v>
      </c>
      <c r="M18" s="156">
        <f t="shared" si="6"/>
        <v>1.6151685393258428</v>
      </c>
      <c r="N18" s="157">
        <f t="shared" ref="N18:N28" si="12">M18*L18/100</f>
        <v>4.5999999999999999E-3</v>
      </c>
      <c r="O18" s="155">
        <f t="shared" ref="O18:O28" si="13">N18/(M18*L18/100)*100</f>
        <v>100</v>
      </c>
      <c r="P18" s="250">
        <v>1</v>
      </c>
      <c r="Q18" s="250">
        <v>1000</v>
      </c>
      <c r="R18" s="148">
        <f t="shared" ref="R18:R28" si="14">IF( IF(P18&lt;L18, M18*L18/P18, M18)&gt;100, "ERROR",  IF(P18&lt;L18, M18*L18/P18, M18))</f>
        <v>1.6151685393258428</v>
      </c>
      <c r="S18" s="148">
        <f t="shared" ref="S18:S28" si="15">IF(IF(Q18&lt;L18, M18*L18/Q18, M18)&gt;100, "ERROR", IF(Q18&lt;L18, M18*L18/Q18, M18))</f>
        <v>1.6151685393258428</v>
      </c>
      <c r="T18" s="148">
        <f t="shared" ref="T18:U28" si="16">R18*P18*0.01</f>
        <v>1.6151685393258428E-2</v>
      </c>
      <c r="U18" s="148">
        <f t="shared" si="16"/>
        <v>16.151685393258429</v>
      </c>
      <c r="V18" s="7">
        <f t="shared" ref="V18:W28" si="17">P18*1000</f>
        <v>1000</v>
      </c>
      <c r="W18" s="7">
        <f t="shared" si="17"/>
        <v>1000000</v>
      </c>
      <c r="X18" s="1345">
        <f t="shared" ref="X18:Y28" si="18">T18*1000</f>
        <v>16.151685393258429</v>
      </c>
      <c r="Y18" s="1345">
        <f t="shared" si="18"/>
        <v>16151.685393258429</v>
      </c>
    </row>
    <row r="19" spans="1:26" x14ac:dyDescent="0.2">
      <c r="A19" s="213" t="str">
        <f t="shared" ref="A19:B19" si="19">A35</f>
        <v>FMI</v>
      </c>
      <c r="B19" s="213">
        <f t="shared" si="19"/>
        <v>172505</v>
      </c>
      <c r="C19" s="219">
        <f t="shared" si="0"/>
        <v>0.2777</v>
      </c>
      <c r="D19" s="219">
        <f t="shared" si="1"/>
        <v>1.41E-3</v>
      </c>
      <c r="E19" s="219">
        <f t="shared" ref="E19:F19" si="20">C35*0.001</f>
        <v>0.27380000000000004</v>
      </c>
      <c r="F19" s="219">
        <f t="shared" si="20"/>
        <v>2.1900000000000001E-3</v>
      </c>
      <c r="G19" s="219">
        <f t="shared" ref="G19:H19" si="21">I35*0.001</f>
        <v>-3.8999999999999998E-3</v>
      </c>
      <c r="H19" s="219">
        <f t="shared" si="21"/>
        <v>5.2000000000000006E-3</v>
      </c>
      <c r="I19" s="155">
        <f t="shared" si="2"/>
        <v>0</v>
      </c>
      <c r="J19" s="155">
        <f t="shared" si="3"/>
        <v>0</v>
      </c>
      <c r="K19" s="155">
        <f t="shared" si="4"/>
        <v>4.3800000000000002E-3</v>
      </c>
      <c r="L19" s="155">
        <f t="shared" si="5"/>
        <v>0.2777</v>
      </c>
      <c r="M19" s="156">
        <f t="shared" si="6"/>
        <v>1.5772416276557437</v>
      </c>
      <c r="N19" s="157">
        <f t="shared" si="12"/>
        <v>4.3800000000000002E-3</v>
      </c>
      <c r="O19" s="155">
        <f t="shared" si="13"/>
        <v>100</v>
      </c>
      <c r="P19" s="250">
        <v>1</v>
      </c>
      <c r="Q19" s="250">
        <v>1000</v>
      </c>
      <c r="R19" s="148">
        <f t="shared" si="14"/>
        <v>1.5772416276557437</v>
      </c>
      <c r="S19" s="148">
        <f t="shared" si="15"/>
        <v>1.5772416276557437</v>
      </c>
      <c r="T19" s="148">
        <f t="shared" si="16"/>
        <v>1.5772416276557438E-2</v>
      </c>
      <c r="U19" s="148">
        <f t="shared" si="16"/>
        <v>15.772416276557438</v>
      </c>
      <c r="V19" s="7">
        <f t="shared" si="17"/>
        <v>1000</v>
      </c>
      <c r="W19" s="7">
        <f t="shared" si="17"/>
        <v>1000000</v>
      </c>
      <c r="X19" s="1345">
        <f t="shared" si="18"/>
        <v>15.772416276557438</v>
      </c>
      <c r="Y19" s="1345">
        <f t="shared" si="18"/>
        <v>15772.416276557438</v>
      </c>
    </row>
    <row r="20" spans="1:26" x14ac:dyDescent="0.2">
      <c r="A20" s="213" t="str">
        <f t="shared" ref="A20:B20" si="22">A36</f>
        <v>IPQ</v>
      </c>
      <c r="B20" s="213">
        <f t="shared" si="22"/>
        <v>172472</v>
      </c>
      <c r="C20" s="219">
        <f t="shared" si="0"/>
        <v>0.27579999999999999</v>
      </c>
      <c r="D20" s="219">
        <f t="shared" si="1"/>
        <v>1.42E-3</v>
      </c>
      <c r="E20" s="219">
        <f t="shared" ref="E20:F20" si="23">C36*0.001</f>
        <v>0.26189999999999997</v>
      </c>
      <c r="F20" s="219">
        <f t="shared" si="23"/>
        <v>2.5499999999999997E-3</v>
      </c>
      <c r="G20" s="219">
        <f t="shared" ref="G20:H20" si="24">I36*0.001</f>
        <v>-1.3900000000000001E-2</v>
      </c>
      <c r="H20" s="219">
        <f t="shared" si="24"/>
        <v>5.7999999999999996E-3</v>
      </c>
      <c r="I20" s="155">
        <f t="shared" si="2"/>
        <v>1</v>
      </c>
      <c r="J20" s="155">
        <f t="shared" si="3"/>
        <v>1.3900000000000023E-2</v>
      </c>
      <c r="K20" s="155">
        <f t="shared" si="4"/>
        <v>2.8263934616397673E-2</v>
      </c>
      <c r="L20" s="155">
        <f t="shared" si="5"/>
        <v>0.27579999999999999</v>
      </c>
      <c r="M20" s="156">
        <f t="shared" si="6"/>
        <v>10.2479820944154</v>
      </c>
      <c r="N20" s="157">
        <f t="shared" si="12"/>
        <v>2.8263934616397673E-2</v>
      </c>
      <c r="O20" s="155">
        <f t="shared" si="13"/>
        <v>100</v>
      </c>
      <c r="P20" s="250">
        <v>1</v>
      </c>
      <c r="Q20" s="250">
        <v>1000</v>
      </c>
      <c r="R20" s="148">
        <f t="shared" si="14"/>
        <v>10.2479820944154</v>
      </c>
      <c r="S20" s="148">
        <f t="shared" si="15"/>
        <v>10.2479820944154</v>
      </c>
      <c r="T20" s="148">
        <f t="shared" si="16"/>
        <v>0.102479820944154</v>
      </c>
      <c r="U20" s="148">
        <f t="shared" si="16"/>
        <v>102.479820944154</v>
      </c>
      <c r="V20" s="7">
        <f t="shared" si="17"/>
        <v>1000</v>
      </c>
      <c r="W20" s="7">
        <f t="shared" si="17"/>
        <v>1000000</v>
      </c>
      <c r="X20" s="1345">
        <f t="shared" si="18"/>
        <v>102.479820944154</v>
      </c>
      <c r="Y20" s="1345">
        <f t="shared" si="18"/>
        <v>102479.82094415399</v>
      </c>
    </row>
    <row r="21" spans="1:26" x14ac:dyDescent="0.2">
      <c r="A21" s="213" t="str">
        <f t="shared" ref="A21:B21" si="25">A37</f>
        <v>DG-JRC IES</v>
      </c>
      <c r="B21" s="213">
        <f t="shared" si="25"/>
        <v>172698</v>
      </c>
      <c r="C21" s="219">
        <f t="shared" si="0"/>
        <v>0.28639999999999999</v>
      </c>
      <c r="D21" s="219">
        <f t="shared" si="1"/>
        <v>1.4599999999999999E-3</v>
      </c>
      <c r="E21" s="219">
        <f t="shared" ref="E21:F21" si="26">C37*0.001</f>
        <v>0.28450000000000003</v>
      </c>
      <c r="F21" s="219">
        <f t="shared" si="26"/>
        <v>1.4499999999999999E-3</v>
      </c>
      <c r="G21" s="219">
        <f t="shared" ref="G21:H21" si="27">I37*0.001</f>
        <v>-1.9E-3</v>
      </c>
      <c r="H21" s="219">
        <f t="shared" si="27"/>
        <v>4.0999999999999995E-3</v>
      </c>
      <c r="I21" s="155">
        <f t="shared" si="2"/>
        <v>0</v>
      </c>
      <c r="J21" s="155">
        <f t="shared" si="3"/>
        <v>0</v>
      </c>
      <c r="K21" s="155">
        <f t="shared" si="4"/>
        <v>2.8999999999999998E-3</v>
      </c>
      <c r="L21" s="155">
        <f t="shared" si="5"/>
        <v>0.28639999999999999</v>
      </c>
      <c r="M21" s="156">
        <f t="shared" si="6"/>
        <v>1.0125698324022345</v>
      </c>
      <c r="N21" s="157">
        <f t="shared" si="12"/>
        <v>2.8999999999999998E-3</v>
      </c>
      <c r="O21" s="155">
        <f t="shared" si="13"/>
        <v>100</v>
      </c>
      <c r="P21" s="250">
        <v>1</v>
      </c>
      <c r="Q21" s="250">
        <v>1000</v>
      </c>
      <c r="R21" s="148">
        <f t="shared" si="14"/>
        <v>1.0125698324022345</v>
      </c>
      <c r="S21" s="148">
        <f t="shared" si="15"/>
        <v>1.0125698324022345</v>
      </c>
      <c r="T21" s="148">
        <f t="shared" si="16"/>
        <v>1.0125698324022346E-2</v>
      </c>
      <c r="U21" s="148">
        <f t="shared" si="16"/>
        <v>10.125698324022345</v>
      </c>
      <c r="V21" s="7">
        <f t="shared" si="17"/>
        <v>1000</v>
      </c>
      <c r="W21" s="7">
        <f t="shared" si="17"/>
        <v>1000000</v>
      </c>
      <c r="X21" s="1345">
        <f t="shared" si="18"/>
        <v>10.125698324022347</v>
      </c>
      <c r="Y21" s="1345">
        <f t="shared" si="18"/>
        <v>10125.698324022345</v>
      </c>
    </row>
    <row r="22" spans="1:26" x14ac:dyDescent="0.2">
      <c r="A22" s="213" t="str">
        <f t="shared" ref="A22:B22" si="28">A38</f>
        <v>KRISS</v>
      </c>
      <c r="B22" s="213">
        <f t="shared" si="28"/>
        <v>172469</v>
      </c>
      <c r="C22" s="219">
        <f t="shared" si="0"/>
        <v>0.26919999999999999</v>
      </c>
      <c r="D22" s="219">
        <f t="shared" si="1"/>
        <v>1.42E-3</v>
      </c>
      <c r="E22" s="219">
        <f t="shared" ref="E22:F22" si="29">C38*0.001</f>
        <v>0.27510000000000001</v>
      </c>
      <c r="F22" s="219">
        <f t="shared" si="29"/>
        <v>1.5E-3</v>
      </c>
      <c r="G22" s="219">
        <f t="shared" ref="G22:H22" si="30">I38*0.001</f>
        <v>5.9000000000000007E-3</v>
      </c>
      <c r="H22" s="219">
        <f t="shared" si="30"/>
        <v>4.0999999999999995E-3</v>
      </c>
      <c r="I22" s="155">
        <f t="shared" si="2"/>
        <v>1</v>
      </c>
      <c r="J22" s="155">
        <f t="shared" si="3"/>
        <v>5.9000000000000163E-3</v>
      </c>
      <c r="K22" s="155">
        <f t="shared" si="4"/>
        <v>1.217538500417957E-2</v>
      </c>
      <c r="L22" s="155">
        <f t="shared" si="5"/>
        <v>0.26919999999999999</v>
      </c>
      <c r="M22" s="156">
        <f t="shared" si="6"/>
        <v>4.522802750438176</v>
      </c>
      <c r="N22" s="157">
        <f t="shared" si="12"/>
        <v>1.2175385004179569E-2</v>
      </c>
      <c r="O22" s="155">
        <f t="shared" si="13"/>
        <v>100</v>
      </c>
      <c r="P22" s="250">
        <v>1</v>
      </c>
      <c r="Q22" s="250">
        <v>1000</v>
      </c>
      <c r="R22" s="148">
        <f t="shared" si="14"/>
        <v>4.522802750438176</v>
      </c>
      <c r="S22" s="148">
        <f t="shared" si="15"/>
        <v>4.522802750438176</v>
      </c>
      <c r="T22" s="148">
        <f t="shared" si="16"/>
        <v>4.5228027504381763E-2</v>
      </c>
      <c r="U22" s="148">
        <f t="shared" si="16"/>
        <v>45.228027504381764</v>
      </c>
      <c r="V22" s="7">
        <f t="shared" si="17"/>
        <v>1000</v>
      </c>
      <c r="W22" s="7">
        <f t="shared" si="17"/>
        <v>1000000</v>
      </c>
      <c r="X22" s="1345">
        <f t="shared" si="18"/>
        <v>45.228027504381764</v>
      </c>
      <c r="Y22" s="1345">
        <f t="shared" si="18"/>
        <v>45228.027504381767</v>
      </c>
    </row>
    <row r="23" spans="1:26" x14ac:dyDescent="0.2">
      <c r="A23" s="213" t="str">
        <f t="shared" ref="A23:B23" si="31">A39</f>
        <v>LNE</v>
      </c>
      <c r="B23" s="213">
        <f t="shared" si="31"/>
        <v>172509</v>
      </c>
      <c r="C23" s="219">
        <f t="shared" si="0"/>
        <v>0.2883</v>
      </c>
      <c r="D23" s="219">
        <f t="shared" si="1"/>
        <v>1.4300000000000001E-3</v>
      </c>
      <c r="E23" s="219">
        <f t="shared" ref="E23:F23" si="32">C39*0.001</f>
        <v>0.28270000000000001</v>
      </c>
      <c r="F23" s="219">
        <f t="shared" si="32"/>
        <v>1.4499999999999999E-3</v>
      </c>
      <c r="G23" s="219">
        <f t="shared" ref="G23:H23" si="33">I39*0.001</f>
        <v>-5.5999999999999999E-3</v>
      </c>
      <c r="H23" s="219">
        <f t="shared" si="33"/>
        <v>4.0999999999999995E-3</v>
      </c>
      <c r="I23" s="155">
        <f t="shared" si="2"/>
        <v>1</v>
      </c>
      <c r="J23" s="155">
        <f t="shared" si="3"/>
        <v>5.5999999999999939E-3</v>
      </c>
      <c r="K23" s="155">
        <f t="shared" si="4"/>
        <v>1.156935607542614E-2</v>
      </c>
      <c r="L23" s="155">
        <f t="shared" si="5"/>
        <v>0.2883</v>
      </c>
      <c r="M23" s="156">
        <f t="shared" si="6"/>
        <v>4.0129573622706003</v>
      </c>
      <c r="N23" s="157">
        <f t="shared" si="12"/>
        <v>1.156935607542614E-2</v>
      </c>
      <c r="O23" s="155">
        <f t="shared" si="13"/>
        <v>100</v>
      </c>
      <c r="P23" s="250">
        <v>1</v>
      </c>
      <c r="Q23" s="250">
        <v>1000</v>
      </c>
      <c r="R23" s="148">
        <f t="shared" si="14"/>
        <v>4.0129573622706003</v>
      </c>
      <c r="S23" s="148">
        <f t="shared" si="15"/>
        <v>4.0129573622706003</v>
      </c>
      <c r="T23" s="148">
        <f t="shared" si="16"/>
        <v>4.0129573622706007E-2</v>
      </c>
      <c r="U23" s="148">
        <f t="shared" si="16"/>
        <v>40.129573622706005</v>
      </c>
      <c r="V23" s="7">
        <f t="shared" si="17"/>
        <v>1000</v>
      </c>
      <c r="W23" s="7">
        <f t="shared" si="17"/>
        <v>1000000</v>
      </c>
      <c r="X23" s="1345">
        <f t="shared" si="18"/>
        <v>40.129573622706005</v>
      </c>
      <c r="Y23" s="1345">
        <f t="shared" si="18"/>
        <v>40129.573622706004</v>
      </c>
    </row>
    <row r="24" spans="1:26" x14ac:dyDescent="0.2">
      <c r="A24" s="213" t="str">
        <f t="shared" ref="A24:B24" si="34">A40</f>
        <v>NIST</v>
      </c>
      <c r="B24" s="213">
        <f t="shared" si="34"/>
        <v>172500</v>
      </c>
      <c r="C24" s="219">
        <f t="shared" si="0"/>
        <v>0</v>
      </c>
      <c r="D24" s="219">
        <f t="shared" si="1"/>
        <v>0</v>
      </c>
      <c r="E24" s="219" t="e">
        <f t="shared" ref="E24:F24" si="35">C40*0.001</f>
        <v>#VALUE!</v>
      </c>
      <c r="F24" s="219" t="e">
        <f t="shared" si="35"/>
        <v>#VALUE!</v>
      </c>
      <c r="G24" s="219">
        <f t="shared" ref="G24:H24" si="36">I40*0.001</f>
        <v>0</v>
      </c>
      <c r="H24" s="219">
        <f t="shared" si="36"/>
        <v>0</v>
      </c>
      <c r="I24" s="155">
        <f t="shared" si="2"/>
        <v>0</v>
      </c>
      <c r="J24" s="155" t="e">
        <f t="shared" si="3"/>
        <v>#VALUE!</v>
      </c>
      <c r="K24" s="155" t="e">
        <f t="shared" si="4"/>
        <v>#VALUE!</v>
      </c>
      <c r="L24" s="155">
        <f t="shared" si="5"/>
        <v>0</v>
      </c>
      <c r="M24" s="156" t="e">
        <f t="shared" si="6"/>
        <v>#VALUE!</v>
      </c>
      <c r="N24" s="157" t="e">
        <f t="shared" si="12"/>
        <v>#VALUE!</v>
      </c>
      <c r="O24" s="155" t="e">
        <f t="shared" si="13"/>
        <v>#VALUE!</v>
      </c>
      <c r="P24" s="250">
        <v>1</v>
      </c>
      <c r="Q24" s="250">
        <v>1000</v>
      </c>
      <c r="R24" s="148" t="e">
        <f t="shared" si="14"/>
        <v>#VALUE!</v>
      </c>
      <c r="S24" s="148" t="e">
        <f t="shared" si="15"/>
        <v>#VALUE!</v>
      </c>
      <c r="T24" s="148" t="e">
        <f t="shared" si="16"/>
        <v>#VALUE!</v>
      </c>
      <c r="U24" s="148" t="e">
        <f t="shared" si="16"/>
        <v>#VALUE!</v>
      </c>
      <c r="V24" s="7">
        <f t="shared" si="17"/>
        <v>1000</v>
      </c>
      <c r="W24" s="7">
        <f t="shared" si="17"/>
        <v>1000000</v>
      </c>
      <c r="X24" s="1345" t="e">
        <f t="shared" si="18"/>
        <v>#VALUE!</v>
      </c>
      <c r="Y24" s="1345" t="e">
        <f t="shared" si="18"/>
        <v>#VALUE!</v>
      </c>
    </row>
    <row r="25" spans="1:26" x14ac:dyDescent="0.2">
      <c r="A25" s="213" t="str">
        <f t="shared" ref="A25:B25" si="37">A41</f>
        <v>NMi</v>
      </c>
      <c r="B25" s="213">
        <f t="shared" si="37"/>
        <v>172508</v>
      </c>
      <c r="C25" s="219">
        <f t="shared" si="0"/>
        <v>0.27600000000000002</v>
      </c>
      <c r="D25" s="219">
        <f t="shared" si="1"/>
        <v>1.4300000000000001E-3</v>
      </c>
      <c r="E25" s="219">
        <f t="shared" ref="E25:F25" si="38">C41*0.001</f>
        <v>0.27516000000000002</v>
      </c>
      <c r="F25" s="219">
        <f t="shared" si="38"/>
        <v>1.5E-3</v>
      </c>
      <c r="G25" s="219">
        <f t="shared" ref="G25:H25" si="39">I41*0.001</f>
        <v>-8.0000000000000004E-4</v>
      </c>
      <c r="H25" s="219">
        <f t="shared" si="39"/>
        <v>4.0999999999999995E-3</v>
      </c>
      <c r="I25" s="155">
        <f t="shared" si="2"/>
        <v>0</v>
      </c>
      <c r="J25" s="155">
        <f t="shared" si="3"/>
        <v>0</v>
      </c>
      <c r="K25" s="155">
        <f t="shared" si="4"/>
        <v>3.0000000000000001E-3</v>
      </c>
      <c r="L25" s="155">
        <f t="shared" si="5"/>
        <v>0.27600000000000002</v>
      </c>
      <c r="M25" s="156">
        <f t="shared" si="6"/>
        <v>1.0869565217391304</v>
      </c>
      <c r="N25" s="157">
        <f t="shared" si="12"/>
        <v>3.0000000000000001E-3</v>
      </c>
      <c r="O25" s="155">
        <f t="shared" si="13"/>
        <v>100</v>
      </c>
      <c r="P25" s="250">
        <v>1</v>
      </c>
      <c r="Q25" s="250">
        <v>1000</v>
      </c>
      <c r="R25" s="148">
        <f t="shared" si="14"/>
        <v>1.0869565217391304</v>
      </c>
      <c r="S25" s="148">
        <f t="shared" si="15"/>
        <v>1.0869565217391304</v>
      </c>
      <c r="T25" s="148">
        <f t="shared" si="16"/>
        <v>1.0869565217391304E-2</v>
      </c>
      <c r="U25" s="148">
        <f t="shared" si="16"/>
        <v>10.869565217391303</v>
      </c>
      <c r="V25" s="7">
        <f t="shared" si="17"/>
        <v>1000</v>
      </c>
      <c r="W25" s="7">
        <f t="shared" si="17"/>
        <v>1000000</v>
      </c>
      <c r="X25" s="1345">
        <f t="shared" si="18"/>
        <v>10.869565217391305</v>
      </c>
      <c r="Y25" s="1345">
        <f t="shared" si="18"/>
        <v>10869.565217391302</v>
      </c>
    </row>
    <row r="26" spans="1:26" x14ac:dyDescent="0.2">
      <c r="A26" s="213" t="str">
        <f t="shared" ref="A26:B26" si="40">A42</f>
        <v>NPL</v>
      </c>
      <c r="B26" s="213">
        <f t="shared" si="40"/>
        <v>172506</v>
      </c>
      <c r="C26" s="219">
        <f t="shared" si="0"/>
        <v>0.2792</v>
      </c>
      <c r="D26" s="219">
        <f t="shared" si="1"/>
        <v>1.4300000000000001E-3</v>
      </c>
      <c r="E26" s="219">
        <f t="shared" ref="E26:F26" si="41">C42*0.001</f>
        <v>0.28000999999999998</v>
      </c>
      <c r="F26" s="219">
        <f t="shared" si="41"/>
        <v>1.4399999999999999E-3</v>
      </c>
      <c r="G26" s="219">
        <f t="shared" ref="G26:H26" si="42">I42*0.001</f>
        <v>8.0000000000000004E-4</v>
      </c>
      <c r="H26" s="219">
        <f t="shared" si="42"/>
        <v>4.0999999999999995E-3</v>
      </c>
      <c r="I26" s="155">
        <f t="shared" si="2"/>
        <v>0</v>
      </c>
      <c r="J26" s="155">
        <f t="shared" si="3"/>
        <v>0</v>
      </c>
      <c r="K26" s="155">
        <f t="shared" si="4"/>
        <v>2.8799999999999997E-3</v>
      </c>
      <c r="L26" s="155">
        <f t="shared" si="5"/>
        <v>0.2792</v>
      </c>
      <c r="M26" s="156">
        <f t="shared" si="6"/>
        <v>1.0315186246418337</v>
      </c>
      <c r="N26" s="157">
        <f t="shared" si="12"/>
        <v>2.8799999999999997E-3</v>
      </c>
      <c r="O26" s="155">
        <f t="shared" si="13"/>
        <v>100</v>
      </c>
      <c r="P26" s="250">
        <v>1</v>
      </c>
      <c r="Q26" s="250">
        <v>1000</v>
      </c>
      <c r="R26" s="148">
        <f t="shared" si="14"/>
        <v>1.0315186246418337</v>
      </c>
      <c r="S26" s="148">
        <f t="shared" si="15"/>
        <v>1.0315186246418337</v>
      </c>
      <c r="T26" s="148">
        <f t="shared" si="16"/>
        <v>1.0315186246418338E-2</v>
      </c>
      <c r="U26" s="148">
        <f t="shared" si="16"/>
        <v>10.315186246418337</v>
      </c>
      <c r="V26" s="7">
        <f t="shared" si="17"/>
        <v>1000</v>
      </c>
      <c r="W26" s="7">
        <f t="shared" si="17"/>
        <v>1000000</v>
      </c>
      <c r="X26" s="1345">
        <f t="shared" si="18"/>
        <v>10.315186246418337</v>
      </c>
      <c r="Y26" s="1345">
        <f t="shared" si="18"/>
        <v>10315.186246418338</v>
      </c>
    </row>
    <row r="27" spans="1:26" x14ac:dyDescent="0.2">
      <c r="A27" s="213" t="str">
        <f t="shared" ref="A27:B27" si="43">A43</f>
        <v>UBA(D)</v>
      </c>
      <c r="B27" s="213">
        <f t="shared" si="43"/>
        <v>172473</v>
      </c>
      <c r="C27" s="219">
        <f t="shared" si="0"/>
        <v>0.27929999999999999</v>
      </c>
      <c r="D27" s="219">
        <f t="shared" si="1"/>
        <v>1.4499999999999999E-3</v>
      </c>
      <c r="E27" s="219">
        <f t="shared" ref="E27:F27" si="44">C43*0.001</f>
        <v>0.28200000000000003</v>
      </c>
      <c r="F27" s="219">
        <f t="shared" si="44"/>
        <v>2.8E-3</v>
      </c>
      <c r="G27" s="219">
        <f t="shared" ref="G27:H27" si="45">I43*0.001</f>
        <v>2.7000000000000001E-3</v>
      </c>
      <c r="H27" s="219">
        <f t="shared" si="45"/>
        <v>6.3E-3</v>
      </c>
      <c r="I27" s="155">
        <f t="shared" si="2"/>
        <v>0</v>
      </c>
      <c r="J27" s="155">
        <f t="shared" si="3"/>
        <v>0</v>
      </c>
      <c r="K27" s="155">
        <f t="shared" si="4"/>
        <v>5.5999999999999999E-3</v>
      </c>
      <c r="L27" s="155">
        <f t="shared" si="5"/>
        <v>0.27929999999999999</v>
      </c>
      <c r="M27" s="156">
        <f t="shared" si="6"/>
        <v>2.0050125313283207</v>
      </c>
      <c r="N27" s="157">
        <f t="shared" si="12"/>
        <v>5.5999999999999991E-3</v>
      </c>
      <c r="O27" s="155">
        <f t="shared" si="13"/>
        <v>100</v>
      </c>
      <c r="P27" s="250">
        <v>1</v>
      </c>
      <c r="Q27" s="250">
        <v>1000</v>
      </c>
      <c r="R27" s="148">
        <f t="shared" si="14"/>
        <v>2.0050125313283207</v>
      </c>
      <c r="S27" s="148">
        <f t="shared" si="15"/>
        <v>2.0050125313283207</v>
      </c>
      <c r="T27" s="148">
        <f t="shared" si="16"/>
        <v>2.0050125313283207E-2</v>
      </c>
      <c r="U27" s="148">
        <f t="shared" si="16"/>
        <v>20.050125313283207</v>
      </c>
      <c r="V27" s="7">
        <f t="shared" si="17"/>
        <v>1000</v>
      </c>
      <c r="W27" s="7">
        <f t="shared" si="17"/>
        <v>1000000</v>
      </c>
      <c r="X27" s="1345">
        <f t="shared" si="18"/>
        <v>20.050125313283207</v>
      </c>
      <c r="Y27" s="1345">
        <f t="shared" si="18"/>
        <v>20050.125313283206</v>
      </c>
    </row>
    <row r="28" spans="1:26" x14ac:dyDescent="0.2">
      <c r="A28" s="213" t="str">
        <f t="shared" ref="A28:B28" si="46">A44</f>
        <v>VNIIM</v>
      </c>
      <c r="B28" s="213">
        <f t="shared" si="46"/>
        <v>172467</v>
      </c>
      <c r="C28" s="219">
        <f t="shared" si="0"/>
        <v>0.26850000000000002</v>
      </c>
      <c r="D28" s="219">
        <f t="shared" si="1"/>
        <v>1.42E-3</v>
      </c>
      <c r="E28" s="219">
        <f t="shared" ref="E28:F28" si="47">C44*0.001</f>
        <v>0.26039999999999996</v>
      </c>
      <c r="F28" s="219">
        <f t="shared" si="47"/>
        <v>2.2300000000000002E-3</v>
      </c>
      <c r="G28" s="219">
        <f t="shared" ref="G28:H28" si="48">I44*0.001</f>
        <v>-8.0999999999999996E-3</v>
      </c>
      <c r="H28" s="219">
        <f t="shared" si="48"/>
        <v>5.3E-3</v>
      </c>
      <c r="I28" s="155">
        <f t="shared" si="2"/>
        <v>1</v>
      </c>
      <c r="J28" s="155">
        <f t="shared" si="3"/>
        <v>8.1000000000000516E-3</v>
      </c>
      <c r="K28" s="155">
        <f t="shared" si="4"/>
        <v>1.6802725969318293E-2</v>
      </c>
      <c r="L28" s="155">
        <f t="shared" si="5"/>
        <v>0.26850000000000002</v>
      </c>
      <c r="M28" s="156">
        <f t="shared" si="6"/>
        <v>6.2579984988150068</v>
      </c>
      <c r="N28" s="157">
        <f t="shared" si="12"/>
        <v>1.6802725969318297E-2</v>
      </c>
      <c r="O28" s="155">
        <f t="shared" si="13"/>
        <v>100</v>
      </c>
      <c r="P28" s="250">
        <v>1</v>
      </c>
      <c r="Q28" s="250">
        <v>1000</v>
      </c>
      <c r="R28" s="148">
        <f t="shared" si="14"/>
        <v>6.2579984988150068</v>
      </c>
      <c r="S28" s="148">
        <f t="shared" si="15"/>
        <v>6.2579984988150068</v>
      </c>
      <c r="T28" s="148">
        <f t="shared" si="16"/>
        <v>6.2579984988150067E-2</v>
      </c>
      <c r="U28" s="148">
        <f t="shared" si="16"/>
        <v>62.579984988150073</v>
      </c>
      <c r="V28" s="7">
        <f t="shared" si="17"/>
        <v>1000</v>
      </c>
      <c r="W28" s="7">
        <f t="shared" si="17"/>
        <v>1000000</v>
      </c>
      <c r="X28" s="1345">
        <f t="shared" si="18"/>
        <v>62.579984988150066</v>
      </c>
      <c r="Y28" s="1345">
        <f t="shared" si="18"/>
        <v>62579.98498815007</v>
      </c>
    </row>
    <row r="29" spans="1:26" ht="14.25" x14ac:dyDescent="0.2">
      <c r="H29" s="9"/>
      <c r="U29" s="152"/>
      <c r="V29" s="21"/>
      <c r="W29" s="21"/>
      <c r="X29" s="21"/>
      <c r="Y29" s="21"/>
      <c r="Z29" s="21"/>
    </row>
    <row r="30" spans="1:26" ht="14.25" x14ac:dyDescent="0.2">
      <c r="H30" s="9"/>
      <c r="U30" s="152"/>
      <c r="V30" s="21"/>
      <c r="W30" s="21"/>
      <c r="X30" s="21"/>
      <c r="Y30" s="21"/>
      <c r="Z30" s="21"/>
    </row>
    <row r="31" spans="1:26" ht="14.25" x14ac:dyDescent="0.2">
      <c r="H31" s="9"/>
      <c r="V31" s="21"/>
      <c r="W31" s="21"/>
      <c r="X31" s="21"/>
      <c r="Y31" s="21"/>
      <c r="Z31" s="21"/>
    </row>
    <row r="32" spans="1:26" s="227" customFormat="1" ht="44.1" customHeight="1" x14ac:dyDescent="0.2">
      <c r="A32" s="503" t="s">
        <v>383</v>
      </c>
      <c r="B32" s="503" t="s">
        <v>384</v>
      </c>
      <c r="C32" s="526" t="s">
        <v>406</v>
      </c>
      <c r="D32" s="525" t="s">
        <v>405</v>
      </c>
      <c r="E32" s="504" t="s">
        <v>385</v>
      </c>
      <c r="F32" s="504" t="s">
        <v>386</v>
      </c>
      <c r="G32" s="505" t="s">
        <v>387</v>
      </c>
      <c r="H32" s="504" t="s">
        <v>388</v>
      </c>
      <c r="I32" s="526" t="s">
        <v>407</v>
      </c>
      <c r="J32" s="527" t="s">
        <v>408</v>
      </c>
    </row>
    <row r="33" spans="1:26" s="227" customFormat="1" ht="9.9499999999999993" customHeight="1" x14ac:dyDescent="0.2">
      <c r="A33" s="1346" t="s">
        <v>389</v>
      </c>
      <c r="B33" s="506" t="s">
        <v>390</v>
      </c>
      <c r="C33" s="507">
        <v>277.8</v>
      </c>
      <c r="D33" s="508">
        <v>3.1</v>
      </c>
      <c r="E33" s="507">
        <v>270.7</v>
      </c>
      <c r="F33" s="507">
        <v>0.5</v>
      </c>
      <c r="G33" s="507">
        <v>1.4</v>
      </c>
      <c r="H33" s="509">
        <v>1.41</v>
      </c>
      <c r="I33" s="507">
        <v>7.1</v>
      </c>
      <c r="J33" s="507">
        <v>6.8</v>
      </c>
    </row>
    <row r="34" spans="1:26" s="227" customFormat="1" ht="11.1" customHeight="1" x14ac:dyDescent="0.2">
      <c r="A34" s="515" t="s">
        <v>391</v>
      </c>
      <c r="B34" s="510">
        <v>172468</v>
      </c>
      <c r="C34" s="511">
        <v>285.2</v>
      </c>
      <c r="D34" s="512">
        <v>2.2999999999999998</v>
      </c>
      <c r="E34" s="511">
        <v>284.8</v>
      </c>
      <c r="F34" s="513">
        <v>0.5</v>
      </c>
      <c r="G34" s="511">
        <v>1.4</v>
      </c>
      <c r="H34" s="514">
        <v>1.41</v>
      </c>
      <c r="I34" s="511">
        <v>0.4</v>
      </c>
      <c r="J34" s="511">
        <v>5.4</v>
      </c>
    </row>
    <row r="35" spans="1:26" s="227" customFormat="1" ht="11.1" customHeight="1" x14ac:dyDescent="0.2">
      <c r="A35" s="515" t="s">
        <v>392</v>
      </c>
      <c r="B35" s="510">
        <v>172505</v>
      </c>
      <c r="C35" s="511">
        <v>273.8</v>
      </c>
      <c r="D35" s="512">
        <v>2.19</v>
      </c>
      <c r="E35" s="511">
        <v>277.7</v>
      </c>
      <c r="F35" s="513">
        <v>0.41</v>
      </c>
      <c r="G35" s="511">
        <v>1.4</v>
      </c>
      <c r="H35" s="513">
        <v>1.41</v>
      </c>
      <c r="I35" s="511">
        <v>-3.9</v>
      </c>
      <c r="J35" s="511">
        <v>5.2</v>
      </c>
    </row>
    <row r="36" spans="1:26" s="227" customFormat="1" ht="9.9499999999999993" customHeight="1" x14ac:dyDescent="0.2">
      <c r="A36" s="515" t="s">
        <v>393</v>
      </c>
      <c r="B36" s="510">
        <v>172472</v>
      </c>
      <c r="C36" s="511">
        <v>261.89999999999998</v>
      </c>
      <c r="D36" s="512">
        <v>2.5499999999999998</v>
      </c>
      <c r="E36" s="511">
        <v>275.8</v>
      </c>
      <c r="F36" s="513">
        <v>0.56999999999999995</v>
      </c>
      <c r="G36" s="511">
        <v>1.4</v>
      </c>
      <c r="H36" s="513">
        <v>1.42</v>
      </c>
      <c r="I36" s="511">
        <v>-13.9</v>
      </c>
      <c r="J36" s="511">
        <v>5.8</v>
      </c>
    </row>
    <row r="37" spans="1:26" s="227" customFormat="1" ht="11.1" customHeight="1" x14ac:dyDescent="0.2">
      <c r="A37" s="515" t="s">
        <v>394</v>
      </c>
      <c r="B37" s="510">
        <v>172698</v>
      </c>
      <c r="C37" s="511">
        <v>284.5</v>
      </c>
      <c r="D37" s="512">
        <v>1.45</v>
      </c>
      <c r="E37" s="511">
        <v>286.39999999999998</v>
      </c>
      <c r="F37" s="513">
        <v>0.97</v>
      </c>
      <c r="G37" s="511">
        <v>1.4</v>
      </c>
      <c r="H37" s="513">
        <v>1.46</v>
      </c>
      <c r="I37" s="511">
        <v>-1.9</v>
      </c>
      <c r="J37" s="511">
        <v>4.0999999999999996</v>
      </c>
    </row>
    <row r="38" spans="1:26" s="227" customFormat="1" ht="11.1" customHeight="1" x14ac:dyDescent="0.2">
      <c r="A38" s="515" t="s">
        <v>395</v>
      </c>
      <c r="B38" s="510">
        <v>172469</v>
      </c>
      <c r="C38" s="511">
        <v>275.10000000000002</v>
      </c>
      <c r="D38" s="512">
        <v>1.5</v>
      </c>
      <c r="E38" s="511">
        <v>269.2</v>
      </c>
      <c r="F38" s="513">
        <v>0.6</v>
      </c>
      <c r="G38" s="516">
        <v>1.4</v>
      </c>
      <c r="H38" s="513">
        <v>1.42</v>
      </c>
      <c r="I38" s="511">
        <v>5.9</v>
      </c>
      <c r="J38" s="511">
        <v>4.0999999999999996</v>
      </c>
    </row>
    <row r="39" spans="1:26" s="227" customFormat="1" ht="11.1" customHeight="1" x14ac:dyDescent="0.2">
      <c r="A39" s="515" t="s">
        <v>396</v>
      </c>
      <c r="B39" s="510">
        <v>172509</v>
      </c>
      <c r="C39" s="511">
        <v>282.7</v>
      </c>
      <c r="D39" s="512">
        <v>1.45</v>
      </c>
      <c r="E39" s="511">
        <v>288.3</v>
      </c>
      <c r="F39" s="513">
        <v>0.7</v>
      </c>
      <c r="G39" s="511">
        <v>1.4</v>
      </c>
      <c r="H39" s="513">
        <v>1.43</v>
      </c>
      <c r="I39" s="516">
        <v>-5.6</v>
      </c>
      <c r="J39" s="511">
        <v>4.0999999999999996</v>
      </c>
    </row>
    <row r="40" spans="1:26" s="227" customFormat="1" ht="9.9499999999999993" customHeight="1" x14ac:dyDescent="0.2">
      <c r="A40" s="515" t="s">
        <v>397</v>
      </c>
      <c r="B40" s="510">
        <v>172500</v>
      </c>
      <c r="C40" s="517" t="s">
        <v>398</v>
      </c>
      <c r="D40" s="517" t="s">
        <v>398</v>
      </c>
      <c r="E40" s="518"/>
      <c r="F40" s="518"/>
      <c r="G40" s="518"/>
      <c r="H40" s="518"/>
      <c r="I40" s="518"/>
      <c r="J40" s="518"/>
    </row>
    <row r="41" spans="1:26" s="227" customFormat="1" ht="11.1" customHeight="1" x14ac:dyDescent="0.2">
      <c r="A41" s="515" t="s">
        <v>399</v>
      </c>
      <c r="B41" s="510">
        <v>172508</v>
      </c>
      <c r="C41" s="514">
        <v>275.16000000000003</v>
      </c>
      <c r="D41" s="512">
        <v>1.5</v>
      </c>
      <c r="E41" s="511">
        <v>276</v>
      </c>
      <c r="F41" s="513">
        <v>0.67</v>
      </c>
      <c r="G41" s="516">
        <v>1.4</v>
      </c>
      <c r="H41" s="513">
        <v>1.43</v>
      </c>
      <c r="I41" s="511">
        <v>-0.8</v>
      </c>
      <c r="J41" s="511">
        <v>4.0999999999999996</v>
      </c>
    </row>
    <row r="42" spans="1:26" s="227" customFormat="1" ht="9.9499999999999993" customHeight="1" x14ac:dyDescent="0.2">
      <c r="A42" s="515" t="s">
        <v>400</v>
      </c>
      <c r="B42" s="510">
        <v>172506</v>
      </c>
      <c r="C42" s="513">
        <v>280.01</v>
      </c>
      <c r="D42" s="512">
        <v>1.44</v>
      </c>
      <c r="E42" s="511">
        <v>279.2</v>
      </c>
      <c r="F42" s="513">
        <v>0.7</v>
      </c>
      <c r="G42" s="511">
        <v>1.4</v>
      </c>
      <c r="H42" s="513">
        <v>1.43</v>
      </c>
      <c r="I42" s="511">
        <v>0.8</v>
      </c>
      <c r="J42" s="511">
        <v>4.0999999999999996</v>
      </c>
    </row>
    <row r="43" spans="1:26" s="227" customFormat="1" ht="9.9499999999999993" customHeight="1" x14ac:dyDescent="0.2">
      <c r="A43" s="515" t="s">
        <v>401</v>
      </c>
      <c r="B43" s="510">
        <v>172473</v>
      </c>
      <c r="C43" s="510">
        <v>282</v>
      </c>
      <c r="D43" s="512">
        <v>2.8</v>
      </c>
      <c r="E43" s="511">
        <v>279.3</v>
      </c>
      <c r="F43" s="513">
        <v>0.92</v>
      </c>
      <c r="G43" s="511">
        <v>1.4</v>
      </c>
      <c r="H43" s="513">
        <v>1.45</v>
      </c>
      <c r="I43" s="511">
        <v>2.7</v>
      </c>
      <c r="J43" s="511">
        <v>6.3</v>
      </c>
    </row>
    <row r="44" spans="1:26" s="227" customFormat="1" ht="11.1" customHeight="1" x14ac:dyDescent="0.2">
      <c r="A44" s="1347" t="s">
        <v>402</v>
      </c>
      <c r="B44" s="519">
        <v>172467</v>
      </c>
      <c r="C44" s="520">
        <v>260.39999999999998</v>
      </c>
      <c r="D44" s="521">
        <v>2.23</v>
      </c>
      <c r="E44" s="520">
        <v>268.5</v>
      </c>
      <c r="F44" s="522">
        <v>0.55000000000000004</v>
      </c>
      <c r="G44" s="520">
        <v>1.4</v>
      </c>
      <c r="H44" s="522">
        <v>1.42</v>
      </c>
      <c r="I44" s="520">
        <v>-8.1</v>
      </c>
      <c r="J44" s="520">
        <v>5.3</v>
      </c>
    </row>
    <row r="45" spans="1:26" s="227" customFormat="1" ht="12" customHeight="1" x14ac:dyDescent="0.2">
      <c r="A45" s="523" t="s">
        <v>403</v>
      </c>
    </row>
    <row r="46" spans="1:26" s="227" customFormat="1" ht="0.95" customHeight="1" x14ac:dyDescent="0.2"/>
    <row r="47" spans="1:26" s="227" customFormat="1" ht="12" customHeight="1" x14ac:dyDescent="0.2">
      <c r="A47" s="524" t="s">
        <v>404</v>
      </c>
      <c r="B47" s="403">
        <v>172703</v>
      </c>
      <c r="C47" s="403">
        <v>279</v>
      </c>
      <c r="D47" s="403">
        <v>2</v>
      </c>
      <c r="E47" s="403">
        <v>275.5</v>
      </c>
      <c r="F47" s="403">
        <v>0.6</v>
      </c>
      <c r="G47" s="403">
        <v>1.4</v>
      </c>
      <c r="H47" s="403">
        <v>1.42</v>
      </c>
    </row>
    <row r="48" spans="1:26" ht="14.25" x14ac:dyDescent="0.2">
      <c r="H48" s="9"/>
      <c r="X48" s="21"/>
      <c r="Y48" s="21"/>
      <c r="Z48" s="21"/>
    </row>
    <row r="49" spans="8:26" ht="14.25" x14ac:dyDescent="0.2">
      <c r="H49" s="9"/>
      <c r="X49" s="21"/>
      <c r="Y49" s="21"/>
      <c r="Z49" s="21"/>
    </row>
    <row r="50" spans="8:26" ht="14.25" x14ac:dyDescent="0.2">
      <c r="H50" s="9"/>
      <c r="X50" s="21"/>
      <c r="Y50" s="21"/>
      <c r="Z50" s="21"/>
    </row>
    <row r="51" spans="8:26" ht="14.25" x14ac:dyDescent="0.2">
      <c r="H51" s="9"/>
      <c r="X51" s="21"/>
      <c r="Y51" s="21"/>
      <c r="Z51" s="21"/>
    </row>
    <row r="52" spans="8:26" ht="14.25" x14ac:dyDescent="0.2">
      <c r="H52" s="9"/>
      <c r="X52" s="21"/>
      <c r="Y52" s="21"/>
      <c r="Z52" s="21"/>
    </row>
    <row r="53" spans="8:26" ht="14.25" x14ac:dyDescent="0.2">
      <c r="H53" s="9"/>
      <c r="X53" s="21"/>
      <c r="Y53" s="21"/>
      <c r="Z53" s="21"/>
    </row>
    <row r="54" spans="8:26" ht="14.25" x14ac:dyDescent="0.2">
      <c r="H54" s="9"/>
      <c r="X54" s="21"/>
      <c r="Y54" s="21"/>
      <c r="Z54" s="21"/>
    </row>
    <row r="55" spans="8:26" ht="14.25" x14ac:dyDescent="0.2">
      <c r="H55" s="9"/>
      <c r="X55" s="21"/>
      <c r="Y55" s="21"/>
      <c r="Z55" s="21"/>
    </row>
    <row r="56" spans="8:26" ht="14.25" x14ac:dyDescent="0.2">
      <c r="H56" s="9"/>
      <c r="X56" s="21"/>
      <c r="Y56" s="21"/>
      <c r="Z56" s="21"/>
    </row>
    <row r="57" spans="8:26" ht="14.25" x14ac:dyDescent="0.2">
      <c r="H57" s="9"/>
      <c r="X57" s="21"/>
      <c r="Y57" s="21"/>
      <c r="Z57" s="21"/>
    </row>
    <row r="58" spans="8:26" ht="14.25" x14ac:dyDescent="0.2">
      <c r="H58" s="9"/>
      <c r="U58" s="152"/>
      <c r="V58" s="21"/>
      <c r="W58" s="21"/>
      <c r="X58" s="21"/>
      <c r="Y58" s="21"/>
      <c r="Z58" s="21"/>
    </row>
    <row r="59" spans="8:26" ht="14.25" x14ac:dyDescent="0.2">
      <c r="H59" s="9"/>
      <c r="U59" s="152"/>
      <c r="V59" s="21"/>
      <c r="W59" s="21"/>
      <c r="X59" s="21"/>
      <c r="Y59" s="21"/>
      <c r="Z59" s="21"/>
    </row>
    <row r="60" spans="8:26" ht="14.25" x14ac:dyDescent="0.2">
      <c r="H60" s="9"/>
      <c r="U60" s="152"/>
      <c r="V60" s="21"/>
      <c r="W60" s="21"/>
      <c r="X60" s="21"/>
      <c r="Y60" s="21"/>
      <c r="Z60" s="21"/>
    </row>
    <row r="61" spans="8:26" ht="14.25" x14ac:dyDescent="0.2">
      <c r="H61" s="9"/>
      <c r="U61" s="152"/>
      <c r="V61" s="21"/>
      <c r="W61" s="21"/>
      <c r="X61" s="21"/>
      <c r="Y61" s="21"/>
      <c r="Z61" s="21"/>
    </row>
    <row r="62" spans="8:26" ht="14.25" x14ac:dyDescent="0.2">
      <c r="H62" s="9"/>
      <c r="U62" s="152"/>
      <c r="V62" s="21"/>
      <c r="W62" s="21"/>
      <c r="X62" s="21"/>
      <c r="Y62" s="21"/>
      <c r="Z62" s="21"/>
    </row>
    <row r="63" spans="8:26" ht="14.25" x14ac:dyDescent="0.2">
      <c r="H63" s="9"/>
      <c r="U63" s="152"/>
      <c r="V63" s="21"/>
      <c r="W63" s="21"/>
      <c r="X63" s="21"/>
      <c r="Y63" s="21"/>
      <c r="Z63" s="21"/>
    </row>
    <row r="64" spans="8:26" ht="14.25" x14ac:dyDescent="0.2">
      <c r="H64" s="9"/>
      <c r="U64" s="152"/>
      <c r="V64" s="21"/>
      <c r="W64" s="21"/>
      <c r="X64" s="21"/>
      <c r="Y64" s="21"/>
      <c r="Z64" s="21"/>
    </row>
    <row r="65" spans="8:26" ht="14.25" x14ac:dyDescent="0.2">
      <c r="H65" s="9"/>
      <c r="U65" s="152"/>
      <c r="V65" s="21"/>
      <c r="W65" s="21"/>
      <c r="X65" s="21"/>
      <c r="Y65" s="21"/>
      <c r="Z65" s="21"/>
    </row>
    <row r="66" spans="8:26" ht="14.25" x14ac:dyDescent="0.2">
      <c r="H66" s="9"/>
      <c r="U66" s="152"/>
      <c r="V66" s="21"/>
      <c r="W66" s="21"/>
      <c r="X66" s="21"/>
      <c r="Y66" s="21"/>
      <c r="Z66" s="21"/>
    </row>
    <row r="67" spans="8:26" ht="14.25" x14ac:dyDescent="0.2">
      <c r="H67" s="9"/>
      <c r="U67" s="152"/>
      <c r="V67" s="21"/>
      <c r="W67" s="21"/>
      <c r="X67" s="21"/>
      <c r="Y67" s="21"/>
      <c r="Z67" s="21"/>
    </row>
    <row r="68" spans="8:26" ht="14.25" x14ac:dyDescent="0.2">
      <c r="H68" s="9"/>
      <c r="U68" s="152"/>
      <c r="V68" s="21"/>
      <c r="W68" s="21"/>
      <c r="X68" s="21"/>
      <c r="Y68" s="21"/>
      <c r="Z68" s="21"/>
    </row>
    <row r="69" spans="8:26" ht="14.25" x14ac:dyDescent="0.2">
      <c r="H69" s="9"/>
      <c r="U69" s="152"/>
      <c r="V69" s="21"/>
      <c r="W69" s="21"/>
      <c r="X69" s="21"/>
      <c r="Y69" s="21"/>
      <c r="Z69" s="21"/>
    </row>
    <row r="70" spans="8:26" ht="14.25" x14ac:dyDescent="0.2">
      <c r="H70" s="9"/>
      <c r="U70" s="152"/>
      <c r="V70" s="21"/>
      <c r="W70" s="21"/>
      <c r="X70" s="21"/>
      <c r="Y70" s="21"/>
      <c r="Z70" s="21"/>
    </row>
    <row r="71" spans="8:26" ht="14.25" x14ac:dyDescent="0.2">
      <c r="H71" s="9"/>
      <c r="U71" s="152"/>
      <c r="V71" s="21"/>
      <c r="W71" s="21"/>
      <c r="X71" s="21"/>
      <c r="Y71" s="21"/>
      <c r="Z71" s="21"/>
    </row>
    <row r="72" spans="8:26" ht="14.25" x14ac:dyDescent="0.2">
      <c r="H72" s="9"/>
      <c r="U72" s="152"/>
      <c r="V72" s="21"/>
      <c r="W72" s="21"/>
      <c r="X72" s="21"/>
      <c r="Y72" s="21"/>
      <c r="Z72" s="21"/>
    </row>
    <row r="73" spans="8:26" ht="14.25" x14ac:dyDescent="0.2">
      <c r="H73" s="9"/>
      <c r="U73" s="152"/>
      <c r="V73" s="21"/>
      <c r="W73" s="21"/>
      <c r="X73" s="21"/>
      <c r="Y73" s="21"/>
      <c r="Z73" s="21"/>
    </row>
    <row r="74" spans="8:26" ht="14.25" x14ac:dyDescent="0.2">
      <c r="H74" s="9"/>
      <c r="U74" s="152"/>
      <c r="V74" s="21"/>
      <c r="W74" s="21"/>
      <c r="X74" s="21"/>
      <c r="Y74" s="21"/>
      <c r="Z74" s="21"/>
    </row>
    <row r="75" spans="8:26" ht="14.25" x14ac:dyDescent="0.2">
      <c r="H75" s="9"/>
      <c r="U75" s="152"/>
      <c r="V75" s="21"/>
      <c r="W75" s="21"/>
      <c r="X75" s="21"/>
      <c r="Y75" s="21"/>
      <c r="Z75" s="21"/>
    </row>
    <row r="76" spans="8:26" ht="14.25" x14ac:dyDescent="0.2">
      <c r="U76" s="152"/>
      <c r="V76" s="21"/>
      <c r="W76" s="21"/>
      <c r="X76" s="21"/>
      <c r="Y76" s="21"/>
      <c r="Z76" s="21"/>
    </row>
    <row r="77" spans="8:26" ht="14.25" x14ac:dyDescent="0.2">
      <c r="H77" s="9"/>
      <c r="U77" s="152"/>
      <c r="V77" s="21"/>
      <c r="W77" s="21"/>
      <c r="X77" s="21"/>
      <c r="Y77" s="21"/>
      <c r="Z77" s="21"/>
    </row>
    <row r="78" spans="8:26" ht="14.25" x14ac:dyDescent="0.2">
      <c r="H78" s="9"/>
      <c r="U78" s="152"/>
      <c r="V78" s="21"/>
      <c r="W78" s="21"/>
      <c r="X78" s="21"/>
      <c r="Y78" s="21"/>
      <c r="Z78" s="21"/>
    </row>
    <row r="79" spans="8:26" ht="14.25" x14ac:dyDescent="0.2">
      <c r="H79" s="9"/>
      <c r="U79" s="152"/>
      <c r="V79" s="21"/>
      <c r="W79" s="21"/>
      <c r="X79" s="21"/>
      <c r="Y79" s="21"/>
      <c r="Z79" s="21"/>
    </row>
    <row r="80" spans="8:26" ht="14.25" x14ac:dyDescent="0.2">
      <c r="H80" s="9"/>
      <c r="U80" s="152"/>
      <c r="V80" s="21"/>
      <c r="W80" s="21"/>
      <c r="X80" s="21"/>
      <c r="Y80" s="21"/>
      <c r="Z80" s="21"/>
    </row>
    <row r="81" spans="1:26" ht="14.25" x14ac:dyDescent="0.2">
      <c r="H81" s="9"/>
      <c r="U81" s="152"/>
      <c r="V81" s="21"/>
      <c r="W81" s="21"/>
      <c r="X81" s="21"/>
      <c r="Y81" s="21"/>
      <c r="Z81" s="21"/>
    </row>
    <row r="82" spans="1:26" ht="14.25" x14ac:dyDescent="0.2">
      <c r="H82" s="9"/>
      <c r="U82" s="152"/>
      <c r="V82" s="21"/>
      <c r="W82" s="21"/>
      <c r="X82" s="21"/>
      <c r="Y82" s="21"/>
      <c r="Z82" s="21"/>
    </row>
    <row r="83" spans="1:26" ht="14.25" x14ac:dyDescent="0.2">
      <c r="U83" s="152"/>
      <c r="V83" s="21"/>
      <c r="W83" s="21"/>
      <c r="X83" s="21"/>
      <c r="Y83" s="21"/>
      <c r="Z83" s="21"/>
    </row>
    <row r="84" spans="1:26" ht="14.25" x14ac:dyDescent="0.2">
      <c r="U84" s="152"/>
      <c r="V84" s="21"/>
      <c r="W84" s="21"/>
      <c r="X84" s="21"/>
      <c r="Y84" s="21"/>
      <c r="Z84" s="21"/>
    </row>
    <row r="85" spans="1:26" ht="14.25" x14ac:dyDescent="0.2">
      <c r="U85" s="152"/>
      <c r="V85" s="21"/>
      <c r="W85" s="21"/>
      <c r="X85" s="21"/>
      <c r="Y85" s="21"/>
      <c r="Z85" s="21"/>
    </row>
    <row r="86" spans="1:26" ht="14.25" x14ac:dyDescent="0.2">
      <c r="U86" s="152"/>
      <c r="V86" s="21"/>
      <c r="W86" s="21"/>
      <c r="X86" s="21"/>
      <c r="Y86" s="21"/>
      <c r="Z86" s="21"/>
    </row>
    <row r="87" spans="1:26" ht="14.25" x14ac:dyDescent="0.2">
      <c r="U87" s="152"/>
      <c r="V87" s="21"/>
      <c r="W87" s="21"/>
      <c r="X87" s="21"/>
      <c r="Y87" s="21"/>
      <c r="Z87" s="21"/>
    </row>
    <row r="88" spans="1:26" ht="14.25" x14ac:dyDescent="0.2">
      <c r="U88" s="152"/>
      <c r="V88" s="21"/>
      <c r="W88" s="21"/>
      <c r="X88" s="21"/>
      <c r="Y88" s="21"/>
      <c r="Z88" s="21"/>
    </row>
    <row r="89" spans="1:26" ht="14.25" x14ac:dyDescent="0.2">
      <c r="A89" s="23"/>
      <c r="B89" s="23"/>
      <c r="C89" s="23"/>
      <c r="D89" s="23"/>
      <c r="T89" s="151"/>
      <c r="U89" s="152"/>
      <c r="V89" s="21"/>
      <c r="W89" s="21"/>
      <c r="X89" s="21"/>
      <c r="Y89" s="21"/>
      <c r="Z89" s="21"/>
    </row>
    <row r="90" spans="1:26" ht="14.25" x14ac:dyDescent="0.2">
      <c r="T90" s="151"/>
      <c r="U90" s="152"/>
      <c r="V90" s="21"/>
      <c r="W90" s="21"/>
      <c r="X90" s="21"/>
      <c r="Y90" s="21"/>
      <c r="Z90" s="21"/>
    </row>
    <row r="91" spans="1:26" ht="14.25" x14ac:dyDescent="0.2">
      <c r="T91" s="151"/>
      <c r="U91" s="152"/>
      <c r="V91" s="21"/>
      <c r="W91" s="21"/>
      <c r="X91" s="21"/>
      <c r="Y91" s="21"/>
      <c r="Z91" s="21"/>
    </row>
    <row r="92" spans="1:26" ht="14.25" x14ac:dyDescent="0.2">
      <c r="T92" s="151"/>
      <c r="U92" s="152"/>
      <c r="V92" s="21"/>
      <c r="W92" s="21"/>
      <c r="X92" s="21"/>
      <c r="Y92" s="21"/>
      <c r="Z92" s="21"/>
    </row>
    <row r="93" spans="1:26" ht="14.25" x14ac:dyDescent="0.2">
      <c r="T93" s="151"/>
      <c r="U93" s="152"/>
      <c r="V93" s="21"/>
      <c r="W93" s="21"/>
      <c r="X93" s="21"/>
      <c r="Y93" s="21"/>
      <c r="Z93" s="21"/>
    </row>
    <row r="94" spans="1:26" ht="14.25" x14ac:dyDescent="0.2">
      <c r="T94" s="151"/>
      <c r="U94" s="152"/>
      <c r="V94" s="21"/>
      <c r="W94" s="21"/>
      <c r="X94" s="21"/>
      <c r="Y94" s="21"/>
      <c r="Z94" s="21"/>
    </row>
    <row r="95" spans="1:26" ht="14.25" x14ac:dyDescent="0.2">
      <c r="T95" s="151"/>
      <c r="U95" s="152"/>
      <c r="V95" s="21"/>
      <c r="W95" s="21"/>
      <c r="X95" s="21"/>
      <c r="Y95" s="21"/>
      <c r="Z95" s="21"/>
    </row>
    <row r="96" spans="1:26" ht="14.25" x14ac:dyDescent="0.2">
      <c r="T96" s="151"/>
      <c r="U96" s="152"/>
      <c r="V96" s="21"/>
      <c r="W96" s="21"/>
      <c r="X96" s="21"/>
      <c r="Y96" s="21"/>
      <c r="Z96" s="21"/>
    </row>
    <row r="97" spans="1:26" ht="14.25" x14ac:dyDescent="0.2">
      <c r="T97" s="151"/>
      <c r="U97" s="152"/>
      <c r="V97" s="21"/>
      <c r="W97" s="21"/>
      <c r="X97" s="21"/>
      <c r="Y97" s="21"/>
      <c r="Z97" s="21"/>
    </row>
    <row r="98" spans="1:26" ht="14.25" x14ac:dyDescent="0.2">
      <c r="T98" s="151"/>
      <c r="U98" s="152"/>
      <c r="V98" s="21"/>
      <c r="W98" s="21"/>
      <c r="X98" s="21"/>
      <c r="Y98" s="21"/>
      <c r="Z98" s="21"/>
    </row>
    <row r="99" spans="1:26" ht="14.25" x14ac:dyDescent="0.2">
      <c r="T99" s="151"/>
      <c r="U99" s="152"/>
      <c r="V99" s="21"/>
      <c r="W99" s="21"/>
      <c r="X99" s="21"/>
      <c r="Y99" s="21"/>
      <c r="Z99" s="21"/>
    </row>
    <row r="100" spans="1:26" ht="14.25" x14ac:dyDescent="0.2">
      <c r="T100" s="151"/>
      <c r="U100" s="152"/>
      <c r="V100" s="21"/>
      <c r="W100" s="21"/>
      <c r="X100" s="21"/>
      <c r="Y100" s="21"/>
      <c r="Z100" s="21"/>
    </row>
    <row r="101" spans="1:26" ht="14.25" x14ac:dyDescent="0.2">
      <c r="T101" s="151"/>
      <c r="U101" s="152"/>
      <c r="V101" s="21"/>
      <c r="W101" s="21"/>
      <c r="X101" s="21"/>
      <c r="Y101" s="21"/>
      <c r="Z101" s="21"/>
    </row>
    <row r="102" spans="1:26" ht="14.25" x14ac:dyDescent="0.2">
      <c r="A102" s="23"/>
      <c r="B102" s="23"/>
      <c r="C102" s="23"/>
      <c r="D102" s="23"/>
      <c r="T102" s="151"/>
      <c r="U102" s="152"/>
      <c r="V102" s="21"/>
      <c r="W102" s="21"/>
      <c r="X102" s="21"/>
      <c r="Y102" s="21"/>
      <c r="Z102" s="21"/>
    </row>
    <row r="103" spans="1:26" ht="14.25" x14ac:dyDescent="0.2">
      <c r="A103" s="23"/>
      <c r="B103" s="23"/>
      <c r="C103" s="23"/>
      <c r="D103" s="23"/>
      <c r="T103" s="151"/>
      <c r="U103" s="152"/>
      <c r="V103" s="21"/>
      <c r="W103" s="21"/>
      <c r="X103" s="21"/>
      <c r="Y103" s="21"/>
      <c r="Z103" s="21"/>
    </row>
    <row r="104" spans="1:26" ht="14.25" x14ac:dyDescent="0.2">
      <c r="A104" s="23"/>
      <c r="B104" s="23"/>
      <c r="C104" s="23"/>
      <c r="D104" s="23"/>
      <c r="T104" s="151"/>
      <c r="U104" s="152"/>
      <c r="V104" s="21"/>
      <c r="W104" s="21"/>
      <c r="X104" s="21"/>
      <c r="Y104" s="21"/>
      <c r="Z104" s="21"/>
    </row>
    <row r="105" spans="1:26" ht="14.25" x14ac:dyDescent="0.2">
      <c r="A105" s="23"/>
      <c r="B105" s="23"/>
      <c r="C105" s="23"/>
      <c r="D105" s="23"/>
      <c r="T105" s="151"/>
      <c r="U105" s="152"/>
      <c r="V105" s="21"/>
      <c r="W105" s="21"/>
      <c r="X105" s="21"/>
      <c r="Y105" s="21"/>
      <c r="Z105" s="21"/>
    </row>
    <row r="106" spans="1:26" ht="14.25" x14ac:dyDescent="0.2">
      <c r="A106" s="23"/>
      <c r="B106" s="23"/>
      <c r="C106" s="23"/>
      <c r="D106" s="23"/>
      <c r="T106" s="151"/>
      <c r="U106" s="152"/>
      <c r="V106" s="21"/>
      <c r="W106" s="21"/>
      <c r="X106" s="21"/>
      <c r="Y106" s="21"/>
      <c r="Z106" s="21"/>
    </row>
    <row r="107" spans="1:26" ht="14.25" x14ac:dyDescent="0.2">
      <c r="A107" s="23"/>
      <c r="B107" s="23"/>
      <c r="C107" s="23"/>
      <c r="D107" s="23"/>
      <c r="T107" s="151"/>
      <c r="U107" s="152"/>
      <c r="V107" s="21"/>
      <c r="W107" s="21"/>
      <c r="X107" s="21"/>
      <c r="Y107" s="21"/>
      <c r="Z107" s="21"/>
    </row>
    <row r="108" spans="1:26" ht="14.25" x14ac:dyDescent="0.2">
      <c r="A108" s="23"/>
      <c r="B108" s="23"/>
      <c r="C108" s="23"/>
      <c r="D108" s="23"/>
      <c r="T108" s="151"/>
      <c r="U108" s="152"/>
      <c r="V108" s="21"/>
      <c r="W108" s="21"/>
      <c r="X108" s="21"/>
      <c r="Y108" s="21"/>
      <c r="Z108" s="21"/>
    </row>
    <row r="109" spans="1:26" ht="14.25" x14ac:dyDescent="0.2">
      <c r="A109" s="23"/>
      <c r="B109" s="23"/>
      <c r="C109" s="23"/>
      <c r="D109" s="23"/>
      <c r="T109" s="151"/>
      <c r="U109" s="152"/>
      <c r="V109" s="21"/>
      <c r="W109" s="21"/>
      <c r="X109" s="21"/>
      <c r="Y109" s="21"/>
      <c r="Z109" s="21"/>
    </row>
    <row r="110" spans="1:26" ht="14.25" x14ac:dyDescent="0.2">
      <c r="A110" s="23"/>
      <c r="B110" s="23"/>
      <c r="C110" s="23"/>
      <c r="D110" s="23"/>
      <c r="T110" s="151"/>
      <c r="U110" s="152"/>
      <c r="V110" s="21"/>
      <c r="W110" s="21"/>
      <c r="X110" s="21"/>
      <c r="Y110" s="21"/>
      <c r="Z110" s="21"/>
    </row>
    <row r="111" spans="1:26" ht="14.25" x14ac:dyDescent="0.2">
      <c r="A111" s="23"/>
      <c r="B111" s="23"/>
      <c r="C111" s="23"/>
      <c r="D111" s="23"/>
      <c r="T111" s="151"/>
      <c r="U111" s="152"/>
      <c r="V111" s="21"/>
      <c r="W111" s="21"/>
      <c r="X111" s="21"/>
      <c r="Y111" s="21"/>
      <c r="Z111" s="21"/>
    </row>
    <row r="112" spans="1:26" ht="14.25" x14ac:dyDescent="0.2">
      <c r="A112" s="23"/>
      <c r="B112" s="23"/>
      <c r="C112" s="23"/>
      <c r="D112" s="23"/>
      <c r="T112" s="151"/>
      <c r="U112" s="152"/>
      <c r="V112" s="21"/>
      <c r="W112" s="21"/>
      <c r="X112" s="21"/>
      <c r="Y112" s="21"/>
      <c r="Z112" s="21"/>
    </row>
    <row r="113" spans="1:26" ht="14.25" x14ac:dyDescent="0.2">
      <c r="A113" s="23"/>
      <c r="B113" s="23"/>
      <c r="C113" s="23"/>
      <c r="D113" s="23"/>
      <c r="T113" s="151"/>
      <c r="U113" s="152"/>
      <c r="V113" s="21"/>
      <c r="W113" s="21"/>
      <c r="X113" s="21"/>
      <c r="Y113" s="21"/>
      <c r="Z113" s="21"/>
    </row>
    <row r="114" spans="1:26" ht="14.25" x14ac:dyDescent="0.2">
      <c r="A114" s="23"/>
      <c r="B114" s="23"/>
      <c r="C114" s="23"/>
      <c r="D114" s="23"/>
      <c r="T114" s="151"/>
      <c r="U114" s="152"/>
      <c r="V114" s="21"/>
      <c r="W114" s="21"/>
      <c r="X114" s="21"/>
      <c r="Y114" s="21"/>
      <c r="Z114" s="21"/>
    </row>
    <row r="115" spans="1:26" ht="14.25" x14ac:dyDescent="0.2">
      <c r="A115" s="23"/>
      <c r="B115" s="23"/>
      <c r="C115" s="23"/>
      <c r="D115" s="23"/>
      <c r="T115" s="151"/>
      <c r="U115" s="152"/>
      <c r="V115" s="21"/>
      <c r="W115" s="21"/>
      <c r="X115" s="21"/>
      <c r="Y115" s="21"/>
      <c r="Z115" s="21"/>
    </row>
    <row r="116" spans="1:26" ht="13.5" x14ac:dyDescent="0.2">
      <c r="A116" s="24"/>
      <c r="B116" s="24"/>
      <c r="T116" s="153"/>
      <c r="V116" s="21"/>
      <c r="W116" s="21"/>
      <c r="X116" s="21"/>
      <c r="Y116" s="21"/>
      <c r="Z116" s="21"/>
    </row>
    <row r="130" spans="1:26" ht="16.899999999999999" customHeight="1" x14ac:dyDescent="0.2">
      <c r="A130" s="25"/>
    </row>
    <row r="131" spans="1:26" ht="12" customHeight="1" x14ac:dyDescent="0.2">
      <c r="A131" s="4"/>
    </row>
    <row r="132" spans="1:26" ht="13.15" customHeight="1" x14ac:dyDescent="0.2"/>
    <row r="133" spans="1:26" ht="13.15" customHeight="1" x14ac:dyDescent="0.2"/>
    <row r="134" spans="1:26" ht="13.15" customHeight="1" x14ac:dyDescent="0.2"/>
    <row r="135" spans="1:26" s="149" customFormat="1" ht="13.15" customHeight="1" x14ac:dyDescent="0.2">
      <c r="A135" s="1"/>
      <c r="B135" s="1"/>
      <c r="C135" s="1"/>
      <c r="D135" s="1"/>
      <c r="E135" s="1"/>
      <c r="F135" s="1"/>
      <c r="G135" s="1"/>
      <c r="H135" s="1"/>
      <c r="P135" s="1"/>
      <c r="Q135" s="1"/>
      <c r="T135" s="150"/>
      <c r="U135" s="150"/>
      <c r="V135" s="1"/>
      <c r="W135" s="1"/>
      <c r="X135" s="1"/>
      <c r="Y135" s="1"/>
      <c r="Z135" s="1"/>
    </row>
    <row r="136" spans="1:26" s="149" customFormat="1" ht="13.15" customHeight="1" x14ac:dyDescent="0.2">
      <c r="A136" s="1"/>
      <c r="B136" s="1"/>
      <c r="C136" s="1"/>
      <c r="D136" s="1"/>
      <c r="E136" s="1"/>
      <c r="F136" s="1"/>
      <c r="G136" s="1"/>
      <c r="H136" s="1"/>
      <c r="P136" s="1"/>
      <c r="Q136" s="1"/>
      <c r="T136" s="150"/>
      <c r="U136" s="150"/>
      <c r="V136" s="1"/>
      <c r="W136" s="1"/>
      <c r="X136" s="1"/>
      <c r="Y136" s="1"/>
      <c r="Z136" s="1"/>
    </row>
    <row r="137" spans="1:26" s="149" customFormat="1" ht="13.15" customHeight="1" x14ac:dyDescent="0.2">
      <c r="A137" s="1"/>
      <c r="B137" s="1"/>
      <c r="C137" s="1"/>
      <c r="D137" s="1"/>
      <c r="E137" s="1"/>
      <c r="F137" s="1"/>
      <c r="G137" s="1"/>
      <c r="H137" s="1"/>
      <c r="P137" s="1"/>
      <c r="Q137" s="1"/>
      <c r="T137" s="150"/>
      <c r="U137" s="150"/>
      <c r="V137" s="1"/>
      <c r="W137" s="1"/>
      <c r="X137" s="1"/>
      <c r="Y137" s="1"/>
      <c r="Z137" s="1"/>
    </row>
    <row r="138" spans="1:26" s="149" customFormat="1" ht="12" customHeight="1" x14ac:dyDescent="0.2">
      <c r="A138" s="1"/>
      <c r="B138" s="1"/>
      <c r="C138" s="1"/>
      <c r="D138" s="1"/>
      <c r="E138" s="1"/>
      <c r="F138" s="1"/>
      <c r="G138" s="1"/>
      <c r="H138" s="1"/>
      <c r="P138" s="1"/>
      <c r="Q138" s="1"/>
      <c r="T138" s="150"/>
      <c r="U138" s="150"/>
      <c r="V138" s="1"/>
      <c r="W138" s="1"/>
      <c r="X138" s="1"/>
      <c r="Y138" s="1"/>
      <c r="Z138" s="1"/>
    </row>
    <row r="139" spans="1:26" s="149" customFormat="1" ht="12" customHeight="1" x14ac:dyDescent="0.2">
      <c r="A139" s="1"/>
      <c r="B139" s="1"/>
      <c r="C139" s="1"/>
      <c r="D139" s="1"/>
      <c r="E139" s="1"/>
      <c r="F139" s="1"/>
      <c r="G139" s="1"/>
      <c r="H139" s="1"/>
      <c r="P139" s="1"/>
      <c r="Q139" s="1"/>
      <c r="T139" s="150"/>
      <c r="U139" s="150"/>
      <c r="V139" s="1"/>
      <c r="W139" s="1"/>
      <c r="X139" s="1"/>
      <c r="Y139" s="1"/>
      <c r="Z139" s="1"/>
    </row>
    <row r="140" spans="1:26" s="149" customFormat="1" ht="15" customHeight="1" x14ac:dyDescent="0.2">
      <c r="A140" s="1"/>
      <c r="B140" s="1"/>
      <c r="C140" s="1"/>
      <c r="D140" s="1"/>
      <c r="E140" s="1"/>
      <c r="F140" s="1"/>
      <c r="G140" s="1"/>
      <c r="H140" s="1"/>
      <c r="P140" s="1"/>
      <c r="Q140" s="1"/>
      <c r="T140" s="150"/>
      <c r="U140" s="150"/>
      <c r="V140" s="1"/>
      <c r="W140" s="1"/>
      <c r="X140" s="1"/>
      <c r="Y140" s="1"/>
      <c r="Z140" s="1"/>
    </row>
    <row r="141" spans="1:26" s="149" customFormat="1" ht="15" customHeight="1" x14ac:dyDescent="0.2">
      <c r="A141" s="1"/>
      <c r="B141" s="1"/>
      <c r="C141" s="1"/>
      <c r="D141" s="1"/>
      <c r="E141" s="1"/>
      <c r="F141" s="1"/>
      <c r="G141" s="1"/>
      <c r="H141" s="1"/>
      <c r="P141" s="1"/>
      <c r="Q141" s="1"/>
      <c r="T141" s="150"/>
      <c r="U141" s="150"/>
      <c r="V141" s="1"/>
      <c r="W141" s="1"/>
      <c r="X141" s="1"/>
      <c r="Y141" s="1"/>
      <c r="Z141" s="1"/>
    </row>
  </sheetData>
  <sheetProtection sheet="1" formatCells="0" formatColumns="0" formatRows="0"/>
  <phoneticPr fontId="4"/>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1</vt:i4>
      </vt:variant>
    </vt:vector>
  </HeadingPairs>
  <TitlesOfParts>
    <vt:vector size="36" baseType="lpstr">
      <vt:lpstr>Template</vt:lpstr>
      <vt:lpstr>Record</vt:lpstr>
      <vt:lpstr>APMP.QM-K111</vt:lpstr>
      <vt:lpstr>CCQM-K10</vt:lpstr>
      <vt:lpstr>CCQM-K10.2018</vt:lpstr>
      <vt:lpstr>CCQM-K15</vt:lpstr>
      <vt:lpstr>CCQM K23ac</vt:lpstr>
      <vt:lpstr>CCQM-K26a</vt:lpstr>
      <vt:lpstr>CCQM-K26b</vt:lpstr>
      <vt:lpstr>CCQM-K41.2017</vt:lpstr>
      <vt:lpstr>CCQM-K51</vt:lpstr>
      <vt:lpstr>CCQM-K52</vt:lpstr>
      <vt:lpstr>CCQM-K53</vt:lpstr>
      <vt:lpstr>CCQM-K68</vt:lpstr>
      <vt:lpstr>CCQM-K71</vt:lpstr>
      <vt:lpstr>CCQM-K74</vt:lpstr>
      <vt:lpstr>CCQM-K76</vt:lpstr>
      <vt:lpstr>CCQM-K77</vt:lpstr>
      <vt:lpstr>CCQM-K82</vt:lpstr>
      <vt:lpstr>CCQM-K84</vt:lpstr>
      <vt:lpstr>CCQM-K90</vt:lpstr>
      <vt:lpstr>CCQM-K93</vt:lpstr>
      <vt:lpstr>CCQM-K94</vt:lpstr>
      <vt:lpstr>CCQM-K111</vt:lpstr>
      <vt:lpstr>CCQM-K112</vt:lpstr>
      <vt:lpstr>CCQM-K113</vt:lpstr>
      <vt:lpstr>CCQM-K116</vt:lpstr>
      <vt:lpstr>CCQM-K120</vt:lpstr>
      <vt:lpstr>CCQM-K121</vt:lpstr>
      <vt:lpstr>CCQM-K137</vt:lpstr>
      <vt:lpstr>K137</vt:lpstr>
      <vt:lpstr>COOMET.QM-K76</vt:lpstr>
      <vt:lpstr>COOMET.QM-K111</vt:lpstr>
      <vt:lpstr>EURAMET.QM-K26a</vt:lpstr>
      <vt:lpstr>EURAMET.QM-K111</vt:lpstr>
      <vt:lpstr>'K137'!Print_Area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COOMET.QM-S5</dc:title>
  <dc:creator>Leonid A Konopelko</dc:creator>
  <cp:keywords>COOMET, COOMET.QM-S5, VNIIM, automotive gas mixtures;comparison;kcdb;cipm mra;СО2;СО;С3Н8;nitrogen</cp:keywords>
  <cp:lastModifiedBy>下坂琢哉</cp:lastModifiedBy>
  <dcterms:created xsi:type="dcterms:W3CDTF">2020-03-12T18:23:25Z</dcterms:created>
  <dcterms:modified xsi:type="dcterms:W3CDTF">2022-02-15T12:02:58Z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c55989-3c9e-4466-8514-eac6f80f6373_Enabled">
    <vt:lpwstr>true</vt:lpwstr>
  </property>
  <property fmtid="{D5CDD505-2E9C-101B-9397-08002B2CF9AE}" pid="3" name="MSIP_Label_ddc55989-3c9e-4466-8514-eac6f80f6373_SetDate">
    <vt:lpwstr>2021-12-14T04:41:20Z</vt:lpwstr>
  </property>
  <property fmtid="{D5CDD505-2E9C-101B-9397-08002B2CF9AE}" pid="4" name="MSIP_Label_ddc55989-3c9e-4466-8514-eac6f80f6373_Method">
    <vt:lpwstr>Privileged</vt:lpwstr>
  </property>
  <property fmtid="{D5CDD505-2E9C-101B-9397-08002B2CF9AE}" pid="5" name="MSIP_Label_ddc55989-3c9e-4466-8514-eac6f80f6373_Name">
    <vt:lpwstr>ddc55989-3c9e-4466-8514-eac6f80f6373</vt:lpwstr>
  </property>
  <property fmtid="{D5CDD505-2E9C-101B-9397-08002B2CF9AE}" pid="6" name="MSIP_Label_ddc55989-3c9e-4466-8514-eac6f80f6373_SiteId">
    <vt:lpwstr>18a7fec8-652f-409b-8369-272d9ce80620</vt:lpwstr>
  </property>
  <property fmtid="{D5CDD505-2E9C-101B-9397-08002B2CF9AE}" pid="7" name="MSIP_Label_ddc55989-3c9e-4466-8514-eac6f80f6373_ActionId">
    <vt:lpwstr>71c1a3a3-eec5-4782-995c-94f2a800a2d5</vt:lpwstr>
  </property>
  <property fmtid="{D5CDD505-2E9C-101B-9397-08002B2CF9AE}" pid="8" name="MSIP_Label_ddc55989-3c9e-4466-8514-eac6f80f6373_ContentBits">
    <vt:lpwstr>0</vt:lpwstr>
  </property>
</Properties>
</file>