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worksheets/sheet1.xml" ContentType="application/vnd.openxmlformats-officedocument.spreadsheetml.worksheet+xml"/>
  <Override PartName="/xl/worksheets/sheet14.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sharedStrings.xml" ContentType="application/vnd.openxmlformats-officedocument.spreadsheetml.sharedStrings+xml"/>
  <Override PartName="/xl/worksheets/sheet12.xml" ContentType="application/vnd.openxmlformats-officedocument.spreadsheetml.worksheet+xml"/>
  <Override PartName="/xl/worksheets/sheet13.xml" ContentType="application/vnd.openxmlformats-officedocument.spreadsheetml.worksheet+xml"/>
  <Override PartName="/xl/worksheets/sheet15.xml" ContentType="application/vnd.openxmlformats-officedocument.spreadsheetml.worksheet+xml"/>
  <Override PartName="/xl/worksheets/sheet9.xml" ContentType="application/vnd.openxmlformats-officedocument.spreadsheetml.worksheet+xml"/>
  <Override PartName="/xl/worksheets/sheet19.xml" ContentType="application/vnd.openxmlformats-officedocument.spreadsheetml.worksheet+xml"/>
  <Override PartName="/xl/worksheets/sheet5.xml" ContentType="application/vnd.openxmlformats-officedocument.spreadsheetml.worksheet+xml"/>
  <Override PartName="/xl/styles.xml" ContentType="application/vnd.openxmlformats-officedocument.spreadsheetml.styles+xml"/>
  <Override PartName="/xl/worksheets/sheet18.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worksheets/sheet8.xml" ContentType="application/vnd.openxmlformats-officedocument.spreadsheetml.worksheet+xml"/>
  <Override PartName="/xl/worksheets/sheet7.xml" ContentType="application/vnd.openxmlformats-officedocument.spreadsheetml.worksheet+xml"/>
  <Override PartName="/xl/calcChain.xml" ContentType="application/vnd.openxmlformats-officedocument.spreadsheetml.calcChain+xml"/>
  <Override PartName="/docProps/app.xml" ContentType="application/vnd.openxmlformats-officedocument.extended-propertie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psvr2\users5$\spr\Documents\EURAMET\EURAMET AUV A K5\"/>
    </mc:Choice>
  </mc:AlternateContent>
  <bookViews>
    <workbookView xWindow="240" yWindow="135" windowWidth="21075" windowHeight="9720"/>
  </bookViews>
  <sheets>
    <sheet name="Introduction" sheetId="1" r:id="rId1"/>
    <sheet name="NPL Level" sheetId="2" r:id="rId2"/>
    <sheet name="NPL Phase" sheetId="3" r:id="rId3"/>
    <sheet name="LNE Level" sheetId="25" r:id="rId4"/>
    <sheet name="LNE Phase" sheetId="26" r:id="rId5"/>
    <sheet name="INRiM Level" sheetId="15" r:id="rId6"/>
    <sheet name="INRiM Phase" sheetId="16" r:id="rId7"/>
    <sheet name="METAS Level" sheetId="27" r:id="rId8"/>
    <sheet name="METAS Phase" sheetId="28" r:id="rId9"/>
    <sheet name="UME Level" sheetId="30" r:id="rId10"/>
    <sheet name="BIM Level" sheetId="32" r:id="rId11"/>
    <sheet name="DMDM Level" sheetId="29" r:id="rId12"/>
    <sheet name="BEV Level" sheetId="33" r:id="rId13"/>
    <sheet name="SP Level" sheetId="34" r:id="rId14"/>
    <sheet name="SP Phase" sheetId="35" r:id="rId15"/>
    <sheet name="PTB Level" sheetId="36" r:id="rId16"/>
    <sheet name="PTB Phase" sheetId="37" r:id="rId17"/>
    <sheet name="CEM Level" sheetId="38" r:id="rId18"/>
    <sheet name="NIS Level" sheetId="39" r:id="rId19"/>
  </sheets>
  <calcPr calcId="152511"/>
</workbook>
</file>

<file path=xl/calcChain.xml><?xml version="1.0" encoding="utf-8"?>
<calcChain xmlns="http://schemas.openxmlformats.org/spreadsheetml/2006/main">
  <c r="AD31" i="30" l="1"/>
  <c r="AC31" i="30"/>
  <c r="AB31" i="30"/>
  <c r="AA31" i="30"/>
  <c r="Z31" i="30"/>
  <c r="Y31" i="30"/>
  <c r="X31" i="30"/>
  <c r="W31" i="30"/>
  <c r="V31" i="30"/>
  <c r="U31" i="30"/>
  <c r="T31" i="30"/>
  <c r="S31" i="30"/>
  <c r="R31" i="30"/>
  <c r="Q31" i="30"/>
  <c r="P31" i="30"/>
  <c r="O31" i="30"/>
  <c r="N31" i="30"/>
  <c r="M31" i="30"/>
  <c r="L31" i="30"/>
  <c r="K31" i="30"/>
  <c r="J31" i="30"/>
  <c r="I31" i="30"/>
  <c r="H31" i="30"/>
  <c r="G31" i="30"/>
  <c r="F31" i="30"/>
  <c r="E31" i="30"/>
  <c r="AD20" i="30"/>
  <c r="AC20" i="30"/>
  <c r="AB20" i="30"/>
  <c r="AA20" i="30"/>
  <c r="Z20" i="30"/>
  <c r="Y20" i="30"/>
  <c r="X20" i="30"/>
  <c r="W20" i="30"/>
  <c r="V20" i="30"/>
  <c r="U20" i="30"/>
  <c r="T20" i="30"/>
  <c r="S20" i="30"/>
  <c r="R20" i="30"/>
  <c r="Q20" i="30"/>
  <c r="P20" i="30"/>
  <c r="O20" i="30"/>
  <c r="N20" i="30"/>
  <c r="M20" i="30"/>
  <c r="L20" i="30"/>
  <c r="K20" i="30"/>
  <c r="J20" i="30"/>
  <c r="I20" i="30"/>
  <c r="H20" i="30"/>
  <c r="G20" i="30"/>
  <c r="F20" i="30"/>
  <c r="E20" i="30"/>
  <c r="AD19" i="30"/>
  <c r="AC19" i="30"/>
  <c r="AB19" i="30"/>
  <c r="AA19" i="30"/>
  <c r="Z19" i="30"/>
  <c r="Y19" i="30"/>
  <c r="X19" i="30"/>
  <c r="W19" i="30"/>
  <c r="V19" i="30"/>
  <c r="U19" i="30"/>
  <c r="T19" i="30"/>
  <c r="S19" i="30"/>
  <c r="R19" i="30"/>
  <c r="Q19" i="30"/>
  <c r="P19" i="30"/>
  <c r="O19" i="30"/>
  <c r="N19" i="30"/>
  <c r="M19" i="30"/>
  <c r="L19" i="30"/>
  <c r="K19" i="30"/>
  <c r="J19" i="30"/>
  <c r="I19" i="30"/>
  <c r="H19" i="30"/>
  <c r="G19" i="30"/>
  <c r="F19" i="30"/>
  <c r="E19" i="30"/>
  <c r="AD18" i="30"/>
  <c r="AC18" i="30"/>
  <c r="AB18" i="30"/>
  <c r="AA18" i="30"/>
  <c r="Z18" i="30"/>
  <c r="Y18" i="30"/>
  <c r="X18" i="30"/>
  <c r="W18" i="30"/>
  <c r="V18" i="30"/>
  <c r="U18" i="30"/>
  <c r="T18" i="30"/>
  <c r="S18" i="30"/>
  <c r="R18" i="30"/>
  <c r="Q18" i="30"/>
  <c r="P18" i="30"/>
  <c r="O18" i="30"/>
  <c r="N18" i="30"/>
  <c r="M18" i="30"/>
  <c r="L18" i="30"/>
  <c r="K18" i="30"/>
  <c r="J18" i="30"/>
  <c r="I18" i="30"/>
  <c r="H18" i="30"/>
  <c r="G18" i="30"/>
  <c r="F18" i="30"/>
  <c r="E18" i="30"/>
  <c r="AD17" i="30"/>
  <c r="AC17" i="30"/>
  <c r="AB17" i="30"/>
  <c r="AA17" i="30"/>
  <c r="Z17" i="30"/>
  <c r="Y17" i="30"/>
  <c r="X17" i="30"/>
  <c r="W17" i="30"/>
  <c r="V17" i="30"/>
  <c r="U17" i="30"/>
  <c r="T17" i="30"/>
  <c r="S17" i="30"/>
  <c r="R17" i="30"/>
  <c r="Q17" i="30"/>
  <c r="P17" i="30"/>
  <c r="O17" i="30"/>
  <c r="N17" i="30"/>
  <c r="M17" i="30"/>
  <c r="L17" i="30"/>
  <c r="K17" i="30"/>
  <c r="J17" i="30"/>
  <c r="I17" i="30"/>
  <c r="H17" i="30"/>
  <c r="G17" i="30"/>
  <c r="F17" i="30"/>
  <c r="E17" i="30"/>
  <c r="AD16" i="30"/>
  <c r="AC16" i="30"/>
  <c r="AB16" i="30"/>
  <c r="AA16" i="30"/>
  <c r="Z16" i="30"/>
  <c r="Y16" i="30"/>
  <c r="X16" i="30"/>
  <c r="W16" i="30"/>
  <c r="V16" i="30"/>
  <c r="U16" i="30"/>
  <c r="T16" i="30"/>
  <c r="S16" i="30"/>
  <c r="R16" i="30"/>
  <c r="Q16" i="30"/>
  <c r="P16" i="30"/>
  <c r="O16" i="30"/>
  <c r="N16" i="30"/>
  <c r="M16" i="30"/>
  <c r="L16" i="30"/>
  <c r="K16" i="30"/>
  <c r="J16" i="30"/>
  <c r="I16" i="30"/>
  <c r="H16" i="30"/>
  <c r="G16" i="30"/>
  <c r="F16" i="30"/>
  <c r="E16" i="30"/>
  <c r="AD15" i="30"/>
  <c r="AC15" i="30"/>
  <c r="AB15" i="30"/>
  <c r="AA15" i="30"/>
  <c r="Z15" i="30"/>
  <c r="Y15" i="30"/>
  <c r="X15" i="30"/>
  <c r="W15" i="30"/>
  <c r="V15" i="30"/>
  <c r="U15" i="30"/>
  <c r="T15" i="30"/>
  <c r="S15" i="30"/>
  <c r="R15" i="30"/>
  <c r="Q15" i="30"/>
  <c r="P15" i="30"/>
  <c r="O15" i="30"/>
  <c r="N15" i="30"/>
  <c r="M15" i="30"/>
  <c r="L15" i="30"/>
  <c r="K15" i="30"/>
  <c r="J15" i="30"/>
  <c r="I15" i="30"/>
  <c r="H15" i="30"/>
  <c r="G15" i="30"/>
  <c r="F15" i="30"/>
  <c r="E15" i="30"/>
  <c r="AD14" i="30"/>
  <c r="AD33" i="30" s="1"/>
  <c r="AD34" i="30" s="1"/>
  <c r="AD35" i="30" s="1"/>
  <c r="AC14" i="30"/>
  <c r="AC33" i="30" s="1"/>
  <c r="AC34" i="30" s="1"/>
  <c r="AC35" i="30" s="1"/>
  <c r="AB14" i="30"/>
  <c r="AB33" i="30" s="1"/>
  <c r="AB34" i="30" s="1"/>
  <c r="AB35" i="30" s="1"/>
  <c r="AA14" i="30"/>
  <c r="AA33" i="30" s="1"/>
  <c r="AA34" i="30" s="1"/>
  <c r="AA35" i="30" s="1"/>
  <c r="Z14" i="30"/>
  <c r="Z33" i="30" s="1"/>
  <c r="Z34" i="30" s="1"/>
  <c r="Z35" i="30" s="1"/>
  <c r="Y14" i="30"/>
  <c r="Y33" i="30" s="1"/>
  <c r="Y34" i="30" s="1"/>
  <c r="Y35" i="30" s="1"/>
  <c r="X14" i="30"/>
  <c r="X33" i="30" s="1"/>
  <c r="X34" i="30" s="1"/>
  <c r="X35" i="30" s="1"/>
  <c r="W14" i="30"/>
  <c r="W33" i="30" s="1"/>
  <c r="W34" i="30" s="1"/>
  <c r="W35" i="30" s="1"/>
  <c r="V14" i="30"/>
  <c r="V33" i="30" s="1"/>
  <c r="V34" i="30" s="1"/>
  <c r="V35" i="30" s="1"/>
  <c r="U14" i="30"/>
  <c r="U33" i="30" s="1"/>
  <c r="U34" i="30" s="1"/>
  <c r="U35" i="30" s="1"/>
  <c r="T14" i="30"/>
  <c r="T33" i="30" s="1"/>
  <c r="T34" i="30" s="1"/>
  <c r="T35" i="30" s="1"/>
  <c r="S14" i="30"/>
  <c r="S33" i="30" s="1"/>
  <c r="S34" i="30" s="1"/>
  <c r="S35" i="30" s="1"/>
  <c r="R14" i="30"/>
  <c r="R33" i="30" s="1"/>
  <c r="R34" i="30" s="1"/>
  <c r="R35" i="30" s="1"/>
  <c r="Q14" i="30"/>
  <c r="Q33" i="30" s="1"/>
  <c r="Q34" i="30" s="1"/>
  <c r="Q35" i="30" s="1"/>
  <c r="P14" i="30"/>
  <c r="P33" i="30" s="1"/>
  <c r="P34" i="30" s="1"/>
  <c r="P35" i="30" s="1"/>
  <c r="O14" i="30"/>
  <c r="O33" i="30" s="1"/>
  <c r="O34" i="30" s="1"/>
  <c r="O35" i="30" s="1"/>
  <c r="N14" i="30"/>
  <c r="N33" i="30" s="1"/>
  <c r="N34" i="30" s="1"/>
  <c r="N35" i="30" s="1"/>
  <c r="M14" i="30"/>
  <c r="M33" i="30" s="1"/>
  <c r="M34" i="30" s="1"/>
  <c r="M35" i="30" s="1"/>
  <c r="L14" i="30"/>
  <c r="L33" i="30" s="1"/>
  <c r="L34" i="30" s="1"/>
  <c r="L35" i="30" s="1"/>
  <c r="K14" i="30"/>
  <c r="K33" i="30" s="1"/>
  <c r="K34" i="30" s="1"/>
  <c r="K35" i="30" s="1"/>
  <c r="J14" i="30"/>
  <c r="J33" i="30" s="1"/>
  <c r="J34" i="30" s="1"/>
  <c r="J35" i="30" s="1"/>
  <c r="I14" i="30"/>
  <c r="I33" i="30" s="1"/>
  <c r="I34" i="30" s="1"/>
  <c r="I35" i="30" s="1"/>
  <c r="H14" i="30"/>
  <c r="H33" i="30" s="1"/>
  <c r="H34" i="30" s="1"/>
  <c r="H35" i="30" s="1"/>
  <c r="G14" i="30"/>
  <c r="G33" i="30" s="1"/>
  <c r="G34" i="30" s="1"/>
  <c r="G35" i="30" s="1"/>
  <c r="F14" i="30"/>
  <c r="F33" i="30" s="1"/>
  <c r="F34" i="30" s="1"/>
  <c r="F35" i="30" s="1"/>
  <c r="E14" i="30"/>
  <c r="E33" i="30" s="1"/>
  <c r="E34" i="30" s="1"/>
  <c r="E35" i="30" s="1"/>
  <c r="AD4" i="30"/>
  <c r="AC4" i="30"/>
  <c r="AA4" i="30"/>
  <c r="Z4" i="30"/>
  <c r="V4" i="30"/>
  <c r="U4" i="30"/>
  <c r="T4" i="30"/>
  <c r="S4" i="30"/>
  <c r="R4" i="30"/>
  <c r="AB4" i="30" s="1"/>
  <c r="O4" i="30"/>
  <c r="Y4" i="30" s="1"/>
  <c r="N4" i="30"/>
  <c r="X4" i="30" s="1"/>
  <c r="M4" i="30"/>
  <c r="W4" i="30" s="1"/>
  <c r="AD28" i="32" l="1"/>
  <c r="AC28" i="32"/>
  <c r="AB28" i="32"/>
  <c r="AA28" i="32"/>
  <c r="Z28" i="32"/>
  <c r="Y28" i="32"/>
  <c r="X28" i="32"/>
  <c r="W28" i="32"/>
  <c r="V28" i="32"/>
  <c r="U28" i="32"/>
  <c r="T28" i="32"/>
  <c r="S28" i="32"/>
  <c r="R28" i="32"/>
  <c r="Q28" i="32"/>
  <c r="P28" i="32"/>
  <c r="O28" i="32"/>
  <c r="N28" i="32"/>
  <c r="M28" i="32"/>
  <c r="L28" i="32"/>
  <c r="K28" i="32"/>
  <c r="J28" i="32"/>
  <c r="I28" i="32"/>
  <c r="H28" i="32"/>
  <c r="G28" i="32"/>
  <c r="F28" i="32"/>
  <c r="E28" i="32"/>
  <c r="D28" i="32"/>
  <c r="C28" i="32"/>
  <c r="AD20" i="32"/>
  <c r="AC20" i="32"/>
  <c r="AB20" i="32"/>
  <c r="AA20" i="32"/>
  <c r="Z20" i="32"/>
  <c r="Y20" i="32"/>
  <c r="X20" i="32"/>
  <c r="W20" i="32"/>
  <c r="V20" i="32"/>
  <c r="U20" i="32"/>
  <c r="T20" i="32"/>
  <c r="S20" i="32"/>
  <c r="R20" i="32"/>
  <c r="Q20" i="32"/>
  <c r="P20" i="32"/>
  <c r="O20" i="32"/>
  <c r="N20" i="32"/>
  <c r="M20" i="32"/>
  <c r="L20" i="32"/>
  <c r="K20" i="32"/>
  <c r="J20" i="32"/>
  <c r="I20" i="32"/>
  <c r="H20" i="32"/>
  <c r="G20" i="32"/>
  <c r="F20" i="32"/>
  <c r="E20" i="32"/>
  <c r="D20" i="32"/>
  <c r="C20" i="32"/>
  <c r="AD14" i="32"/>
  <c r="AC14" i="32"/>
  <c r="AB14" i="32"/>
  <c r="AA14" i="32"/>
  <c r="Z14" i="32"/>
  <c r="Y14" i="32"/>
  <c r="X14" i="32"/>
  <c r="W14" i="32"/>
  <c r="V14" i="32"/>
  <c r="U14" i="32"/>
  <c r="T14" i="32"/>
  <c r="S14" i="32"/>
  <c r="R14" i="32"/>
  <c r="Q14" i="32"/>
  <c r="P14" i="32"/>
  <c r="O14" i="32"/>
  <c r="N14" i="32"/>
  <c r="M14" i="32"/>
  <c r="L14" i="32"/>
  <c r="K14" i="32"/>
  <c r="J14" i="32"/>
  <c r="I14" i="32"/>
  <c r="H14" i="32"/>
  <c r="G14" i="32"/>
  <c r="F14" i="32"/>
  <c r="E14" i="32"/>
  <c r="D14" i="32"/>
  <c r="C14" i="32"/>
  <c r="AD8" i="32"/>
  <c r="AD33" i="32" s="1"/>
  <c r="AD36" i="32" s="1"/>
  <c r="AD37" i="32" s="1"/>
  <c r="AC8" i="32"/>
  <c r="AC33" i="32" s="1"/>
  <c r="AC36" i="32" s="1"/>
  <c r="AC37" i="32" s="1"/>
  <c r="AB8" i="32"/>
  <c r="AB33" i="32" s="1"/>
  <c r="AB36" i="32" s="1"/>
  <c r="AB37" i="32" s="1"/>
  <c r="AA8" i="32"/>
  <c r="AA33" i="32" s="1"/>
  <c r="AA36" i="32" s="1"/>
  <c r="AA37" i="32" s="1"/>
  <c r="Z8" i="32"/>
  <c r="Z33" i="32" s="1"/>
  <c r="Z36" i="32" s="1"/>
  <c r="Z37" i="32" s="1"/>
  <c r="Y8" i="32"/>
  <c r="Y33" i="32" s="1"/>
  <c r="Y36" i="32" s="1"/>
  <c r="Y37" i="32" s="1"/>
  <c r="X8" i="32"/>
  <c r="X33" i="32" s="1"/>
  <c r="X36" i="32" s="1"/>
  <c r="X37" i="32" s="1"/>
  <c r="W8" i="32"/>
  <c r="W33" i="32" s="1"/>
  <c r="W36" i="32" s="1"/>
  <c r="W37" i="32" s="1"/>
  <c r="V8" i="32"/>
  <c r="V33" i="32" s="1"/>
  <c r="V36" i="32" s="1"/>
  <c r="V37" i="32" s="1"/>
  <c r="U8" i="32"/>
  <c r="U33" i="32" s="1"/>
  <c r="U36" i="32" s="1"/>
  <c r="U37" i="32" s="1"/>
  <c r="T8" i="32"/>
  <c r="T33" i="32" s="1"/>
  <c r="T36" i="32" s="1"/>
  <c r="T37" i="32" s="1"/>
  <c r="S8" i="32"/>
  <c r="S33" i="32" s="1"/>
  <c r="S36" i="32" s="1"/>
  <c r="S37" i="32" s="1"/>
  <c r="R8" i="32"/>
  <c r="R33" i="32" s="1"/>
  <c r="R36" i="32" s="1"/>
  <c r="R37" i="32" s="1"/>
  <c r="Q8" i="32"/>
  <c r="Q33" i="32" s="1"/>
  <c r="Q36" i="32" s="1"/>
  <c r="Q37" i="32" s="1"/>
  <c r="P8" i="32"/>
  <c r="P33" i="32" s="1"/>
  <c r="P36" i="32" s="1"/>
  <c r="P37" i="32" s="1"/>
  <c r="O8" i="32"/>
  <c r="O33" i="32" s="1"/>
  <c r="O36" i="32" s="1"/>
  <c r="O37" i="32" s="1"/>
  <c r="N8" i="32"/>
  <c r="N33" i="32" s="1"/>
  <c r="N36" i="32" s="1"/>
  <c r="N37" i="32" s="1"/>
  <c r="M8" i="32"/>
  <c r="M33" i="32" s="1"/>
  <c r="M36" i="32" s="1"/>
  <c r="M37" i="32" s="1"/>
  <c r="L8" i="32"/>
  <c r="L33" i="32" s="1"/>
  <c r="L36" i="32" s="1"/>
  <c r="L37" i="32" s="1"/>
  <c r="K8" i="32"/>
  <c r="K33" i="32" s="1"/>
  <c r="K36" i="32" s="1"/>
  <c r="K37" i="32" s="1"/>
  <c r="J8" i="32"/>
  <c r="J33" i="32" s="1"/>
  <c r="J36" i="32" s="1"/>
  <c r="J37" i="32" s="1"/>
  <c r="I8" i="32"/>
  <c r="I33" i="32" s="1"/>
  <c r="I36" i="32" s="1"/>
  <c r="I37" i="32" s="1"/>
  <c r="H8" i="32"/>
  <c r="H33" i="32" s="1"/>
  <c r="H36" i="32" s="1"/>
  <c r="H37" i="32" s="1"/>
  <c r="G8" i="32"/>
  <c r="G33" i="32" s="1"/>
  <c r="G36" i="32" s="1"/>
  <c r="G37" i="32" s="1"/>
  <c r="F8" i="32"/>
  <c r="F33" i="32" s="1"/>
  <c r="F36" i="32" s="1"/>
  <c r="F37" i="32" s="1"/>
  <c r="E8" i="32"/>
  <c r="E33" i="32" s="1"/>
  <c r="E36" i="32" s="1"/>
  <c r="E37" i="32" s="1"/>
  <c r="D8" i="32"/>
  <c r="D33" i="32" s="1"/>
  <c r="D36" i="32" s="1"/>
  <c r="D37" i="32" s="1"/>
  <c r="C8" i="32"/>
  <c r="C33" i="32" s="1"/>
  <c r="C36" i="32" s="1"/>
  <c r="C37" i="32" s="1"/>
  <c r="AG13" i="38" l="1"/>
  <c r="AF13" i="38"/>
  <c r="AE13" i="38"/>
  <c r="AD13" i="38"/>
  <c r="AC13" i="38"/>
  <c r="AB13" i="38"/>
  <c r="AA13" i="38"/>
  <c r="Z13" i="38"/>
  <c r="Y13" i="38"/>
  <c r="X13" i="38"/>
  <c r="W13" i="38"/>
  <c r="V13" i="38"/>
  <c r="U13" i="38"/>
  <c r="T13" i="38"/>
  <c r="S13" i="38"/>
  <c r="R13" i="38"/>
  <c r="Q13" i="38"/>
  <c r="P13" i="38"/>
  <c r="O13" i="38"/>
  <c r="N13" i="38"/>
  <c r="M13" i="38"/>
  <c r="L13" i="38"/>
  <c r="K13" i="38"/>
  <c r="J13" i="38"/>
  <c r="I13" i="38"/>
  <c r="H13" i="38"/>
  <c r="G13" i="38"/>
  <c r="F13" i="38"/>
  <c r="E13" i="38"/>
  <c r="D13" i="38"/>
  <c r="C13" i="38"/>
  <c r="AG12" i="38"/>
  <c r="AF12" i="38"/>
  <c r="AE12" i="38"/>
  <c r="AD12" i="38"/>
  <c r="AC12" i="38"/>
  <c r="AB12" i="38"/>
  <c r="AA12" i="38"/>
  <c r="Z12" i="38"/>
  <c r="Y12" i="38"/>
  <c r="X12" i="38"/>
  <c r="W12" i="38"/>
  <c r="V12" i="38"/>
  <c r="U12" i="38"/>
  <c r="T12" i="38"/>
  <c r="S12" i="38"/>
  <c r="R12" i="38"/>
  <c r="Q12" i="38"/>
  <c r="P12" i="38"/>
  <c r="O12" i="38"/>
  <c r="N12" i="38"/>
  <c r="M12" i="38"/>
  <c r="L12" i="38"/>
  <c r="K12" i="38"/>
  <c r="J12" i="38"/>
  <c r="I12" i="38"/>
  <c r="H12" i="38"/>
  <c r="G12" i="38"/>
  <c r="F12" i="38"/>
  <c r="E12" i="38"/>
  <c r="D12" i="38"/>
  <c r="C12" i="38"/>
  <c r="D130" i="39" l="1"/>
  <c r="D129" i="39"/>
  <c r="D126" i="39"/>
  <c r="D125" i="39"/>
  <c r="AH122" i="39"/>
  <c r="AG122" i="39"/>
  <c r="AF122" i="39"/>
  <c r="AE122" i="39"/>
  <c r="AD122" i="39"/>
  <c r="AC122" i="39"/>
  <c r="AB122" i="39"/>
  <c r="AA122" i="39"/>
  <c r="Z122" i="39"/>
  <c r="Y122" i="39"/>
  <c r="X122" i="39"/>
  <c r="W122" i="39"/>
  <c r="V122" i="39"/>
  <c r="U122" i="39"/>
  <c r="T122" i="39"/>
  <c r="S122" i="39"/>
  <c r="R122" i="39"/>
  <c r="Q122" i="39"/>
  <c r="P122" i="39"/>
  <c r="O122" i="39"/>
  <c r="N122" i="39"/>
  <c r="M122" i="39"/>
  <c r="L122" i="39"/>
  <c r="K122" i="39"/>
  <c r="J122" i="39"/>
  <c r="I122" i="39"/>
  <c r="H122" i="39"/>
  <c r="G122" i="39"/>
  <c r="AH119" i="39"/>
  <c r="AH133" i="39" s="1"/>
  <c r="AH134" i="39" s="1"/>
  <c r="AG119" i="39"/>
  <c r="AG133" i="39" s="1"/>
  <c r="AG134" i="39" s="1"/>
  <c r="AF119" i="39"/>
  <c r="AF133" i="39" s="1"/>
  <c r="AF134" i="39" s="1"/>
  <c r="AE119" i="39"/>
  <c r="AE133" i="39" s="1"/>
  <c r="AE134" i="39" s="1"/>
  <c r="AD119" i="39"/>
  <c r="AD133" i="39" s="1"/>
  <c r="AD134" i="39" s="1"/>
  <c r="AC119" i="39"/>
  <c r="AC133" i="39" s="1"/>
  <c r="AC134" i="39" s="1"/>
  <c r="AB119" i="39"/>
  <c r="AB133" i="39" s="1"/>
  <c r="AB134" i="39" s="1"/>
  <c r="AA119" i="39"/>
  <c r="AA133" i="39" s="1"/>
  <c r="AA134" i="39" s="1"/>
  <c r="Z119" i="39"/>
  <c r="Z133" i="39" s="1"/>
  <c r="Z134" i="39" s="1"/>
  <c r="Y119" i="39"/>
  <c r="Y133" i="39" s="1"/>
  <c r="Y134" i="39" s="1"/>
  <c r="X119" i="39"/>
  <c r="X133" i="39" s="1"/>
  <c r="X134" i="39" s="1"/>
  <c r="W119" i="39"/>
  <c r="W133" i="39" s="1"/>
  <c r="W134" i="39" s="1"/>
  <c r="V119" i="39"/>
  <c r="V133" i="39" s="1"/>
  <c r="V134" i="39" s="1"/>
  <c r="U119" i="39"/>
  <c r="U133" i="39" s="1"/>
  <c r="U134" i="39" s="1"/>
  <c r="T119" i="39"/>
  <c r="T133" i="39" s="1"/>
  <c r="T134" i="39" s="1"/>
  <c r="S119" i="39"/>
  <c r="S133" i="39" s="1"/>
  <c r="S134" i="39" s="1"/>
  <c r="R119" i="39"/>
  <c r="R133" i="39" s="1"/>
  <c r="R134" i="39" s="1"/>
  <c r="Q119" i="39"/>
  <c r="Q133" i="39" s="1"/>
  <c r="Q134" i="39" s="1"/>
  <c r="P119" i="39"/>
  <c r="P133" i="39" s="1"/>
  <c r="P134" i="39" s="1"/>
  <c r="O119" i="39"/>
  <c r="O133" i="39" s="1"/>
  <c r="O134" i="39" s="1"/>
  <c r="N119" i="39"/>
  <c r="N133" i="39" s="1"/>
  <c r="N134" i="39" s="1"/>
  <c r="M119" i="39"/>
  <c r="M133" i="39" s="1"/>
  <c r="M134" i="39" s="1"/>
  <c r="L119" i="39"/>
  <c r="L133" i="39" s="1"/>
  <c r="L134" i="39" s="1"/>
  <c r="K119" i="39"/>
  <c r="K133" i="39" s="1"/>
  <c r="K134" i="39" s="1"/>
  <c r="J119" i="39"/>
  <c r="J133" i="39" s="1"/>
  <c r="J134" i="39" s="1"/>
  <c r="I119" i="39"/>
  <c r="I133" i="39" s="1"/>
  <c r="I134" i="39" s="1"/>
  <c r="H119" i="39"/>
  <c r="H133" i="39" s="1"/>
  <c r="H134" i="39" s="1"/>
  <c r="G119" i="39"/>
  <c r="G133" i="39" s="1"/>
  <c r="G134" i="39" s="1"/>
  <c r="AH113" i="39"/>
  <c r="AG113" i="39"/>
  <c r="AF113" i="39"/>
  <c r="AE113" i="39"/>
  <c r="AD113" i="39"/>
  <c r="AC113" i="39"/>
  <c r="AB113" i="39"/>
  <c r="AA113" i="39"/>
  <c r="Z113" i="39"/>
  <c r="Y113" i="39"/>
  <c r="X113" i="39"/>
  <c r="W113" i="39"/>
  <c r="V113" i="39"/>
  <c r="U113" i="39"/>
  <c r="T113" i="39"/>
  <c r="S113" i="39"/>
  <c r="R113" i="39"/>
  <c r="Q113" i="39"/>
  <c r="P113" i="39"/>
  <c r="O113" i="39"/>
  <c r="N113" i="39"/>
  <c r="M113" i="39"/>
  <c r="L113" i="39"/>
  <c r="K113" i="39"/>
  <c r="J113" i="39"/>
  <c r="I113" i="39"/>
  <c r="H113" i="39"/>
  <c r="G113" i="39"/>
  <c r="AH100" i="39"/>
  <c r="AG100" i="39"/>
  <c r="AF100" i="39"/>
  <c r="AE100" i="39"/>
  <c r="AD100" i="39"/>
  <c r="AC100" i="39"/>
  <c r="AB100" i="39"/>
  <c r="AA100" i="39"/>
  <c r="Z100" i="39"/>
  <c r="Y100" i="39"/>
  <c r="X100" i="39"/>
  <c r="W100" i="39"/>
  <c r="V100" i="39"/>
  <c r="U100" i="39"/>
  <c r="T100" i="39"/>
  <c r="S100" i="39"/>
  <c r="R100" i="39"/>
  <c r="Q100" i="39"/>
  <c r="P100" i="39"/>
  <c r="O100" i="39"/>
  <c r="N100" i="39"/>
  <c r="M100" i="39"/>
  <c r="L100" i="39"/>
  <c r="K100" i="39"/>
  <c r="J100" i="39"/>
  <c r="I100" i="39"/>
  <c r="H100" i="39"/>
  <c r="G100" i="39"/>
  <c r="AH86" i="39"/>
  <c r="AG86" i="39"/>
  <c r="AF86" i="39"/>
  <c r="AE86" i="39"/>
  <c r="AD86" i="39"/>
  <c r="AC86" i="39"/>
  <c r="AB86" i="39"/>
  <c r="AA86" i="39"/>
  <c r="Z86" i="39"/>
  <c r="Y86" i="39"/>
  <c r="X86" i="39"/>
  <c r="W86" i="39"/>
  <c r="V86" i="39"/>
  <c r="U86" i="39"/>
  <c r="T86" i="39"/>
  <c r="S86" i="39"/>
  <c r="R86" i="39"/>
  <c r="Q86" i="39"/>
  <c r="P86" i="39"/>
  <c r="O86" i="39"/>
  <c r="N86" i="39"/>
  <c r="M86" i="39"/>
  <c r="L86" i="39"/>
  <c r="K86" i="39"/>
  <c r="J86" i="39"/>
  <c r="I86" i="39"/>
  <c r="H86" i="39"/>
  <c r="G86" i="39"/>
  <c r="AH75" i="39"/>
  <c r="AG75" i="39"/>
  <c r="AF75" i="39"/>
  <c r="AE75" i="39"/>
  <c r="AD75" i="39"/>
  <c r="AC75" i="39"/>
  <c r="AB75" i="39"/>
  <c r="AA75" i="39"/>
  <c r="Z75" i="39"/>
  <c r="Y75" i="39"/>
  <c r="X75" i="39"/>
  <c r="W75" i="39"/>
  <c r="V75" i="39"/>
  <c r="U75" i="39"/>
  <c r="T75" i="39"/>
  <c r="S75" i="39"/>
  <c r="R75" i="39"/>
  <c r="Q75" i="39"/>
  <c r="P75" i="39"/>
  <c r="O75" i="39"/>
  <c r="N75" i="39"/>
  <c r="M75" i="39"/>
  <c r="L75" i="39"/>
  <c r="K75" i="39"/>
  <c r="J75" i="39"/>
  <c r="I75" i="39"/>
  <c r="H75" i="39"/>
  <c r="G75" i="39"/>
  <c r="D62" i="39"/>
  <c r="D61" i="39"/>
  <c r="D58" i="39"/>
  <c r="D57" i="39"/>
  <c r="AH54" i="39"/>
  <c r="AG54" i="39"/>
  <c r="AF54" i="39"/>
  <c r="AE54" i="39"/>
  <c r="AD54" i="39"/>
  <c r="AC54" i="39"/>
  <c r="AB54" i="39"/>
  <c r="AA54" i="39"/>
  <c r="Z54" i="39"/>
  <c r="Y54" i="39"/>
  <c r="X54" i="39"/>
  <c r="W54" i="39"/>
  <c r="V54" i="39"/>
  <c r="U54" i="39"/>
  <c r="T54" i="39"/>
  <c r="S54" i="39"/>
  <c r="R54" i="39"/>
  <c r="Q54" i="39"/>
  <c r="P54" i="39"/>
  <c r="O54" i="39"/>
  <c r="N54" i="39"/>
  <c r="M54" i="39"/>
  <c r="L54" i="39"/>
  <c r="K54" i="39"/>
  <c r="J54" i="39"/>
  <c r="I54" i="39"/>
  <c r="H54" i="39"/>
  <c r="G54" i="39"/>
  <c r="AH51" i="39"/>
  <c r="AH65" i="39" s="1"/>
  <c r="AH66" i="39" s="1"/>
  <c r="AG51" i="39"/>
  <c r="AG65" i="39" s="1"/>
  <c r="AG66" i="39" s="1"/>
  <c r="AF51" i="39"/>
  <c r="AF65" i="39" s="1"/>
  <c r="AF66" i="39" s="1"/>
  <c r="AE51" i="39"/>
  <c r="AE65" i="39" s="1"/>
  <c r="AE66" i="39" s="1"/>
  <c r="AD51" i="39"/>
  <c r="AD65" i="39" s="1"/>
  <c r="AD66" i="39" s="1"/>
  <c r="AC51" i="39"/>
  <c r="AC65" i="39" s="1"/>
  <c r="AC66" i="39" s="1"/>
  <c r="AB51" i="39"/>
  <c r="AB65" i="39" s="1"/>
  <c r="AB66" i="39" s="1"/>
  <c r="AA51" i="39"/>
  <c r="AA65" i="39" s="1"/>
  <c r="AA66" i="39" s="1"/>
  <c r="Z51" i="39"/>
  <c r="Z65" i="39" s="1"/>
  <c r="Z66" i="39" s="1"/>
  <c r="Y51" i="39"/>
  <c r="Y65" i="39" s="1"/>
  <c r="Y66" i="39" s="1"/>
  <c r="X51" i="39"/>
  <c r="X65" i="39" s="1"/>
  <c r="X66" i="39" s="1"/>
  <c r="W51" i="39"/>
  <c r="W65" i="39" s="1"/>
  <c r="W66" i="39" s="1"/>
  <c r="V51" i="39"/>
  <c r="V65" i="39" s="1"/>
  <c r="V66" i="39" s="1"/>
  <c r="U51" i="39"/>
  <c r="U65" i="39" s="1"/>
  <c r="U66" i="39" s="1"/>
  <c r="T51" i="39"/>
  <c r="T65" i="39" s="1"/>
  <c r="T66" i="39" s="1"/>
  <c r="S51" i="39"/>
  <c r="S65" i="39" s="1"/>
  <c r="S66" i="39" s="1"/>
  <c r="R51" i="39"/>
  <c r="R65" i="39" s="1"/>
  <c r="R66" i="39" s="1"/>
  <c r="Q51" i="39"/>
  <c r="Q65" i="39" s="1"/>
  <c r="Q66" i="39" s="1"/>
  <c r="P51" i="39"/>
  <c r="P65" i="39" s="1"/>
  <c r="P66" i="39" s="1"/>
  <c r="O51" i="39"/>
  <c r="O65" i="39" s="1"/>
  <c r="O66" i="39" s="1"/>
  <c r="N51" i="39"/>
  <c r="N65" i="39" s="1"/>
  <c r="N66" i="39" s="1"/>
  <c r="M51" i="39"/>
  <c r="M65" i="39" s="1"/>
  <c r="M66" i="39" s="1"/>
  <c r="L51" i="39"/>
  <c r="L65" i="39" s="1"/>
  <c r="L66" i="39" s="1"/>
  <c r="K51" i="39"/>
  <c r="K65" i="39" s="1"/>
  <c r="K66" i="39" s="1"/>
  <c r="J51" i="39"/>
  <c r="J65" i="39" s="1"/>
  <c r="J66" i="39" s="1"/>
  <c r="I51" i="39"/>
  <c r="I65" i="39" s="1"/>
  <c r="I66" i="39" s="1"/>
  <c r="H51" i="39"/>
  <c r="H65" i="39" s="1"/>
  <c r="H66" i="39" s="1"/>
  <c r="G51" i="39"/>
  <c r="G65" i="39" s="1"/>
  <c r="G66" i="39" s="1"/>
  <c r="AH45" i="39"/>
  <c r="AG45" i="39"/>
  <c r="AF45" i="39"/>
  <c r="AE45" i="39"/>
  <c r="AD45" i="39"/>
  <c r="AC45" i="39"/>
  <c r="AB45" i="39"/>
  <c r="AA45" i="39"/>
  <c r="Z45" i="39"/>
  <c r="Y45" i="39"/>
  <c r="X45" i="39"/>
  <c r="W45" i="39"/>
  <c r="V45" i="39"/>
  <c r="U45" i="39"/>
  <c r="T45" i="39"/>
  <c r="S45" i="39"/>
  <c r="R45" i="39"/>
  <c r="Q45" i="39"/>
  <c r="P45" i="39"/>
  <c r="O45" i="39"/>
  <c r="N45" i="39"/>
  <c r="M45" i="39"/>
  <c r="L45" i="39"/>
  <c r="K45" i="39"/>
  <c r="J45" i="39"/>
  <c r="I45" i="39"/>
  <c r="H45" i="39"/>
  <c r="G45" i="39"/>
  <c r="AH32" i="39"/>
  <c r="AG32" i="39"/>
  <c r="AF32" i="39"/>
  <c r="AE32" i="39"/>
  <c r="AD32" i="39"/>
  <c r="AC32" i="39"/>
  <c r="AB32" i="39"/>
  <c r="AA32" i="39"/>
  <c r="Z32" i="39"/>
  <c r="Y32" i="39"/>
  <c r="X32" i="39"/>
  <c r="W32" i="39"/>
  <c r="V32" i="39"/>
  <c r="U32" i="39"/>
  <c r="T32" i="39"/>
  <c r="S32" i="39"/>
  <c r="R32" i="39"/>
  <c r="Q32" i="39"/>
  <c r="P32" i="39"/>
  <c r="O32" i="39"/>
  <c r="N32" i="39"/>
  <c r="M32" i="39"/>
  <c r="L32" i="39"/>
  <c r="K32" i="39"/>
  <c r="J32" i="39"/>
  <c r="I32" i="39"/>
  <c r="H32" i="39"/>
  <c r="G32" i="39"/>
  <c r="AH18" i="39"/>
  <c r="AG18" i="39"/>
  <c r="AF18" i="39"/>
  <c r="AE18" i="39"/>
  <c r="AD18" i="39"/>
  <c r="AC18" i="39"/>
  <c r="AB18" i="39"/>
  <c r="AA18" i="39"/>
  <c r="Z18" i="39"/>
  <c r="Y18" i="39"/>
  <c r="X18" i="39"/>
  <c r="W18" i="39"/>
  <c r="V18" i="39"/>
  <c r="U18" i="39"/>
  <c r="T18" i="39"/>
  <c r="S18" i="39"/>
  <c r="R18" i="39"/>
  <c r="Q18" i="39"/>
  <c r="P18" i="39"/>
  <c r="O18" i="39"/>
  <c r="N18" i="39"/>
  <c r="M18" i="39"/>
  <c r="L18" i="39"/>
  <c r="K18" i="39"/>
  <c r="J18" i="39"/>
  <c r="I18" i="39"/>
  <c r="H18" i="39"/>
  <c r="G18" i="39"/>
  <c r="AH7" i="39"/>
  <c r="AG7" i="39"/>
  <c r="AF7" i="39"/>
  <c r="AE7" i="39"/>
  <c r="AD7" i="39"/>
  <c r="AC7" i="39"/>
  <c r="AB7" i="39"/>
  <c r="AA7" i="39"/>
  <c r="Z7" i="39"/>
  <c r="Y7" i="39"/>
  <c r="X7" i="39"/>
  <c r="W7" i="39"/>
  <c r="V7" i="39"/>
  <c r="U7" i="39"/>
  <c r="T7" i="39"/>
  <c r="S7" i="39"/>
  <c r="R7" i="39"/>
  <c r="Q7" i="39"/>
  <c r="P7" i="39"/>
  <c r="O7" i="39"/>
  <c r="N7" i="39"/>
  <c r="M7" i="39"/>
  <c r="L7" i="39"/>
  <c r="K7" i="39"/>
  <c r="J7" i="39"/>
  <c r="I7" i="39"/>
  <c r="H7" i="39"/>
  <c r="G7" i="39"/>
  <c r="AA51" i="37"/>
  <c r="AA56" i="37" s="1"/>
  <c r="Z51" i="37"/>
  <c r="Z56" i="37" s="1"/>
  <c r="Y51" i="37"/>
  <c r="Y56" i="37" s="1"/>
  <c r="X51" i="37"/>
  <c r="X56" i="37" s="1"/>
  <c r="W51" i="37"/>
  <c r="W56" i="37" s="1"/>
  <c r="V51" i="37"/>
  <c r="V56" i="37" s="1"/>
  <c r="U51" i="37"/>
  <c r="U56" i="37" s="1"/>
  <c r="T51" i="37"/>
  <c r="T56" i="37" s="1"/>
  <c r="S51" i="37"/>
  <c r="S56" i="37" s="1"/>
  <c r="R51" i="37"/>
  <c r="R56" i="37" s="1"/>
  <c r="Q51" i="37"/>
  <c r="Q56" i="37" s="1"/>
  <c r="P51" i="37"/>
  <c r="P56" i="37" s="1"/>
  <c r="O51" i="37"/>
  <c r="O56" i="37" s="1"/>
  <c r="N51" i="37"/>
  <c r="N56" i="37" s="1"/>
  <c r="AA14" i="37"/>
  <c r="AA55" i="37" s="1"/>
  <c r="AA58" i="37" s="1"/>
  <c r="AA59" i="37" s="1"/>
  <c r="Z14" i="37"/>
  <c r="Z55" i="37" s="1"/>
  <c r="Z58" i="37" s="1"/>
  <c r="Z59" i="37" s="1"/>
  <c r="Y14" i="37"/>
  <c r="Y55" i="37" s="1"/>
  <c r="X14" i="37"/>
  <c r="X55" i="37" s="1"/>
  <c r="W14" i="37"/>
  <c r="W55" i="37" s="1"/>
  <c r="W58" i="37" s="1"/>
  <c r="W59" i="37" s="1"/>
  <c r="V14" i="37"/>
  <c r="V55" i="37" s="1"/>
  <c r="V58" i="37" s="1"/>
  <c r="V59" i="37" s="1"/>
  <c r="U14" i="37"/>
  <c r="U55" i="37" s="1"/>
  <c r="T14" i="37"/>
  <c r="T55" i="37" s="1"/>
  <c r="S14" i="37"/>
  <c r="S55" i="37" s="1"/>
  <c r="S58" i="37" s="1"/>
  <c r="S59" i="37" s="1"/>
  <c r="R14" i="37"/>
  <c r="R55" i="37" s="1"/>
  <c r="R58" i="37" s="1"/>
  <c r="R59" i="37" s="1"/>
  <c r="Q14" i="37"/>
  <c r="Q55" i="37" s="1"/>
  <c r="P14" i="37"/>
  <c r="P55" i="37" s="1"/>
  <c r="O14" i="37"/>
  <c r="O55" i="37" s="1"/>
  <c r="O58" i="37" s="1"/>
  <c r="O59" i="37" s="1"/>
  <c r="N14" i="37"/>
  <c r="N55" i="37" s="1"/>
  <c r="N58" i="37" s="1"/>
  <c r="N59" i="37" s="1"/>
  <c r="AA53" i="36"/>
  <c r="AA61" i="36" s="1"/>
  <c r="Z53" i="36"/>
  <c r="Z61" i="36" s="1"/>
  <c r="Y53" i="36"/>
  <c r="Y61" i="36" s="1"/>
  <c r="X53" i="36"/>
  <c r="X61" i="36" s="1"/>
  <c r="W53" i="36"/>
  <c r="W61" i="36" s="1"/>
  <c r="V53" i="36"/>
  <c r="V61" i="36" s="1"/>
  <c r="U53" i="36"/>
  <c r="U61" i="36" s="1"/>
  <c r="T53" i="36"/>
  <c r="T61" i="36" s="1"/>
  <c r="S53" i="36"/>
  <c r="S61" i="36" s="1"/>
  <c r="R53" i="36"/>
  <c r="R61" i="36" s="1"/>
  <c r="Q53" i="36"/>
  <c r="Q61" i="36" s="1"/>
  <c r="P53" i="36"/>
  <c r="P61" i="36" s="1"/>
  <c r="O53" i="36"/>
  <c r="O61" i="36" s="1"/>
  <c r="N53" i="36"/>
  <c r="N61" i="36" s="1"/>
  <c r="AA14" i="36"/>
  <c r="AA60" i="36" s="1"/>
  <c r="Z14" i="36"/>
  <c r="Z60" i="36" s="1"/>
  <c r="Z63" i="36" s="1"/>
  <c r="Z64" i="36" s="1"/>
  <c r="Y14" i="36"/>
  <c r="Y60" i="36" s="1"/>
  <c r="Y63" i="36" s="1"/>
  <c r="Y64" i="36" s="1"/>
  <c r="X14" i="36"/>
  <c r="X60" i="36" s="1"/>
  <c r="W14" i="36"/>
  <c r="W60" i="36" s="1"/>
  <c r="V14" i="36"/>
  <c r="V60" i="36" s="1"/>
  <c r="V63" i="36" s="1"/>
  <c r="V64" i="36" s="1"/>
  <c r="U14" i="36"/>
  <c r="U60" i="36" s="1"/>
  <c r="U63" i="36" s="1"/>
  <c r="U64" i="36" s="1"/>
  <c r="T14" i="36"/>
  <c r="T60" i="36" s="1"/>
  <c r="S14" i="36"/>
  <c r="S60" i="36" s="1"/>
  <c r="R14" i="36"/>
  <c r="R60" i="36" s="1"/>
  <c r="R63" i="36" s="1"/>
  <c r="R64" i="36" s="1"/>
  <c r="Q14" i="36"/>
  <c r="Q60" i="36" s="1"/>
  <c r="Q63" i="36" s="1"/>
  <c r="Q64" i="36" s="1"/>
  <c r="P14" i="36"/>
  <c r="P60" i="36" s="1"/>
  <c r="O14" i="36"/>
  <c r="O60" i="36" s="1"/>
  <c r="N14" i="36"/>
  <c r="N60" i="36" s="1"/>
  <c r="N63" i="36" s="1"/>
  <c r="N64" i="36" s="1"/>
  <c r="BJ36" i="35"/>
  <c r="BI36" i="35"/>
  <c r="BH36" i="35"/>
  <c r="BG36" i="35"/>
  <c r="BF36" i="35"/>
  <c r="BE36" i="35"/>
  <c r="BD36" i="35"/>
  <c r="BC36" i="35"/>
  <c r="BB36" i="35"/>
  <c r="BA36" i="35"/>
  <c r="AZ36" i="35"/>
  <c r="AY36" i="35"/>
  <c r="AX36" i="35"/>
  <c r="AW36" i="35"/>
  <c r="AV36" i="35"/>
  <c r="AU36" i="35"/>
  <c r="AT36" i="35"/>
  <c r="AS36" i="35"/>
  <c r="AR36" i="35"/>
  <c r="AQ36" i="35"/>
  <c r="AP36" i="35"/>
  <c r="AO36" i="35"/>
  <c r="AN36" i="35"/>
  <c r="AM36" i="35"/>
  <c r="AL36" i="35"/>
  <c r="AK36" i="35"/>
  <c r="AJ36" i="35"/>
  <c r="AI36" i="35"/>
  <c r="BJ35" i="35"/>
  <c r="BI35" i="35"/>
  <c r="BH35" i="35"/>
  <c r="BG35" i="35"/>
  <c r="BF35" i="35"/>
  <c r="BE35" i="35"/>
  <c r="BD35" i="35"/>
  <c r="BC35" i="35"/>
  <c r="BB35" i="35"/>
  <c r="BA35" i="35"/>
  <c r="AZ35" i="35"/>
  <c r="AY35" i="35"/>
  <c r="AX35" i="35"/>
  <c r="AW35" i="35"/>
  <c r="AV35" i="35"/>
  <c r="AU35" i="35"/>
  <c r="AT35" i="35"/>
  <c r="AS35" i="35"/>
  <c r="AR35" i="35"/>
  <c r="AQ35" i="35"/>
  <c r="AP35" i="35"/>
  <c r="AO35" i="35"/>
  <c r="AN35" i="35"/>
  <c r="AM35" i="35"/>
  <c r="AL35" i="35"/>
  <c r="AK35" i="35"/>
  <c r="AJ35" i="35"/>
  <c r="AI35" i="35"/>
  <c r="BJ34" i="35"/>
  <c r="BI34" i="35"/>
  <c r="BH34" i="35"/>
  <c r="BG34" i="35"/>
  <c r="BF34" i="35"/>
  <c r="BE34" i="35"/>
  <c r="BD34" i="35"/>
  <c r="BC34" i="35"/>
  <c r="BB34" i="35"/>
  <c r="BA34" i="35"/>
  <c r="AZ34" i="35"/>
  <c r="AY34" i="35"/>
  <c r="AX34" i="35"/>
  <c r="AW34" i="35"/>
  <c r="AV34" i="35"/>
  <c r="AU34" i="35"/>
  <c r="AT34" i="35"/>
  <c r="AS34" i="35"/>
  <c r="AR34" i="35"/>
  <c r="AQ34" i="35"/>
  <c r="AP34" i="35"/>
  <c r="AO34" i="35"/>
  <c r="AN34" i="35"/>
  <c r="AM34" i="35"/>
  <c r="AL34" i="35"/>
  <c r="AK34" i="35"/>
  <c r="AJ34" i="35"/>
  <c r="AI34" i="35"/>
  <c r="BJ33" i="35"/>
  <c r="BI33" i="35"/>
  <c r="BH33" i="35"/>
  <c r="BG33" i="35"/>
  <c r="BF33" i="35"/>
  <c r="BE33" i="35"/>
  <c r="BD33" i="35"/>
  <c r="BC33" i="35"/>
  <c r="BB33" i="35"/>
  <c r="BA33" i="35"/>
  <c r="AZ33" i="35"/>
  <c r="AY33" i="35"/>
  <c r="AX33" i="35"/>
  <c r="AW33" i="35"/>
  <c r="AV33" i="35"/>
  <c r="AU33" i="35"/>
  <c r="AT33" i="35"/>
  <c r="AS33" i="35"/>
  <c r="AR33" i="35"/>
  <c r="AQ33" i="35"/>
  <c r="AP33" i="35"/>
  <c r="AO33" i="35"/>
  <c r="AN33" i="35"/>
  <c r="AM33" i="35"/>
  <c r="AL33" i="35"/>
  <c r="AK33" i="35"/>
  <c r="AJ33" i="35"/>
  <c r="AI33" i="35"/>
  <c r="BJ32" i="35"/>
  <c r="BI32" i="35"/>
  <c r="BH32" i="35"/>
  <c r="BG32" i="35"/>
  <c r="BF32" i="35"/>
  <c r="BE32" i="35"/>
  <c r="BD32" i="35"/>
  <c r="BC32" i="35"/>
  <c r="BB32" i="35"/>
  <c r="BA32" i="35"/>
  <c r="AZ32" i="35"/>
  <c r="AY32" i="35"/>
  <c r="AX32" i="35"/>
  <c r="AW32" i="35"/>
  <c r="AV32" i="35"/>
  <c r="AU32" i="35"/>
  <c r="AT32" i="35"/>
  <c r="AS32" i="35"/>
  <c r="AR32" i="35"/>
  <c r="AQ32" i="35"/>
  <c r="AP32" i="35"/>
  <c r="AO32" i="35"/>
  <c r="AN32" i="35"/>
  <c r="AM32" i="35"/>
  <c r="AL32" i="35"/>
  <c r="AK32" i="35"/>
  <c r="AJ32" i="35"/>
  <c r="AI32" i="35"/>
  <c r="BJ31" i="35"/>
  <c r="BI31" i="35"/>
  <c r="BH31" i="35"/>
  <c r="BG31" i="35"/>
  <c r="BF31" i="35"/>
  <c r="BE31" i="35"/>
  <c r="BD31" i="35"/>
  <c r="BC31" i="35"/>
  <c r="BB31" i="35"/>
  <c r="BA31" i="35"/>
  <c r="AZ31" i="35"/>
  <c r="AY31" i="35"/>
  <c r="AX31" i="35"/>
  <c r="AW31" i="35"/>
  <c r="AV31" i="35"/>
  <c r="AU31" i="35"/>
  <c r="AT31" i="35"/>
  <c r="AS31" i="35"/>
  <c r="AR31" i="35"/>
  <c r="AQ31" i="35"/>
  <c r="AP31" i="35"/>
  <c r="AO31" i="35"/>
  <c r="AN31" i="35"/>
  <c r="AM31" i="35"/>
  <c r="AL31" i="35"/>
  <c r="AK31" i="35"/>
  <c r="AJ31" i="35"/>
  <c r="AI31" i="35"/>
  <c r="BJ30" i="35"/>
  <c r="BI30" i="35"/>
  <c r="BH30" i="35"/>
  <c r="BG30" i="35"/>
  <c r="BF30" i="35"/>
  <c r="BE30" i="35"/>
  <c r="BD30" i="35"/>
  <c r="BC30" i="35"/>
  <c r="BB30" i="35"/>
  <c r="BA30" i="35"/>
  <c r="AZ30" i="35"/>
  <c r="AY30" i="35"/>
  <c r="AX30" i="35"/>
  <c r="AW30" i="35"/>
  <c r="AV30" i="35"/>
  <c r="AU30" i="35"/>
  <c r="AT30" i="35"/>
  <c r="AS30" i="35"/>
  <c r="AR30" i="35"/>
  <c r="AQ30" i="35"/>
  <c r="AP30" i="35"/>
  <c r="AO30" i="35"/>
  <c r="AN30" i="35"/>
  <c r="AM30" i="35"/>
  <c r="AL30" i="35"/>
  <c r="AK30" i="35"/>
  <c r="AJ30" i="35"/>
  <c r="AI30" i="35"/>
  <c r="BJ29" i="35"/>
  <c r="BI29" i="35"/>
  <c r="BH29" i="35"/>
  <c r="BG29" i="35"/>
  <c r="BF29" i="35"/>
  <c r="BE29" i="35"/>
  <c r="BD29" i="35"/>
  <c r="BC29" i="35"/>
  <c r="BB29" i="35"/>
  <c r="BA29" i="35"/>
  <c r="AZ29" i="35"/>
  <c r="AY29" i="35"/>
  <c r="AX29" i="35"/>
  <c r="AW29" i="35"/>
  <c r="AV29" i="35"/>
  <c r="AU29" i="35"/>
  <c r="AT29" i="35"/>
  <c r="AS29" i="35"/>
  <c r="AR29" i="35"/>
  <c r="AQ29" i="35"/>
  <c r="AP29" i="35"/>
  <c r="AO29" i="35"/>
  <c r="AN29" i="35"/>
  <c r="AM29" i="35"/>
  <c r="AL29" i="35"/>
  <c r="AK29" i="35"/>
  <c r="AJ29" i="35"/>
  <c r="AI29" i="35"/>
  <c r="BJ28" i="35"/>
  <c r="BI28" i="35"/>
  <c r="BH28" i="35"/>
  <c r="BG28" i="35"/>
  <c r="BF28" i="35"/>
  <c r="BE28" i="35"/>
  <c r="BD28" i="35"/>
  <c r="BC28" i="35"/>
  <c r="BB28" i="35"/>
  <c r="BA28" i="35"/>
  <c r="AZ28" i="35"/>
  <c r="AY28" i="35"/>
  <c r="AX28" i="35"/>
  <c r="AW28" i="35"/>
  <c r="AV28" i="35"/>
  <c r="AU28" i="35"/>
  <c r="AT28" i="35"/>
  <c r="AS28" i="35"/>
  <c r="AR28" i="35"/>
  <c r="AQ28" i="35"/>
  <c r="AP28" i="35"/>
  <c r="AO28" i="35"/>
  <c r="AN28" i="35"/>
  <c r="AM28" i="35"/>
  <c r="AL28" i="35"/>
  <c r="AK28" i="35"/>
  <c r="AJ28" i="35"/>
  <c r="AI28" i="35"/>
  <c r="BJ27" i="35"/>
  <c r="BI27" i="35"/>
  <c r="BH27" i="35"/>
  <c r="BG27" i="35"/>
  <c r="BF27" i="35"/>
  <c r="BE27" i="35"/>
  <c r="BD27" i="35"/>
  <c r="BC27" i="35"/>
  <c r="BB27" i="35"/>
  <c r="BA27" i="35"/>
  <c r="AZ27" i="35"/>
  <c r="AY27" i="35"/>
  <c r="AX27" i="35"/>
  <c r="AW27" i="35"/>
  <c r="AV27" i="35"/>
  <c r="AU27" i="35"/>
  <c r="AT27" i="35"/>
  <c r="AS27" i="35"/>
  <c r="AR27" i="35"/>
  <c r="AQ27" i="35"/>
  <c r="AP27" i="35"/>
  <c r="AO27" i="35"/>
  <c r="AN27" i="35"/>
  <c r="AM27" i="35"/>
  <c r="AL27" i="35"/>
  <c r="AK27" i="35"/>
  <c r="AJ27" i="35"/>
  <c r="AI27" i="35"/>
  <c r="BJ26" i="35"/>
  <c r="BI26" i="35"/>
  <c r="BH26" i="35"/>
  <c r="BG26" i="35"/>
  <c r="BF26" i="35"/>
  <c r="BE26" i="35"/>
  <c r="BD26" i="35"/>
  <c r="BC26" i="35"/>
  <c r="BB26" i="35"/>
  <c r="BA26" i="35"/>
  <c r="AZ26" i="35"/>
  <c r="AY26" i="35"/>
  <c r="AX26" i="35"/>
  <c r="AW26" i="35"/>
  <c r="AV26" i="35"/>
  <c r="AU26" i="35"/>
  <c r="AT26" i="35"/>
  <c r="AS26" i="35"/>
  <c r="AR26" i="35"/>
  <c r="AQ26" i="35"/>
  <c r="AP26" i="35"/>
  <c r="AO26" i="35"/>
  <c r="AN26" i="35"/>
  <c r="AM26" i="35"/>
  <c r="AL26" i="35"/>
  <c r="AK26" i="35"/>
  <c r="AJ26" i="35"/>
  <c r="AI26" i="35"/>
  <c r="BJ25" i="35"/>
  <c r="BI25" i="35"/>
  <c r="BH25" i="35"/>
  <c r="BG25" i="35"/>
  <c r="BF25" i="35"/>
  <c r="BE25" i="35"/>
  <c r="BD25" i="35"/>
  <c r="BC25" i="35"/>
  <c r="BB25" i="35"/>
  <c r="BA25" i="35"/>
  <c r="AZ25" i="35"/>
  <c r="AY25" i="35"/>
  <c r="AX25" i="35"/>
  <c r="AW25" i="35"/>
  <c r="AV25" i="35"/>
  <c r="AU25" i="35"/>
  <c r="AT25" i="35"/>
  <c r="AS25" i="35"/>
  <c r="AR25" i="35"/>
  <c r="AQ25" i="35"/>
  <c r="AP25" i="35"/>
  <c r="AO25" i="35"/>
  <c r="AN25" i="35"/>
  <c r="AM25" i="35"/>
  <c r="AL25" i="35"/>
  <c r="AK25" i="35"/>
  <c r="AJ25" i="35"/>
  <c r="AI25" i="35"/>
  <c r="BJ24" i="35"/>
  <c r="BI24" i="35"/>
  <c r="BH24" i="35"/>
  <c r="BG24" i="35"/>
  <c r="BF24" i="35"/>
  <c r="BE24" i="35"/>
  <c r="BD24" i="35"/>
  <c r="BC24" i="35"/>
  <c r="BB24" i="35"/>
  <c r="BA24" i="35"/>
  <c r="AZ24" i="35"/>
  <c r="AY24" i="35"/>
  <c r="AX24" i="35"/>
  <c r="AW24" i="35"/>
  <c r="AV24" i="35"/>
  <c r="AU24" i="35"/>
  <c r="AT24" i="35"/>
  <c r="AS24" i="35"/>
  <c r="AR24" i="35"/>
  <c r="AQ24" i="35"/>
  <c r="AP24" i="35"/>
  <c r="AO24" i="35"/>
  <c r="AN24" i="35"/>
  <c r="AM24" i="35"/>
  <c r="AL24" i="35"/>
  <c r="AK24" i="35"/>
  <c r="AJ24" i="35"/>
  <c r="AI24" i="35"/>
  <c r="BJ23" i="35"/>
  <c r="BI23" i="35"/>
  <c r="BH23" i="35"/>
  <c r="BG23" i="35"/>
  <c r="BF23" i="35"/>
  <c r="BE23" i="35"/>
  <c r="BD23" i="35"/>
  <c r="BC23" i="35"/>
  <c r="BB23" i="35"/>
  <c r="BA23" i="35"/>
  <c r="AZ23" i="35"/>
  <c r="AY23" i="35"/>
  <c r="AX23" i="35"/>
  <c r="AW23" i="35"/>
  <c r="AV23" i="35"/>
  <c r="AU23" i="35"/>
  <c r="AT23" i="35"/>
  <c r="AS23" i="35"/>
  <c r="AR23" i="35"/>
  <c r="AQ23" i="35"/>
  <c r="AP23" i="35"/>
  <c r="AO23" i="35"/>
  <c r="AN23" i="35"/>
  <c r="AM23" i="35"/>
  <c r="AL23" i="35"/>
  <c r="AK23" i="35"/>
  <c r="AJ23" i="35"/>
  <c r="AI23" i="35"/>
  <c r="BJ22" i="35"/>
  <c r="BI22" i="35"/>
  <c r="BH22" i="35"/>
  <c r="BG22" i="35"/>
  <c r="BF22" i="35"/>
  <c r="BE22" i="35"/>
  <c r="BD22" i="35"/>
  <c r="BC22" i="35"/>
  <c r="BB22" i="35"/>
  <c r="BA22" i="35"/>
  <c r="AZ22" i="35"/>
  <c r="AY22" i="35"/>
  <c r="AX22" i="35"/>
  <c r="AW22" i="35"/>
  <c r="AV22" i="35"/>
  <c r="AU22" i="35"/>
  <c r="AT22" i="35"/>
  <c r="AS22" i="35"/>
  <c r="AR22" i="35"/>
  <c r="AQ22" i="35"/>
  <c r="AP22" i="35"/>
  <c r="AO22" i="35"/>
  <c r="AN22" i="35"/>
  <c r="AM22" i="35"/>
  <c r="AL22" i="35"/>
  <c r="AK22" i="35"/>
  <c r="AJ22" i="35"/>
  <c r="AI22" i="35"/>
  <c r="BJ21" i="35"/>
  <c r="BI21" i="35"/>
  <c r="BH21" i="35"/>
  <c r="BG21" i="35"/>
  <c r="BF21" i="35"/>
  <c r="BE21" i="35"/>
  <c r="BD21" i="35"/>
  <c r="BC21" i="35"/>
  <c r="BB21" i="35"/>
  <c r="BA21" i="35"/>
  <c r="AZ21" i="35"/>
  <c r="AY21" i="35"/>
  <c r="AX21" i="35"/>
  <c r="AW21" i="35"/>
  <c r="AV21" i="35"/>
  <c r="AU21" i="35"/>
  <c r="AT21" i="35"/>
  <c r="AS21" i="35"/>
  <c r="AR21" i="35"/>
  <c r="AQ21" i="35"/>
  <c r="AP21" i="35"/>
  <c r="AO21" i="35"/>
  <c r="AN21" i="35"/>
  <c r="AM21" i="35"/>
  <c r="AL21" i="35"/>
  <c r="AK21" i="35"/>
  <c r="AJ21" i="35"/>
  <c r="AI21" i="35"/>
  <c r="BJ20" i="35"/>
  <c r="BI20" i="35"/>
  <c r="BH20" i="35"/>
  <c r="BG20" i="35"/>
  <c r="BF20" i="35"/>
  <c r="BE20" i="35"/>
  <c r="BD20" i="35"/>
  <c r="BC20" i="35"/>
  <c r="BB20" i="35"/>
  <c r="BA20" i="35"/>
  <c r="AZ20" i="35"/>
  <c r="AY20" i="35"/>
  <c r="AX20" i="35"/>
  <c r="AW20" i="35"/>
  <c r="AV20" i="35"/>
  <c r="AU20" i="35"/>
  <c r="AT20" i="35"/>
  <c r="AS20" i="35"/>
  <c r="AR20" i="35"/>
  <c r="AQ20" i="35"/>
  <c r="AP20" i="35"/>
  <c r="AO20" i="35"/>
  <c r="AN20" i="35"/>
  <c r="AM20" i="35"/>
  <c r="AL20" i="35"/>
  <c r="AK20" i="35"/>
  <c r="AJ20" i="35"/>
  <c r="AI20" i="35"/>
  <c r="BJ19" i="35"/>
  <c r="BI19" i="35"/>
  <c r="BH19" i="35"/>
  <c r="BG19" i="35"/>
  <c r="BF19" i="35"/>
  <c r="BE19" i="35"/>
  <c r="BD19" i="35"/>
  <c r="BC19" i="35"/>
  <c r="BB19" i="35"/>
  <c r="BA19" i="35"/>
  <c r="AZ19" i="35"/>
  <c r="AY19" i="35"/>
  <c r="AX19" i="35"/>
  <c r="AW19" i="35"/>
  <c r="AV19" i="35"/>
  <c r="AU19" i="35"/>
  <c r="AT19" i="35"/>
  <c r="AS19" i="35"/>
  <c r="AR19" i="35"/>
  <c r="AQ19" i="35"/>
  <c r="AP19" i="35"/>
  <c r="AO19" i="35"/>
  <c r="AN19" i="35"/>
  <c r="AM19" i="35"/>
  <c r="AL19" i="35"/>
  <c r="AK19" i="35"/>
  <c r="AJ19" i="35"/>
  <c r="AI19" i="35"/>
  <c r="BJ18" i="35"/>
  <c r="BI18" i="35"/>
  <c r="BH18" i="35"/>
  <c r="BG18" i="35"/>
  <c r="BF18" i="35"/>
  <c r="BE18" i="35"/>
  <c r="BD18" i="35"/>
  <c r="BC18" i="35"/>
  <c r="BB18" i="35"/>
  <c r="BA18" i="35"/>
  <c r="AZ18" i="35"/>
  <c r="AY18" i="35"/>
  <c r="AX18" i="35"/>
  <c r="AW18" i="35"/>
  <c r="AV18" i="35"/>
  <c r="AU18" i="35"/>
  <c r="AT18" i="35"/>
  <c r="AS18" i="35"/>
  <c r="AR18" i="35"/>
  <c r="AQ18" i="35"/>
  <c r="AP18" i="35"/>
  <c r="AO18" i="35"/>
  <c r="AN18" i="35"/>
  <c r="AM18" i="35"/>
  <c r="AL18" i="35"/>
  <c r="AK18" i="35"/>
  <c r="AJ18" i="35"/>
  <c r="AI18" i="35"/>
  <c r="BJ17" i="35"/>
  <c r="BI17" i="35"/>
  <c r="BH17" i="35"/>
  <c r="BG17" i="35"/>
  <c r="BF17" i="35"/>
  <c r="BE17" i="35"/>
  <c r="BD17" i="35"/>
  <c r="BC17" i="35"/>
  <c r="BB17" i="35"/>
  <c r="BA17" i="35"/>
  <c r="AZ17" i="35"/>
  <c r="AY17" i="35"/>
  <c r="AX17" i="35"/>
  <c r="AW17" i="35"/>
  <c r="AV17" i="35"/>
  <c r="AU17" i="35"/>
  <c r="AT17" i="35"/>
  <c r="AS17" i="35"/>
  <c r="AR17" i="35"/>
  <c r="AQ17" i="35"/>
  <c r="AP17" i="35"/>
  <c r="AO17" i="35"/>
  <c r="AN17" i="35"/>
  <c r="AM17" i="35"/>
  <c r="AL17" i="35"/>
  <c r="AK17" i="35"/>
  <c r="AJ17" i="35"/>
  <c r="AI17" i="35"/>
  <c r="BJ16" i="35"/>
  <c r="BI16" i="35"/>
  <c r="BH16" i="35"/>
  <c r="BG16" i="35"/>
  <c r="BF16" i="35"/>
  <c r="BE16" i="35"/>
  <c r="BD16" i="35"/>
  <c r="BC16" i="35"/>
  <c r="BB16" i="35"/>
  <c r="BA16" i="35"/>
  <c r="AZ16" i="35"/>
  <c r="AY16" i="35"/>
  <c r="AX16" i="35"/>
  <c r="AW16" i="35"/>
  <c r="AV16" i="35"/>
  <c r="AU16" i="35"/>
  <c r="AT16" i="35"/>
  <c r="AS16" i="35"/>
  <c r="AR16" i="35"/>
  <c r="AQ16" i="35"/>
  <c r="AP16" i="35"/>
  <c r="AO16" i="35"/>
  <c r="AN16" i="35"/>
  <c r="AM16" i="35"/>
  <c r="AL16" i="35"/>
  <c r="AK16" i="35"/>
  <c r="AJ16" i="35"/>
  <c r="AI16" i="35"/>
  <c r="BJ15" i="35"/>
  <c r="BI15" i="35"/>
  <c r="BH15" i="35"/>
  <c r="BG15" i="35"/>
  <c r="BF15" i="35"/>
  <c r="BE15" i="35"/>
  <c r="BD15" i="35"/>
  <c r="BC15" i="35"/>
  <c r="BB15" i="35"/>
  <c r="BA15" i="35"/>
  <c r="AZ15" i="35"/>
  <c r="AY15" i="35"/>
  <c r="AX15" i="35"/>
  <c r="AW15" i="35"/>
  <c r="AV15" i="35"/>
  <c r="AU15" i="35"/>
  <c r="AT15" i="35"/>
  <c r="AS15" i="35"/>
  <c r="AR15" i="35"/>
  <c r="AQ15" i="35"/>
  <c r="AP15" i="35"/>
  <c r="AO15" i="35"/>
  <c r="AN15" i="35"/>
  <c r="AM15" i="35"/>
  <c r="AL15" i="35"/>
  <c r="AK15" i="35"/>
  <c r="AJ15" i="35"/>
  <c r="AI15" i="35"/>
  <c r="BJ14" i="35"/>
  <c r="BI14" i="35"/>
  <c r="BH14" i="35"/>
  <c r="BG14" i="35"/>
  <c r="BF14" i="35"/>
  <c r="BE14" i="35"/>
  <c r="BD14" i="35"/>
  <c r="BC14" i="35"/>
  <c r="BB14" i="35"/>
  <c r="BA14" i="35"/>
  <c r="AZ14" i="35"/>
  <c r="AY14" i="35"/>
  <c r="AX14" i="35"/>
  <c r="AW14" i="35"/>
  <c r="AV14" i="35"/>
  <c r="AU14" i="35"/>
  <c r="AT14" i="35"/>
  <c r="AS14" i="35"/>
  <c r="AR14" i="35"/>
  <c r="AQ14" i="35"/>
  <c r="AP14" i="35"/>
  <c r="AO14" i="35"/>
  <c r="AN14" i="35"/>
  <c r="AM14" i="35"/>
  <c r="AL14" i="35"/>
  <c r="AK14" i="35"/>
  <c r="AJ14" i="35"/>
  <c r="AI14" i="35"/>
  <c r="BJ13" i="35"/>
  <c r="BI13" i="35"/>
  <c r="BH13" i="35"/>
  <c r="BG13" i="35"/>
  <c r="BF13" i="35"/>
  <c r="BE13" i="35"/>
  <c r="BD13" i="35"/>
  <c r="BC13" i="35"/>
  <c r="BB13" i="35"/>
  <c r="BA13" i="35"/>
  <c r="AZ13" i="35"/>
  <c r="AY13" i="35"/>
  <c r="AX13" i="35"/>
  <c r="AW13" i="35"/>
  <c r="AV13" i="35"/>
  <c r="AU13" i="35"/>
  <c r="AT13" i="35"/>
  <c r="AS13" i="35"/>
  <c r="AR13" i="35"/>
  <c r="AQ13" i="35"/>
  <c r="AP13" i="35"/>
  <c r="AO13" i="35"/>
  <c r="AN13" i="35"/>
  <c r="AM13" i="35"/>
  <c r="AL13" i="35"/>
  <c r="AK13" i="35"/>
  <c r="AJ13" i="35"/>
  <c r="AI13" i="35"/>
  <c r="BJ12" i="35"/>
  <c r="BI12" i="35"/>
  <c r="BH12" i="35"/>
  <c r="BG12" i="35"/>
  <c r="BF12" i="35"/>
  <c r="BE12" i="35"/>
  <c r="BD12" i="35"/>
  <c r="BC12" i="35"/>
  <c r="BB12" i="35"/>
  <c r="BA12" i="35"/>
  <c r="AZ12" i="35"/>
  <c r="AY12" i="35"/>
  <c r="AX12" i="35"/>
  <c r="AW12" i="35"/>
  <c r="AV12" i="35"/>
  <c r="AU12" i="35"/>
  <c r="AT12" i="35"/>
  <c r="AS12" i="35"/>
  <c r="AR12" i="35"/>
  <c r="AQ12" i="35"/>
  <c r="AP12" i="35"/>
  <c r="AO12" i="35"/>
  <c r="AN12" i="35"/>
  <c r="AM12" i="35"/>
  <c r="AL12" i="35"/>
  <c r="AK12" i="35"/>
  <c r="AJ12" i="35"/>
  <c r="AI12" i="35"/>
  <c r="BJ11" i="35"/>
  <c r="BI11" i="35"/>
  <c r="BH11" i="35"/>
  <c r="BG11" i="35"/>
  <c r="BF11" i="35"/>
  <c r="BE11" i="35"/>
  <c r="BD11" i="35"/>
  <c r="BC11" i="35"/>
  <c r="BB11" i="35"/>
  <c r="BA11" i="35"/>
  <c r="AZ11" i="35"/>
  <c r="AY11" i="35"/>
  <c r="AX11" i="35"/>
  <c r="AW11" i="35"/>
  <c r="AV11" i="35"/>
  <c r="AU11" i="35"/>
  <c r="AT11" i="35"/>
  <c r="AS11" i="35"/>
  <c r="AR11" i="35"/>
  <c r="AQ11" i="35"/>
  <c r="AP11" i="35"/>
  <c r="AO11" i="35"/>
  <c r="AN11" i="35"/>
  <c r="AM11" i="35"/>
  <c r="AL11" i="35"/>
  <c r="AK11" i="35"/>
  <c r="AJ11" i="35"/>
  <c r="AI11" i="35"/>
  <c r="BJ10" i="35"/>
  <c r="BI10" i="35"/>
  <c r="BH10" i="35"/>
  <c r="BG10" i="35"/>
  <c r="BF10" i="35"/>
  <c r="BE10" i="35"/>
  <c r="BD10" i="35"/>
  <c r="BC10" i="35"/>
  <c r="BB10" i="35"/>
  <c r="BA10" i="35"/>
  <c r="AZ10" i="35"/>
  <c r="AY10" i="35"/>
  <c r="AX10" i="35"/>
  <c r="AW10" i="35"/>
  <c r="AV10" i="35"/>
  <c r="AU10" i="35"/>
  <c r="AT10" i="35"/>
  <c r="AS10" i="35"/>
  <c r="AR10" i="35"/>
  <c r="AQ10" i="35"/>
  <c r="AP10" i="35"/>
  <c r="AO10" i="35"/>
  <c r="AN10" i="35"/>
  <c r="AM10" i="35"/>
  <c r="AL10" i="35"/>
  <c r="AK10" i="35"/>
  <c r="AJ10" i="35"/>
  <c r="AI10" i="35"/>
  <c r="BJ9" i="35"/>
  <c r="BI9" i="35"/>
  <c r="BH9" i="35"/>
  <c r="BG9" i="35"/>
  <c r="BF9" i="35"/>
  <c r="BE9" i="35"/>
  <c r="BD9" i="35"/>
  <c r="BC9" i="35"/>
  <c r="BB9" i="35"/>
  <c r="BA9" i="35"/>
  <c r="AZ9" i="35"/>
  <c r="AY9" i="35"/>
  <c r="AX9" i="35"/>
  <c r="AW9" i="35"/>
  <c r="AV9" i="35"/>
  <c r="AU9" i="35"/>
  <c r="AT9" i="35"/>
  <c r="AS9" i="35"/>
  <c r="AR9" i="35"/>
  <c r="AQ9" i="35"/>
  <c r="AP9" i="35"/>
  <c r="AO9" i="35"/>
  <c r="AN9" i="35"/>
  <c r="AM9" i="35"/>
  <c r="AL9" i="35"/>
  <c r="AK9" i="35"/>
  <c r="AJ9" i="35"/>
  <c r="AI9" i="35"/>
  <c r="BJ8" i="35"/>
  <c r="BI8" i="35"/>
  <c r="BH8" i="35"/>
  <c r="BG8" i="35"/>
  <c r="BF8" i="35"/>
  <c r="BE8" i="35"/>
  <c r="BD8" i="35"/>
  <c r="BC8" i="35"/>
  <c r="BB8" i="35"/>
  <c r="BA8" i="35"/>
  <c r="AZ8" i="35"/>
  <c r="AY8" i="35"/>
  <c r="AX8" i="35"/>
  <c r="AW8" i="35"/>
  <c r="AV8" i="35"/>
  <c r="AU8" i="35"/>
  <c r="AT8" i="35"/>
  <c r="AS8" i="35"/>
  <c r="AR8" i="35"/>
  <c r="AQ8" i="35"/>
  <c r="AP8" i="35"/>
  <c r="AO8" i="35"/>
  <c r="AN8" i="35"/>
  <c r="AM8" i="35"/>
  <c r="AL8" i="35"/>
  <c r="AK8" i="35"/>
  <c r="AJ8" i="35"/>
  <c r="AI8" i="35"/>
  <c r="BJ7" i="35"/>
  <c r="AD41" i="35" s="1"/>
  <c r="BI7" i="35"/>
  <c r="AC41" i="35" s="1"/>
  <c r="BH7" i="35"/>
  <c r="AB41" i="35" s="1"/>
  <c r="BG7" i="35"/>
  <c r="AA41" i="35" s="1"/>
  <c r="BF7" i="35"/>
  <c r="Z41" i="35" s="1"/>
  <c r="BE7" i="35"/>
  <c r="Y41" i="35" s="1"/>
  <c r="BD7" i="35"/>
  <c r="X41" i="35" s="1"/>
  <c r="BC7" i="35"/>
  <c r="W41" i="35" s="1"/>
  <c r="BB7" i="35"/>
  <c r="V41" i="35" s="1"/>
  <c r="BA7" i="35"/>
  <c r="U41" i="35" s="1"/>
  <c r="AZ7" i="35"/>
  <c r="T41" i="35" s="1"/>
  <c r="AY7" i="35"/>
  <c r="S41" i="35" s="1"/>
  <c r="AX7" i="35"/>
  <c r="R41" i="35" s="1"/>
  <c r="AW7" i="35"/>
  <c r="Q41" i="35" s="1"/>
  <c r="AV7" i="35"/>
  <c r="P41" i="35" s="1"/>
  <c r="AU7" i="35"/>
  <c r="O41" i="35" s="1"/>
  <c r="AT7" i="35"/>
  <c r="N41" i="35" s="1"/>
  <c r="AS7" i="35"/>
  <c r="M41" i="35" s="1"/>
  <c r="AR7" i="35"/>
  <c r="L41" i="35" s="1"/>
  <c r="AQ7" i="35"/>
  <c r="K41" i="35" s="1"/>
  <c r="AP7" i="35"/>
  <c r="J41" i="35" s="1"/>
  <c r="AO7" i="35"/>
  <c r="I41" i="35" s="1"/>
  <c r="AN7" i="35"/>
  <c r="H41" i="35" s="1"/>
  <c r="AM7" i="35"/>
  <c r="G41" i="35" s="1"/>
  <c r="AL7" i="35"/>
  <c r="F41" i="35" s="1"/>
  <c r="AK7" i="35"/>
  <c r="E41" i="35" s="1"/>
  <c r="AJ7" i="35"/>
  <c r="D41" i="35" s="1"/>
  <c r="AI7" i="35"/>
  <c r="C41" i="35" s="1"/>
  <c r="BJ47" i="34"/>
  <c r="BI47" i="34"/>
  <c r="BH47" i="34"/>
  <c r="BG47" i="34"/>
  <c r="BF47" i="34"/>
  <c r="BE47" i="34"/>
  <c r="BD47" i="34"/>
  <c r="BC47" i="34"/>
  <c r="BB47" i="34"/>
  <c r="BA47" i="34"/>
  <c r="AZ47" i="34"/>
  <c r="AY47" i="34"/>
  <c r="AX47" i="34"/>
  <c r="AW47" i="34"/>
  <c r="AV47" i="34"/>
  <c r="AU47" i="34"/>
  <c r="AT47" i="34"/>
  <c r="AS47" i="34"/>
  <c r="AR47" i="34"/>
  <c r="AQ47" i="34"/>
  <c r="AP47" i="34"/>
  <c r="AO47" i="34"/>
  <c r="AN47" i="34"/>
  <c r="AM47" i="34"/>
  <c r="AL47" i="34"/>
  <c r="AK47" i="34"/>
  <c r="AJ47" i="34"/>
  <c r="AI47" i="34"/>
  <c r="BJ46" i="34"/>
  <c r="BI46" i="34"/>
  <c r="BH46" i="34"/>
  <c r="BG46" i="34"/>
  <c r="BF46" i="34"/>
  <c r="BE46" i="34"/>
  <c r="BD46" i="34"/>
  <c r="BC46" i="34"/>
  <c r="BB46" i="34"/>
  <c r="BA46" i="34"/>
  <c r="AZ46" i="34"/>
  <c r="AY46" i="34"/>
  <c r="AX46" i="34"/>
  <c r="AW46" i="34"/>
  <c r="AV46" i="34"/>
  <c r="AU46" i="34"/>
  <c r="AT46" i="34"/>
  <c r="AS46" i="34"/>
  <c r="AR46" i="34"/>
  <c r="AQ46" i="34"/>
  <c r="AP46" i="34"/>
  <c r="AO46" i="34"/>
  <c r="AN46" i="34"/>
  <c r="AM46" i="34"/>
  <c r="AL46" i="34"/>
  <c r="AK46" i="34"/>
  <c r="AJ46" i="34"/>
  <c r="AI46" i="34"/>
  <c r="BJ45" i="34"/>
  <c r="BI45" i="34"/>
  <c r="BH45" i="34"/>
  <c r="BG45" i="34"/>
  <c r="BF45" i="34"/>
  <c r="BE45" i="34"/>
  <c r="BD45" i="34"/>
  <c r="BC45" i="34"/>
  <c r="BB45" i="34"/>
  <c r="BA45" i="34"/>
  <c r="AZ45" i="34"/>
  <c r="AY45" i="34"/>
  <c r="AX45" i="34"/>
  <c r="AW45" i="34"/>
  <c r="AV45" i="34"/>
  <c r="AU45" i="34"/>
  <c r="AT45" i="34"/>
  <c r="AS45" i="34"/>
  <c r="AR45" i="34"/>
  <c r="AQ45" i="34"/>
  <c r="AP45" i="34"/>
  <c r="AO45" i="34"/>
  <c r="AN45" i="34"/>
  <c r="AM45" i="34"/>
  <c r="AL45" i="34"/>
  <c r="AK45" i="34"/>
  <c r="AJ45" i="34"/>
  <c r="AI45" i="34"/>
  <c r="BJ44" i="34"/>
  <c r="BI44" i="34"/>
  <c r="BH44" i="34"/>
  <c r="BG44" i="34"/>
  <c r="BF44" i="34"/>
  <c r="BE44" i="34"/>
  <c r="BD44" i="34"/>
  <c r="BC44" i="34"/>
  <c r="BB44" i="34"/>
  <c r="BA44" i="34"/>
  <c r="AZ44" i="34"/>
  <c r="AY44" i="34"/>
  <c r="AX44" i="34"/>
  <c r="AW44" i="34"/>
  <c r="AV44" i="34"/>
  <c r="AU44" i="34"/>
  <c r="AT44" i="34"/>
  <c r="AS44" i="34"/>
  <c r="AR44" i="34"/>
  <c r="AQ44" i="34"/>
  <c r="AP44" i="34"/>
  <c r="AO44" i="34"/>
  <c r="AN44" i="34"/>
  <c r="AM44" i="34"/>
  <c r="AL44" i="34"/>
  <c r="AK44" i="34"/>
  <c r="AJ44" i="34"/>
  <c r="AI44" i="34"/>
  <c r="BJ43" i="34"/>
  <c r="BI43" i="34"/>
  <c r="BH43" i="34"/>
  <c r="BG43" i="34"/>
  <c r="BF43" i="34"/>
  <c r="BE43" i="34"/>
  <c r="BD43" i="34"/>
  <c r="BC43" i="34"/>
  <c r="BB43" i="34"/>
  <c r="BA43" i="34"/>
  <c r="AZ43" i="34"/>
  <c r="AY43" i="34"/>
  <c r="AX43" i="34"/>
  <c r="AW43" i="34"/>
  <c r="AV43" i="34"/>
  <c r="AU43" i="34"/>
  <c r="AT43" i="34"/>
  <c r="AS43" i="34"/>
  <c r="AR43" i="34"/>
  <c r="AQ43" i="34"/>
  <c r="AP43" i="34"/>
  <c r="AO43" i="34"/>
  <c r="AN43" i="34"/>
  <c r="AM43" i="34"/>
  <c r="AL43" i="34"/>
  <c r="AK43" i="34"/>
  <c r="AJ43" i="34"/>
  <c r="AI43" i="34"/>
  <c r="BJ42" i="34"/>
  <c r="BI42" i="34"/>
  <c r="BH42" i="34"/>
  <c r="BG42" i="34"/>
  <c r="BF42" i="34"/>
  <c r="BE42" i="34"/>
  <c r="BD42" i="34"/>
  <c r="BC42" i="34"/>
  <c r="BB42" i="34"/>
  <c r="BA42" i="34"/>
  <c r="AZ42" i="34"/>
  <c r="AY42" i="34"/>
  <c r="AX42" i="34"/>
  <c r="AW42" i="34"/>
  <c r="AV42" i="34"/>
  <c r="AU42" i="34"/>
  <c r="AT42" i="34"/>
  <c r="AS42" i="34"/>
  <c r="AR42" i="34"/>
  <c r="AQ42" i="34"/>
  <c r="AP42" i="34"/>
  <c r="AO42" i="34"/>
  <c r="AN42" i="34"/>
  <c r="AM42" i="34"/>
  <c r="AL42" i="34"/>
  <c r="AK42" i="34"/>
  <c r="AJ42" i="34"/>
  <c r="AI42" i="34"/>
  <c r="BJ41" i="34"/>
  <c r="BI41" i="34"/>
  <c r="BH41" i="34"/>
  <c r="BG41" i="34"/>
  <c r="BF41" i="34"/>
  <c r="BE41" i="34"/>
  <c r="BD41" i="34"/>
  <c r="BC41" i="34"/>
  <c r="BB41" i="34"/>
  <c r="BA41" i="34"/>
  <c r="AZ41" i="34"/>
  <c r="AY41" i="34"/>
  <c r="AX41" i="34"/>
  <c r="AW41" i="34"/>
  <c r="AV41" i="34"/>
  <c r="AU41" i="34"/>
  <c r="AT41" i="34"/>
  <c r="AS41" i="34"/>
  <c r="AR41" i="34"/>
  <c r="AQ41" i="34"/>
  <c r="AP41" i="34"/>
  <c r="AO41" i="34"/>
  <c r="AN41" i="34"/>
  <c r="AM41" i="34"/>
  <c r="AL41" i="34"/>
  <c r="AK41" i="34"/>
  <c r="AJ41" i="34"/>
  <c r="AI41" i="34"/>
  <c r="BJ40" i="34"/>
  <c r="BI40" i="34"/>
  <c r="BH40" i="34"/>
  <c r="BG40" i="34"/>
  <c r="BF40" i="34"/>
  <c r="BE40" i="34"/>
  <c r="BD40" i="34"/>
  <c r="BC40" i="34"/>
  <c r="BB40" i="34"/>
  <c r="BA40" i="34"/>
  <c r="AZ40" i="34"/>
  <c r="AY40" i="34"/>
  <c r="AX40" i="34"/>
  <c r="AW40" i="34"/>
  <c r="AV40" i="34"/>
  <c r="AU40" i="34"/>
  <c r="AT40" i="34"/>
  <c r="AS40" i="34"/>
  <c r="AR40" i="34"/>
  <c r="AQ40" i="34"/>
  <c r="AP40" i="34"/>
  <c r="AO40" i="34"/>
  <c r="AN40" i="34"/>
  <c r="AM40" i="34"/>
  <c r="AL40" i="34"/>
  <c r="AK40" i="34"/>
  <c r="AJ40" i="34"/>
  <c r="AI40" i="34"/>
  <c r="BJ39" i="34"/>
  <c r="BI39" i="34"/>
  <c r="BH39" i="34"/>
  <c r="BG39" i="34"/>
  <c r="BF39" i="34"/>
  <c r="BE39" i="34"/>
  <c r="BD39" i="34"/>
  <c r="BC39" i="34"/>
  <c r="BB39" i="34"/>
  <c r="BA39" i="34"/>
  <c r="AZ39" i="34"/>
  <c r="AY39" i="34"/>
  <c r="AX39" i="34"/>
  <c r="AW39" i="34"/>
  <c r="AV39" i="34"/>
  <c r="AU39" i="34"/>
  <c r="AT39" i="34"/>
  <c r="AS39" i="34"/>
  <c r="AR39" i="34"/>
  <c r="AQ39" i="34"/>
  <c r="AP39" i="34"/>
  <c r="AO39" i="34"/>
  <c r="AN39" i="34"/>
  <c r="AM39" i="34"/>
  <c r="AL39" i="34"/>
  <c r="AK39" i="34"/>
  <c r="AJ39" i="34"/>
  <c r="AI39" i="34"/>
  <c r="BJ38" i="34"/>
  <c r="BI38" i="34"/>
  <c r="BH38" i="34"/>
  <c r="BG38" i="34"/>
  <c r="BF38" i="34"/>
  <c r="BE38" i="34"/>
  <c r="BD38" i="34"/>
  <c r="BC38" i="34"/>
  <c r="BB38" i="34"/>
  <c r="BA38" i="34"/>
  <c r="AZ38" i="34"/>
  <c r="AY38" i="34"/>
  <c r="AX38" i="34"/>
  <c r="AW38" i="34"/>
  <c r="AV38" i="34"/>
  <c r="AU38" i="34"/>
  <c r="AT38" i="34"/>
  <c r="AS38" i="34"/>
  <c r="AR38" i="34"/>
  <c r="AQ38" i="34"/>
  <c r="AP38" i="34"/>
  <c r="AO38" i="34"/>
  <c r="AN38" i="34"/>
  <c r="AM38" i="34"/>
  <c r="AL38" i="34"/>
  <c r="AK38" i="34"/>
  <c r="AJ38" i="34"/>
  <c r="AI38" i="34"/>
  <c r="BJ37" i="34"/>
  <c r="BI37" i="34"/>
  <c r="BH37" i="34"/>
  <c r="BG37" i="34"/>
  <c r="BF37" i="34"/>
  <c r="BE37" i="34"/>
  <c r="BD37" i="34"/>
  <c r="BC37" i="34"/>
  <c r="BB37" i="34"/>
  <c r="BA37" i="34"/>
  <c r="AZ37" i="34"/>
  <c r="AY37" i="34"/>
  <c r="AX37" i="34"/>
  <c r="AW37" i="34"/>
  <c r="AV37" i="34"/>
  <c r="AU37" i="34"/>
  <c r="AT37" i="34"/>
  <c r="AS37" i="34"/>
  <c r="AR37" i="34"/>
  <c r="AQ37" i="34"/>
  <c r="AP37" i="34"/>
  <c r="AO37" i="34"/>
  <c r="AN37" i="34"/>
  <c r="AM37" i="34"/>
  <c r="AL37" i="34"/>
  <c r="AK37" i="34"/>
  <c r="AJ37" i="34"/>
  <c r="AI37" i="34"/>
  <c r="BJ36" i="34"/>
  <c r="BI36" i="34"/>
  <c r="BH36" i="34"/>
  <c r="BG36" i="34"/>
  <c r="BF36" i="34"/>
  <c r="BE36" i="34"/>
  <c r="BD36" i="34"/>
  <c r="BC36" i="34"/>
  <c r="BB36" i="34"/>
  <c r="BA36" i="34"/>
  <c r="AZ36" i="34"/>
  <c r="AY36" i="34"/>
  <c r="AX36" i="34"/>
  <c r="AW36" i="34"/>
  <c r="AV36" i="34"/>
  <c r="AU36" i="34"/>
  <c r="AT36" i="34"/>
  <c r="AS36" i="34"/>
  <c r="AR36" i="34"/>
  <c r="AQ36" i="34"/>
  <c r="AP36" i="34"/>
  <c r="AO36" i="34"/>
  <c r="AN36" i="34"/>
  <c r="AM36" i="34"/>
  <c r="AL36" i="34"/>
  <c r="AK36" i="34"/>
  <c r="AJ36" i="34"/>
  <c r="AI36" i="34"/>
  <c r="BJ35" i="34"/>
  <c r="BI35" i="34"/>
  <c r="BH35" i="34"/>
  <c r="BG35" i="34"/>
  <c r="BF35" i="34"/>
  <c r="BE35" i="34"/>
  <c r="BD35" i="34"/>
  <c r="BC35" i="34"/>
  <c r="BB35" i="34"/>
  <c r="BA35" i="34"/>
  <c r="AZ35" i="34"/>
  <c r="AY35" i="34"/>
  <c r="AX35" i="34"/>
  <c r="AW35" i="34"/>
  <c r="AV35" i="34"/>
  <c r="AU35" i="34"/>
  <c r="AT35" i="34"/>
  <c r="AS35" i="34"/>
  <c r="AR35" i="34"/>
  <c r="AQ35" i="34"/>
  <c r="AP35" i="34"/>
  <c r="AO35" i="34"/>
  <c r="AN35" i="34"/>
  <c r="AM35" i="34"/>
  <c r="AL35" i="34"/>
  <c r="AK35" i="34"/>
  <c r="AJ35" i="34"/>
  <c r="AI35" i="34"/>
  <c r="BJ34" i="34"/>
  <c r="BI34" i="34"/>
  <c r="BH34" i="34"/>
  <c r="BG34" i="34"/>
  <c r="BF34" i="34"/>
  <c r="BE34" i="34"/>
  <c r="BD34" i="34"/>
  <c r="BC34" i="34"/>
  <c r="BB34" i="34"/>
  <c r="BA34" i="34"/>
  <c r="AZ34" i="34"/>
  <c r="AY34" i="34"/>
  <c r="AX34" i="34"/>
  <c r="AW34" i="34"/>
  <c r="AV34" i="34"/>
  <c r="AU34" i="34"/>
  <c r="AT34" i="34"/>
  <c r="AS34" i="34"/>
  <c r="AR34" i="34"/>
  <c r="AQ34" i="34"/>
  <c r="AP34" i="34"/>
  <c r="AO34" i="34"/>
  <c r="AN34" i="34"/>
  <c r="AM34" i="34"/>
  <c r="AL34" i="34"/>
  <c r="AK34" i="34"/>
  <c r="AJ34" i="34"/>
  <c r="AI34" i="34"/>
  <c r="BJ33" i="34"/>
  <c r="BI33" i="34"/>
  <c r="BH33" i="34"/>
  <c r="BG33" i="34"/>
  <c r="BF33" i="34"/>
  <c r="BE33" i="34"/>
  <c r="BD33" i="34"/>
  <c r="BC33" i="34"/>
  <c r="BB33" i="34"/>
  <c r="BA33" i="34"/>
  <c r="AZ33" i="34"/>
  <c r="AY33" i="34"/>
  <c r="AX33" i="34"/>
  <c r="AW33" i="34"/>
  <c r="AV33" i="34"/>
  <c r="AU33" i="34"/>
  <c r="AT33" i="34"/>
  <c r="AS33" i="34"/>
  <c r="AR33" i="34"/>
  <c r="AQ33" i="34"/>
  <c r="AP33" i="34"/>
  <c r="AO33" i="34"/>
  <c r="AN33" i="34"/>
  <c r="AM33" i="34"/>
  <c r="AL33" i="34"/>
  <c r="AK33" i="34"/>
  <c r="AJ33" i="34"/>
  <c r="AI33" i="34"/>
  <c r="BJ32" i="34"/>
  <c r="BI32" i="34"/>
  <c r="BH32" i="34"/>
  <c r="BG32" i="34"/>
  <c r="BF32" i="34"/>
  <c r="BE32" i="34"/>
  <c r="BD32" i="34"/>
  <c r="BC32" i="34"/>
  <c r="BB32" i="34"/>
  <c r="BA32" i="34"/>
  <c r="AZ32" i="34"/>
  <c r="AY32" i="34"/>
  <c r="AX32" i="34"/>
  <c r="AW32" i="34"/>
  <c r="AV32" i="34"/>
  <c r="AU32" i="34"/>
  <c r="AT32" i="34"/>
  <c r="AS32" i="34"/>
  <c r="AR32" i="34"/>
  <c r="AQ32" i="34"/>
  <c r="AP32" i="34"/>
  <c r="AO32" i="34"/>
  <c r="AN32" i="34"/>
  <c r="AM32" i="34"/>
  <c r="AL32" i="34"/>
  <c r="AK32" i="34"/>
  <c r="AJ32" i="34"/>
  <c r="AI32" i="34"/>
  <c r="BJ31" i="34"/>
  <c r="BI31" i="34"/>
  <c r="BH31" i="34"/>
  <c r="BG31" i="34"/>
  <c r="BF31" i="34"/>
  <c r="BE31" i="34"/>
  <c r="BD31" i="34"/>
  <c r="BC31" i="34"/>
  <c r="BB31" i="34"/>
  <c r="BA31" i="34"/>
  <c r="AZ31" i="34"/>
  <c r="AY31" i="34"/>
  <c r="AX31" i="34"/>
  <c r="AW31" i="34"/>
  <c r="AV31" i="34"/>
  <c r="AU31" i="34"/>
  <c r="AT31" i="34"/>
  <c r="AS31" i="34"/>
  <c r="AR31" i="34"/>
  <c r="AQ31" i="34"/>
  <c r="AP31" i="34"/>
  <c r="AO31" i="34"/>
  <c r="AN31" i="34"/>
  <c r="AM31" i="34"/>
  <c r="AL31" i="34"/>
  <c r="AK31" i="34"/>
  <c r="AJ31" i="34"/>
  <c r="AI31" i="34"/>
  <c r="BJ30" i="34"/>
  <c r="BI30" i="34"/>
  <c r="BH30" i="34"/>
  <c r="BG30" i="34"/>
  <c r="BF30" i="34"/>
  <c r="BE30" i="34"/>
  <c r="BD30" i="34"/>
  <c r="BC30" i="34"/>
  <c r="BB30" i="34"/>
  <c r="BA30" i="34"/>
  <c r="AZ30" i="34"/>
  <c r="AY30" i="34"/>
  <c r="AX30" i="34"/>
  <c r="AW30" i="34"/>
  <c r="AV30" i="34"/>
  <c r="AU30" i="34"/>
  <c r="AT30" i="34"/>
  <c r="AS30" i="34"/>
  <c r="AR30" i="34"/>
  <c r="AQ30" i="34"/>
  <c r="AP30" i="34"/>
  <c r="AO30" i="34"/>
  <c r="AN30" i="34"/>
  <c r="AM30" i="34"/>
  <c r="AL30" i="34"/>
  <c r="AK30" i="34"/>
  <c r="AJ30" i="34"/>
  <c r="AI30" i="34"/>
  <c r="BJ29" i="34"/>
  <c r="BI29" i="34"/>
  <c r="BH29" i="34"/>
  <c r="BG29" i="34"/>
  <c r="BF29" i="34"/>
  <c r="BE29" i="34"/>
  <c r="BD29" i="34"/>
  <c r="BC29" i="34"/>
  <c r="BB29" i="34"/>
  <c r="BA29" i="34"/>
  <c r="AZ29" i="34"/>
  <c r="AY29" i="34"/>
  <c r="AX29" i="34"/>
  <c r="AW29" i="34"/>
  <c r="AV29" i="34"/>
  <c r="AU29" i="34"/>
  <c r="AT29" i="34"/>
  <c r="AS29" i="34"/>
  <c r="AR29" i="34"/>
  <c r="AQ29" i="34"/>
  <c r="AP29" i="34"/>
  <c r="AO29" i="34"/>
  <c r="AN29" i="34"/>
  <c r="AM29" i="34"/>
  <c r="AL29" i="34"/>
  <c r="AK29" i="34"/>
  <c r="AJ29" i="34"/>
  <c r="AI29" i="34"/>
  <c r="BJ28" i="34"/>
  <c r="BI28" i="34"/>
  <c r="BH28" i="34"/>
  <c r="BG28" i="34"/>
  <c r="BF28" i="34"/>
  <c r="BE28" i="34"/>
  <c r="BD28" i="34"/>
  <c r="BC28" i="34"/>
  <c r="BB28" i="34"/>
  <c r="BA28" i="34"/>
  <c r="AZ28" i="34"/>
  <c r="AY28" i="34"/>
  <c r="AX28" i="34"/>
  <c r="AW28" i="34"/>
  <c r="AV28" i="34"/>
  <c r="AU28" i="34"/>
  <c r="AT28" i="34"/>
  <c r="AS28" i="34"/>
  <c r="AR28" i="34"/>
  <c r="AQ28" i="34"/>
  <c r="AP28" i="34"/>
  <c r="AO28" i="34"/>
  <c r="AN28" i="34"/>
  <c r="AM28" i="34"/>
  <c r="AL28" i="34"/>
  <c r="AK28" i="34"/>
  <c r="AJ28" i="34"/>
  <c r="AI28" i="34"/>
  <c r="BJ27" i="34"/>
  <c r="BI27" i="34"/>
  <c r="BH27" i="34"/>
  <c r="BG27" i="34"/>
  <c r="BF27" i="34"/>
  <c r="BE27" i="34"/>
  <c r="BD27" i="34"/>
  <c r="BC27" i="34"/>
  <c r="BB27" i="34"/>
  <c r="BA27" i="34"/>
  <c r="AZ27" i="34"/>
  <c r="AY27" i="34"/>
  <c r="AX27" i="34"/>
  <c r="AW27" i="34"/>
  <c r="AV27" i="34"/>
  <c r="AU27" i="34"/>
  <c r="AT27" i="34"/>
  <c r="AS27" i="34"/>
  <c r="AR27" i="34"/>
  <c r="AQ27" i="34"/>
  <c r="AP27" i="34"/>
  <c r="AO27" i="34"/>
  <c r="AN27" i="34"/>
  <c r="AM27" i="34"/>
  <c r="AL27" i="34"/>
  <c r="AK27" i="34"/>
  <c r="AJ27" i="34"/>
  <c r="AI27" i="34"/>
  <c r="BJ26" i="34"/>
  <c r="BI26" i="34"/>
  <c r="BH26" i="34"/>
  <c r="BG26" i="34"/>
  <c r="BF26" i="34"/>
  <c r="BE26" i="34"/>
  <c r="BD26" i="34"/>
  <c r="BC26" i="34"/>
  <c r="BB26" i="34"/>
  <c r="BA26" i="34"/>
  <c r="AZ26" i="34"/>
  <c r="AY26" i="34"/>
  <c r="AX26" i="34"/>
  <c r="AW26" i="34"/>
  <c r="AV26" i="34"/>
  <c r="AU26" i="34"/>
  <c r="AT26" i="34"/>
  <c r="AS26" i="34"/>
  <c r="AR26" i="34"/>
  <c r="AQ26" i="34"/>
  <c r="AP26" i="34"/>
  <c r="AO26" i="34"/>
  <c r="AN26" i="34"/>
  <c r="AM26" i="34"/>
  <c r="AL26" i="34"/>
  <c r="AK26" i="34"/>
  <c r="AJ26" i="34"/>
  <c r="AI26" i="34"/>
  <c r="BJ25" i="34"/>
  <c r="BI25" i="34"/>
  <c r="BH25" i="34"/>
  <c r="BG25" i="34"/>
  <c r="BF25" i="34"/>
  <c r="BE25" i="34"/>
  <c r="BD25" i="34"/>
  <c r="BC25" i="34"/>
  <c r="BB25" i="34"/>
  <c r="BA25" i="34"/>
  <c r="AZ25" i="34"/>
  <c r="AY25" i="34"/>
  <c r="AX25" i="34"/>
  <c r="AW25" i="34"/>
  <c r="AV25" i="34"/>
  <c r="AU25" i="34"/>
  <c r="AT25" i="34"/>
  <c r="AS25" i="34"/>
  <c r="AR25" i="34"/>
  <c r="AQ25" i="34"/>
  <c r="AP25" i="34"/>
  <c r="AO25" i="34"/>
  <c r="AN25" i="34"/>
  <c r="AM25" i="34"/>
  <c r="AL25" i="34"/>
  <c r="AK25" i="34"/>
  <c r="AJ25" i="34"/>
  <c r="AI25" i="34"/>
  <c r="BJ24" i="34"/>
  <c r="BI24" i="34"/>
  <c r="BH24" i="34"/>
  <c r="BG24" i="34"/>
  <c r="BF24" i="34"/>
  <c r="BE24" i="34"/>
  <c r="BD24" i="34"/>
  <c r="BC24" i="34"/>
  <c r="BB24" i="34"/>
  <c r="BA24" i="34"/>
  <c r="AZ24" i="34"/>
  <c r="AY24" i="34"/>
  <c r="AX24" i="34"/>
  <c r="AW24" i="34"/>
  <c r="AV24" i="34"/>
  <c r="AU24" i="34"/>
  <c r="AT24" i="34"/>
  <c r="AS24" i="34"/>
  <c r="AR24" i="34"/>
  <c r="AQ24" i="34"/>
  <c r="AP24" i="34"/>
  <c r="AO24" i="34"/>
  <c r="AN24" i="34"/>
  <c r="AM24" i="34"/>
  <c r="AL24" i="34"/>
  <c r="AK24" i="34"/>
  <c r="AJ24" i="34"/>
  <c r="AI24" i="34"/>
  <c r="BJ23" i="34"/>
  <c r="BI23" i="34"/>
  <c r="BH23" i="34"/>
  <c r="BG23" i="34"/>
  <c r="BF23" i="34"/>
  <c r="BE23" i="34"/>
  <c r="BD23" i="34"/>
  <c r="BC23" i="34"/>
  <c r="BB23" i="34"/>
  <c r="BA23" i="34"/>
  <c r="AZ23" i="34"/>
  <c r="AY23" i="34"/>
  <c r="AX23" i="34"/>
  <c r="AW23" i="34"/>
  <c r="AV23" i="34"/>
  <c r="AU23" i="34"/>
  <c r="AT23" i="34"/>
  <c r="AS23" i="34"/>
  <c r="AR23" i="34"/>
  <c r="AQ23" i="34"/>
  <c r="AP23" i="34"/>
  <c r="AO23" i="34"/>
  <c r="AN23" i="34"/>
  <c r="AM23" i="34"/>
  <c r="AL23" i="34"/>
  <c r="AK23" i="34"/>
  <c r="AJ23" i="34"/>
  <c r="AI23" i="34"/>
  <c r="BJ22" i="34"/>
  <c r="BI22" i="34"/>
  <c r="BH22" i="34"/>
  <c r="BG22" i="34"/>
  <c r="BF22" i="34"/>
  <c r="BE22" i="34"/>
  <c r="BD22" i="34"/>
  <c r="BC22" i="34"/>
  <c r="BB22" i="34"/>
  <c r="BA22" i="34"/>
  <c r="AZ22" i="34"/>
  <c r="AY22" i="34"/>
  <c r="AX22" i="34"/>
  <c r="AW22" i="34"/>
  <c r="AV22" i="34"/>
  <c r="AU22" i="34"/>
  <c r="AT22" i="34"/>
  <c r="AS22" i="34"/>
  <c r="AR22" i="34"/>
  <c r="AQ22" i="34"/>
  <c r="AP22" i="34"/>
  <c r="AO22" i="34"/>
  <c r="AN22" i="34"/>
  <c r="AM22" i="34"/>
  <c r="AL22" i="34"/>
  <c r="AK22" i="34"/>
  <c r="AJ22" i="34"/>
  <c r="AI22" i="34"/>
  <c r="BJ21" i="34"/>
  <c r="BI21" i="34"/>
  <c r="BH21" i="34"/>
  <c r="BG21" i="34"/>
  <c r="BF21" i="34"/>
  <c r="BE21" i="34"/>
  <c r="BD21" i="34"/>
  <c r="BC21" i="34"/>
  <c r="BB21" i="34"/>
  <c r="BA21" i="34"/>
  <c r="AZ21" i="34"/>
  <c r="AY21" i="34"/>
  <c r="AX21" i="34"/>
  <c r="AW21" i="34"/>
  <c r="AV21" i="34"/>
  <c r="AU21" i="34"/>
  <c r="AT21" i="34"/>
  <c r="AS21" i="34"/>
  <c r="AR21" i="34"/>
  <c r="AQ21" i="34"/>
  <c r="AP21" i="34"/>
  <c r="AO21" i="34"/>
  <c r="AN21" i="34"/>
  <c r="AM21" i="34"/>
  <c r="AL21" i="34"/>
  <c r="AK21" i="34"/>
  <c r="AJ21" i="34"/>
  <c r="AI21" i="34"/>
  <c r="BJ20" i="34"/>
  <c r="BI20" i="34"/>
  <c r="BH20" i="34"/>
  <c r="BG20" i="34"/>
  <c r="BF20" i="34"/>
  <c r="BE20" i="34"/>
  <c r="BD20" i="34"/>
  <c r="BC20" i="34"/>
  <c r="BB20" i="34"/>
  <c r="BA20" i="34"/>
  <c r="AZ20" i="34"/>
  <c r="AY20" i="34"/>
  <c r="AX20" i="34"/>
  <c r="AW20" i="34"/>
  <c r="AV20" i="34"/>
  <c r="AU20" i="34"/>
  <c r="AT20" i="34"/>
  <c r="AS20" i="34"/>
  <c r="AR20" i="34"/>
  <c r="AQ20" i="34"/>
  <c r="AP20" i="34"/>
  <c r="AO20" i="34"/>
  <c r="AN20" i="34"/>
  <c r="AM20" i="34"/>
  <c r="AL20" i="34"/>
  <c r="AK20" i="34"/>
  <c r="AJ20" i="34"/>
  <c r="AI20" i="34"/>
  <c r="BJ19" i="34"/>
  <c r="BI19" i="34"/>
  <c r="BH19" i="34"/>
  <c r="BG19" i="34"/>
  <c r="BF19" i="34"/>
  <c r="BE19" i="34"/>
  <c r="BD19" i="34"/>
  <c r="BC19" i="34"/>
  <c r="BB19" i="34"/>
  <c r="BA19" i="34"/>
  <c r="AZ19" i="34"/>
  <c r="AY19" i="34"/>
  <c r="AX19" i="34"/>
  <c r="AW19" i="34"/>
  <c r="AV19" i="34"/>
  <c r="AU19" i="34"/>
  <c r="AT19" i="34"/>
  <c r="AS19" i="34"/>
  <c r="AR19" i="34"/>
  <c r="AQ19" i="34"/>
  <c r="AP19" i="34"/>
  <c r="AO19" i="34"/>
  <c r="AN19" i="34"/>
  <c r="AM19" i="34"/>
  <c r="AL19" i="34"/>
  <c r="AK19" i="34"/>
  <c r="AJ19" i="34"/>
  <c r="AI19" i="34"/>
  <c r="BJ18" i="34"/>
  <c r="BI18" i="34"/>
  <c r="BH18" i="34"/>
  <c r="BG18" i="34"/>
  <c r="BF18" i="34"/>
  <c r="BE18" i="34"/>
  <c r="BD18" i="34"/>
  <c r="BC18" i="34"/>
  <c r="BB18" i="34"/>
  <c r="BA18" i="34"/>
  <c r="AZ18" i="34"/>
  <c r="AY18" i="34"/>
  <c r="AX18" i="34"/>
  <c r="AW18" i="34"/>
  <c r="AV18" i="34"/>
  <c r="AU18" i="34"/>
  <c r="AT18" i="34"/>
  <c r="AS18" i="34"/>
  <c r="AR18" i="34"/>
  <c r="AQ18" i="34"/>
  <c r="AP18" i="34"/>
  <c r="AO18" i="34"/>
  <c r="AN18" i="34"/>
  <c r="AM18" i="34"/>
  <c r="AL18" i="34"/>
  <c r="AK18" i="34"/>
  <c r="AJ18" i="34"/>
  <c r="AI18" i="34"/>
  <c r="BJ17" i="34"/>
  <c r="BI17" i="34"/>
  <c r="BH17" i="34"/>
  <c r="BG17" i="34"/>
  <c r="BF17" i="34"/>
  <c r="BE17" i="34"/>
  <c r="BD17" i="34"/>
  <c r="BC17" i="34"/>
  <c r="BB17" i="34"/>
  <c r="BA17" i="34"/>
  <c r="AZ17" i="34"/>
  <c r="AY17" i="34"/>
  <c r="AX17" i="34"/>
  <c r="AW17" i="34"/>
  <c r="AV17" i="34"/>
  <c r="AU17" i="34"/>
  <c r="AT17" i="34"/>
  <c r="AS17" i="34"/>
  <c r="AR17" i="34"/>
  <c r="AQ17" i="34"/>
  <c r="AP17" i="34"/>
  <c r="AO17" i="34"/>
  <c r="AN17" i="34"/>
  <c r="AM17" i="34"/>
  <c r="AL17" i="34"/>
  <c r="AK17" i="34"/>
  <c r="AJ17" i="34"/>
  <c r="AI17" i="34"/>
  <c r="BJ16" i="34"/>
  <c r="BI16" i="34"/>
  <c r="BH16" i="34"/>
  <c r="BG16" i="34"/>
  <c r="BF16" i="34"/>
  <c r="BE16" i="34"/>
  <c r="BD16" i="34"/>
  <c r="BC16" i="34"/>
  <c r="BB16" i="34"/>
  <c r="BA16" i="34"/>
  <c r="AZ16" i="34"/>
  <c r="AY16" i="34"/>
  <c r="AX16" i="34"/>
  <c r="AW16" i="34"/>
  <c r="AV16" i="34"/>
  <c r="AU16" i="34"/>
  <c r="AT16" i="34"/>
  <c r="AS16" i="34"/>
  <c r="AR16" i="34"/>
  <c r="AQ16" i="34"/>
  <c r="AP16" i="34"/>
  <c r="AO16" i="34"/>
  <c r="AN16" i="34"/>
  <c r="AM16" i="34"/>
  <c r="AL16" i="34"/>
  <c r="AK16" i="34"/>
  <c r="AJ16" i="34"/>
  <c r="AI16" i="34"/>
  <c r="BJ15" i="34"/>
  <c r="BI15" i="34"/>
  <c r="BH15" i="34"/>
  <c r="BG15" i="34"/>
  <c r="BF15" i="34"/>
  <c r="BE15" i="34"/>
  <c r="BD15" i="34"/>
  <c r="BC15" i="34"/>
  <c r="BB15" i="34"/>
  <c r="BA15" i="34"/>
  <c r="AZ15" i="34"/>
  <c r="AY15" i="34"/>
  <c r="AX15" i="34"/>
  <c r="AW15" i="34"/>
  <c r="AV15" i="34"/>
  <c r="AU15" i="34"/>
  <c r="AT15" i="34"/>
  <c r="AS15" i="34"/>
  <c r="AR15" i="34"/>
  <c r="AQ15" i="34"/>
  <c r="AP15" i="34"/>
  <c r="AO15" i="34"/>
  <c r="AN15" i="34"/>
  <c r="AM15" i="34"/>
  <c r="AL15" i="34"/>
  <c r="AK15" i="34"/>
  <c r="AJ15" i="34"/>
  <c r="AI15" i="34"/>
  <c r="BJ14" i="34"/>
  <c r="BI14" i="34"/>
  <c r="BH14" i="34"/>
  <c r="BG14" i="34"/>
  <c r="BF14" i="34"/>
  <c r="BE14" i="34"/>
  <c r="BD14" i="34"/>
  <c r="BC14" i="34"/>
  <c r="BB14" i="34"/>
  <c r="BA14" i="34"/>
  <c r="AZ14" i="34"/>
  <c r="AY14" i="34"/>
  <c r="AX14" i="34"/>
  <c r="AW14" i="34"/>
  <c r="AV14" i="34"/>
  <c r="AU14" i="34"/>
  <c r="AT14" i="34"/>
  <c r="AS14" i="34"/>
  <c r="AR14" i="34"/>
  <c r="AQ14" i="34"/>
  <c r="AP14" i="34"/>
  <c r="AO14" i="34"/>
  <c r="AN14" i="34"/>
  <c r="AM14" i="34"/>
  <c r="AL14" i="34"/>
  <c r="AK14" i="34"/>
  <c r="AJ14" i="34"/>
  <c r="AI14" i="34"/>
  <c r="BJ13" i="34"/>
  <c r="BI13" i="34"/>
  <c r="BH13" i="34"/>
  <c r="BG13" i="34"/>
  <c r="BF13" i="34"/>
  <c r="BE13" i="34"/>
  <c r="BD13" i="34"/>
  <c r="BC13" i="34"/>
  <c r="BB13" i="34"/>
  <c r="BA13" i="34"/>
  <c r="AZ13" i="34"/>
  <c r="AY13" i="34"/>
  <c r="AX13" i="34"/>
  <c r="AW13" i="34"/>
  <c r="AV13" i="34"/>
  <c r="AU13" i="34"/>
  <c r="AT13" i="34"/>
  <c r="AS13" i="34"/>
  <c r="AR13" i="34"/>
  <c r="AQ13" i="34"/>
  <c r="AP13" i="34"/>
  <c r="AO13" i="34"/>
  <c r="AN13" i="34"/>
  <c r="AM13" i="34"/>
  <c r="AL13" i="34"/>
  <c r="AK13" i="34"/>
  <c r="AJ13" i="34"/>
  <c r="AI13" i="34"/>
  <c r="BJ12" i="34"/>
  <c r="BI12" i="34"/>
  <c r="BH12" i="34"/>
  <c r="BG12" i="34"/>
  <c r="BF12" i="34"/>
  <c r="BE12" i="34"/>
  <c r="BD12" i="34"/>
  <c r="BC12" i="34"/>
  <c r="BB12" i="34"/>
  <c r="BA12" i="34"/>
  <c r="AZ12" i="34"/>
  <c r="AY12" i="34"/>
  <c r="AX12" i="34"/>
  <c r="AW12" i="34"/>
  <c r="AV12" i="34"/>
  <c r="AU12" i="34"/>
  <c r="AT12" i="34"/>
  <c r="AS12" i="34"/>
  <c r="AR12" i="34"/>
  <c r="AQ12" i="34"/>
  <c r="AP12" i="34"/>
  <c r="AO12" i="34"/>
  <c r="AN12" i="34"/>
  <c r="AM12" i="34"/>
  <c r="AL12" i="34"/>
  <c r="AK12" i="34"/>
  <c r="AJ12" i="34"/>
  <c r="AI12" i="34"/>
  <c r="BJ11" i="34"/>
  <c r="BI11" i="34"/>
  <c r="BH11" i="34"/>
  <c r="BG11" i="34"/>
  <c r="BF11" i="34"/>
  <c r="BE11" i="34"/>
  <c r="BD11" i="34"/>
  <c r="BC11" i="34"/>
  <c r="BB11" i="34"/>
  <c r="BA11" i="34"/>
  <c r="AZ11" i="34"/>
  <c r="AY11" i="34"/>
  <c r="AX11" i="34"/>
  <c r="AW11" i="34"/>
  <c r="AV11" i="34"/>
  <c r="AU11" i="34"/>
  <c r="AT11" i="34"/>
  <c r="AS11" i="34"/>
  <c r="AR11" i="34"/>
  <c r="AQ11" i="34"/>
  <c r="AP11" i="34"/>
  <c r="AO11" i="34"/>
  <c r="AN11" i="34"/>
  <c r="AM11" i="34"/>
  <c r="AL11" i="34"/>
  <c r="AK11" i="34"/>
  <c r="AJ11" i="34"/>
  <c r="AI11" i="34"/>
  <c r="BJ10" i="34"/>
  <c r="BI10" i="34"/>
  <c r="BH10" i="34"/>
  <c r="BG10" i="34"/>
  <c r="BF10" i="34"/>
  <c r="BE10" i="34"/>
  <c r="BD10" i="34"/>
  <c r="BC10" i="34"/>
  <c r="BB10" i="34"/>
  <c r="BA10" i="34"/>
  <c r="AZ10" i="34"/>
  <c r="AY10" i="34"/>
  <c r="AX10" i="34"/>
  <c r="AW10" i="34"/>
  <c r="AV10" i="34"/>
  <c r="AU10" i="34"/>
  <c r="AT10" i="34"/>
  <c r="AS10" i="34"/>
  <c r="AR10" i="34"/>
  <c r="AQ10" i="34"/>
  <c r="AP10" i="34"/>
  <c r="AO10" i="34"/>
  <c r="AN10" i="34"/>
  <c r="AM10" i="34"/>
  <c r="AL10" i="34"/>
  <c r="AK10" i="34"/>
  <c r="AJ10" i="34"/>
  <c r="AI10" i="34"/>
  <c r="BJ9" i="34"/>
  <c r="BI9" i="34"/>
  <c r="BH9" i="34"/>
  <c r="BG9" i="34"/>
  <c r="BF9" i="34"/>
  <c r="BE9" i="34"/>
  <c r="BD9" i="34"/>
  <c r="BC9" i="34"/>
  <c r="BB9" i="34"/>
  <c r="BA9" i="34"/>
  <c r="AZ9" i="34"/>
  <c r="AY9" i="34"/>
  <c r="AX9" i="34"/>
  <c r="AW9" i="34"/>
  <c r="AV9" i="34"/>
  <c r="AU9" i="34"/>
  <c r="AT9" i="34"/>
  <c r="AS9" i="34"/>
  <c r="AR9" i="34"/>
  <c r="AQ9" i="34"/>
  <c r="AP9" i="34"/>
  <c r="AO9" i="34"/>
  <c r="AN9" i="34"/>
  <c r="AM9" i="34"/>
  <c r="AL9" i="34"/>
  <c r="AK9" i="34"/>
  <c r="AJ9" i="34"/>
  <c r="AI9" i="34"/>
  <c r="BJ8" i="34"/>
  <c r="BI8" i="34"/>
  <c r="BH8" i="34"/>
  <c r="BG8" i="34"/>
  <c r="BF8" i="34"/>
  <c r="BE8" i="34"/>
  <c r="BD8" i="34"/>
  <c r="BC8" i="34"/>
  <c r="BB8" i="34"/>
  <c r="BA8" i="34"/>
  <c r="AZ8" i="34"/>
  <c r="AY8" i="34"/>
  <c r="AX8" i="34"/>
  <c r="AW8" i="34"/>
  <c r="AV8" i="34"/>
  <c r="AU8" i="34"/>
  <c r="AT8" i="34"/>
  <c r="AS8" i="34"/>
  <c r="AR8" i="34"/>
  <c r="AQ8" i="34"/>
  <c r="AP8" i="34"/>
  <c r="AO8" i="34"/>
  <c r="AN8" i="34"/>
  <c r="AM8" i="34"/>
  <c r="AL8" i="34"/>
  <c r="AK8" i="34"/>
  <c r="AJ8" i="34"/>
  <c r="AI8" i="34"/>
  <c r="BJ7" i="34"/>
  <c r="AD52" i="34" s="1"/>
  <c r="BI7" i="34"/>
  <c r="AC52" i="34" s="1"/>
  <c r="BH7" i="34"/>
  <c r="AB52" i="34" s="1"/>
  <c r="BG7" i="34"/>
  <c r="AA52" i="34" s="1"/>
  <c r="BF7" i="34"/>
  <c r="Z52" i="34" s="1"/>
  <c r="BE7" i="34"/>
  <c r="Y52" i="34" s="1"/>
  <c r="BD7" i="34"/>
  <c r="X52" i="34" s="1"/>
  <c r="BC7" i="34"/>
  <c r="W52" i="34" s="1"/>
  <c r="BB7" i="34"/>
  <c r="V52" i="34" s="1"/>
  <c r="BA7" i="34"/>
  <c r="U52" i="34" s="1"/>
  <c r="AZ7" i="34"/>
  <c r="T52" i="34" s="1"/>
  <c r="AY7" i="34"/>
  <c r="S52" i="34" s="1"/>
  <c r="AX7" i="34"/>
  <c r="R52" i="34" s="1"/>
  <c r="AW7" i="34"/>
  <c r="Q52" i="34" s="1"/>
  <c r="AV7" i="34"/>
  <c r="P52" i="34" s="1"/>
  <c r="AU7" i="34"/>
  <c r="O52" i="34" s="1"/>
  <c r="AT7" i="34"/>
  <c r="N52" i="34" s="1"/>
  <c r="AS7" i="34"/>
  <c r="M52" i="34" s="1"/>
  <c r="AR7" i="34"/>
  <c r="L52" i="34" s="1"/>
  <c r="AQ7" i="34"/>
  <c r="K52" i="34" s="1"/>
  <c r="AP7" i="34"/>
  <c r="J52" i="34" s="1"/>
  <c r="AO7" i="34"/>
  <c r="I52" i="34" s="1"/>
  <c r="AN7" i="34"/>
  <c r="H52" i="34" s="1"/>
  <c r="AM7" i="34"/>
  <c r="G52" i="34" s="1"/>
  <c r="AL7" i="34"/>
  <c r="F52" i="34" s="1"/>
  <c r="AK7" i="34"/>
  <c r="E52" i="34" s="1"/>
  <c r="AJ7" i="34"/>
  <c r="D52" i="34" s="1"/>
  <c r="AI7" i="34"/>
  <c r="C52" i="34" s="1"/>
  <c r="P58" i="37" l="1"/>
  <c r="P59" i="37" s="1"/>
  <c r="T58" i="37"/>
  <c r="T59" i="37" s="1"/>
  <c r="X58" i="37"/>
  <c r="X59" i="37" s="1"/>
  <c r="Q58" i="37"/>
  <c r="Q59" i="37" s="1"/>
  <c r="U58" i="37"/>
  <c r="U59" i="37" s="1"/>
  <c r="Y58" i="37"/>
  <c r="Y59" i="37" s="1"/>
  <c r="O63" i="36"/>
  <c r="O64" i="36" s="1"/>
  <c r="S63" i="36"/>
  <c r="S64" i="36" s="1"/>
  <c r="W63" i="36"/>
  <c r="W64" i="36" s="1"/>
  <c r="AA63" i="36"/>
  <c r="AA64" i="36" s="1"/>
  <c r="P63" i="36"/>
  <c r="P64" i="36" s="1"/>
  <c r="T63" i="36"/>
  <c r="T64" i="36" s="1"/>
  <c r="X63" i="36"/>
  <c r="X64" i="36" s="1"/>
</calcChain>
</file>

<file path=xl/comments1.xml><?xml version="1.0" encoding="utf-8"?>
<comments xmlns="http://schemas.openxmlformats.org/spreadsheetml/2006/main">
  <authors>
    <author>JEMA</author>
  </authors>
  <commentList>
    <comment ref="D7" authorId="0" shapeId="0">
      <text>
        <r>
          <rPr>
            <b/>
            <sz val="9"/>
            <color indexed="81"/>
            <rFont val="Tahoma"/>
            <family val="2"/>
          </rPr>
          <t>JEMA:</t>
        </r>
        <r>
          <rPr>
            <sz val="9"/>
            <color indexed="81"/>
            <rFont val="Tahoma"/>
            <family val="2"/>
          </rPr>
          <t xml:space="preserve">
NPL uses a calibrated capacitor for frequencies below 20 Hz (19.95 Hz) and a set of calibrated resistors at 20 Hz and above. The uncertainty components associated with the resistance and capacitance are therefore correlated in two separate frequency ranges:  2 Hz - 16 Hz and 20 Hz - 10 kHz .</t>
        </r>
      </text>
    </comment>
    <comment ref="W55" authorId="0" shapeId="0">
      <text>
        <r>
          <rPr>
            <b/>
            <sz val="9"/>
            <color indexed="81"/>
            <rFont val="Tahoma"/>
            <family val="2"/>
          </rPr>
          <t>JEMA:</t>
        </r>
        <r>
          <rPr>
            <sz val="9"/>
            <color indexed="81"/>
            <rFont val="Tahoma"/>
            <family val="2"/>
          </rPr>
          <t xml:space="preserve">
The frequency uncertainty component considers the effect of the frequency being inaccuarte by a small amount. This uncertainty is considered </t>
        </r>
        <r>
          <rPr>
            <b/>
            <sz val="9"/>
            <color indexed="81"/>
            <rFont val="Tahoma"/>
            <family val="2"/>
          </rPr>
          <t>uncorrelated</t>
        </r>
        <r>
          <rPr>
            <sz val="9"/>
            <color indexed="81"/>
            <rFont val="Tahoma"/>
            <family val="2"/>
          </rPr>
          <t xml:space="preserve"> for two reasons: 
There is no relationship between the frequency inaccuracy at different frequencies. 
The size of the effect on the microphone sensitivity also depends on the gradient of the microphone's sensitivity curve at the frequency in question. The gradient varies significantly with frequency.
Therefore we can expect the size of the error due to this uncertainty component to vary randomly with frequency.</t>
        </r>
      </text>
    </comment>
    <comment ref="W65" authorId="0" shapeId="0">
      <text>
        <r>
          <rPr>
            <b/>
            <sz val="9"/>
            <color indexed="81"/>
            <rFont val="Tahoma"/>
            <family val="2"/>
          </rPr>
          <t>JEMA:</t>
        </r>
        <r>
          <rPr>
            <sz val="9"/>
            <color indexed="81"/>
            <rFont val="Tahoma"/>
            <family val="2"/>
          </rPr>
          <t xml:space="preserve">
A single value for Front Cavity Volume is used in the calculation of the microphone sensitivity at every frequency, so this uncertainty is </t>
        </r>
        <r>
          <rPr>
            <b/>
            <sz val="9"/>
            <color indexed="81"/>
            <rFont val="Tahoma"/>
            <family val="2"/>
          </rPr>
          <t>correlated</t>
        </r>
        <r>
          <rPr>
            <sz val="9"/>
            <color indexed="81"/>
            <rFont val="Tahoma"/>
            <family val="2"/>
          </rPr>
          <t xml:space="preserve"> across frequencies even though it is a type A uncertainty.</t>
        </r>
      </text>
    </comment>
  </commentList>
</comments>
</file>

<file path=xl/comments2.xml><?xml version="1.0" encoding="utf-8"?>
<comments xmlns="http://schemas.openxmlformats.org/spreadsheetml/2006/main">
  <authors>
    <author>JEMA</author>
  </authors>
  <commentList>
    <comment ref="D7" authorId="0" shapeId="0">
      <text>
        <r>
          <rPr>
            <b/>
            <sz val="9"/>
            <color indexed="81"/>
            <rFont val="Tahoma"/>
            <family val="2"/>
          </rPr>
          <t>JEMA:</t>
        </r>
        <r>
          <rPr>
            <sz val="9"/>
            <color indexed="81"/>
            <rFont val="Tahoma"/>
            <family val="2"/>
          </rPr>
          <t xml:space="preserve">
NPL uses a calibrated capacitor for frequencies below 20 Hz (19.95 Hz) and a set of calibrated resistors at 20 Hz and above. The uncertainty components associated with the resistance and capacitance are therefore correlated in two separate frequency ranges:  2 Hz - 16 Hz and 20 Hz - 10 kHz .</t>
        </r>
      </text>
    </comment>
    <comment ref="W55" authorId="0" shapeId="0">
      <text>
        <r>
          <rPr>
            <b/>
            <sz val="9"/>
            <color indexed="81"/>
            <rFont val="Tahoma"/>
            <family val="2"/>
          </rPr>
          <t>JEMA:</t>
        </r>
        <r>
          <rPr>
            <sz val="9"/>
            <color indexed="81"/>
            <rFont val="Tahoma"/>
            <family val="2"/>
          </rPr>
          <t xml:space="preserve">
The frequency uncertainty component considers the effect of the frequency being inaccuarte by a small amount. This uncertainty is considered</t>
        </r>
        <r>
          <rPr>
            <b/>
            <sz val="9"/>
            <color indexed="81"/>
            <rFont val="Tahoma"/>
            <family val="2"/>
          </rPr>
          <t xml:space="preserve"> uncorrelated</t>
        </r>
        <r>
          <rPr>
            <sz val="9"/>
            <color indexed="81"/>
            <rFont val="Tahoma"/>
            <family val="2"/>
          </rPr>
          <t xml:space="preserve"> for two reasons: 
There is no relationship between the frequency inaccuracy at different frequencies. 
The size of the effect on the microphone sensitivity also depends on the gradient of the microphone's sensitivity curve at the frequency in question. The gradient varies significantly with frequency.
Therefore we can expect the size of the error due to this uncertainty component to vary randomly with frequency.</t>
        </r>
      </text>
    </comment>
    <comment ref="W65" authorId="0" shapeId="0">
      <text>
        <r>
          <rPr>
            <b/>
            <sz val="9"/>
            <color indexed="81"/>
            <rFont val="Tahoma"/>
            <family val="2"/>
          </rPr>
          <t>JEMA:</t>
        </r>
        <r>
          <rPr>
            <sz val="9"/>
            <color indexed="81"/>
            <rFont val="Tahoma"/>
            <family val="2"/>
          </rPr>
          <t xml:space="preserve">
A single value for Front Cavity Volume is used in the calculation of the microphone sensitivity at every frequency, so this uncertainty is </t>
        </r>
        <r>
          <rPr>
            <b/>
            <sz val="9"/>
            <color indexed="81"/>
            <rFont val="Tahoma"/>
            <family val="2"/>
          </rPr>
          <t>correlated</t>
        </r>
        <r>
          <rPr>
            <sz val="9"/>
            <color indexed="81"/>
            <rFont val="Tahoma"/>
            <family val="2"/>
          </rPr>
          <t xml:space="preserve"> across frequencies even though it is a type A uncertainty.</t>
        </r>
      </text>
    </comment>
  </commentList>
</comments>
</file>

<file path=xl/sharedStrings.xml><?xml version="1.0" encoding="utf-8"?>
<sst xmlns="http://schemas.openxmlformats.org/spreadsheetml/2006/main" count="4862" uniqueCount="1217">
  <si>
    <t>Valid for coupler UA1429</t>
  </si>
  <si>
    <t>COMPONENTS OF TYPE B UNCERTAINTY EXPRESSED AS SEMI-RANGES  (10-4 dB)</t>
  </si>
  <si>
    <t>SOURCE</t>
  </si>
  <si>
    <t>Frequency (Hz)</t>
  </si>
  <si>
    <t>Rectangular distribution applies unless stated</t>
  </si>
  <si>
    <t>1k</t>
  </si>
  <si>
    <t>2k</t>
  </si>
  <si>
    <t>2.5k</t>
  </si>
  <si>
    <t>3.15k</t>
  </si>
  <si>
    <t>4k</t>
  </si>
  <si>
    <t>5k</t>
  </si>
  <si>
    <t>6.3k</t>
  </si>
  <si>
    <t>8k</t>
  </si>
  <si>
    <t>10k</t>
  </si>
  <si>
    <t>Resistor Box Accuracy - Resistance</t>
  </si>
  <si>
    <t>Resistor Box Accuracy - Capacitor</t>
  </si>
  <si>
    <t>Stray Capacitance</t>
  </si>
  <si>
    <t>Non Linearity</t>
  </si>
  <si>
    <t>Radius of Coupler</t>
  </si>
  <si>
    <t>Velocity of Sound (dry air)</t>
  </si>
  <si>
    <t>Ratio of Specific Heats</t>
  </si>
  <si>
    <t>Ambient Pressure</t>
  </si>
  <si>
    <t>Density of air</t>
  </si>
  <si>
    <t>Length of Coupler</t>
  </si>
  <si>
    <t>Cavity Depth</t>
  </si>
  <si>
    <t>Front Cavity Volume</t>
  </si>
  <si>
    <t>Theory of Adding Volume * 0.5</t>
  </si>
  <si>
    <t>Compliance</t>
  </si>
  <si>
    <t>Mass</t>
  </si>
  <si>
    <t>Resistance</t>
  </si>
  <si>
    <t>Heat Conduction Theory (see note)</t>
  </si>
  <si>
    <t>Thermal Diffusivity</t>
  </si>
  <si>
    <t>Thread Correction</t>
  </si>
  <si>
    <t>Capillary Radius</t>
  </si>
  <si>
    <t>Air Viscosity</t>
  </si>
  <si>
    <t>Humidity Determination</t>
  </si>
  <si>
    <t>Polarising Voltage</t>
  </si>
  <si>
    <t>Temperature</t>
  </si>
  <si>
    <t>Pressure Radial Non-Unif</t>
  </si>
  <si>
    <t>Mic. Temp. Dependence</t>
  </si>
  <si>
    <t>Mic. Press. Dependence</t>
  </si>
  <si>
    <t>Transmitter Ground Shield</t>
  </si>
  <si>
    <t>Receiver Ground Shield</t>
  </si>
  <si>
    <t>Rounding Error</t>
  </si>
  <si>
    <t>Frequency</t>
  </si>
  <si>
    <t>ESTIMATE OF S.D. (sB)</t>
  </si>
  <si>
    <t>sB = [S (a2/3)]1/2</t>
  </si>
  <si>
    <t>COMPONENTS OF TYPE A UNCERTAINTY EXPRESSED AS STANDARD DEVIATIONS  (10-4 dB)</t>
  </si>
  <si>
    <t>Normal distribution with n®¥ applies unless stated</t>
  </si>
  <si>
    <t>Allowed Repeatability</t>
  </si>
  <si>
    <t>ESTIMATE OF S.D. (sA)</t>
  </si>
  <si>
    <t>sA = [S (a2)]1/2</t>
  </si>
  <si>
    <t>OVERALL UNCERTAINTY (10-4 dB)</t>
  </si>
  <si>
    <t>Type B at k=2  (2s B)</t>
  </si>
  <si>
    <t>Type A at k=2  (2s A)</t>
  </si>
  <si>
    <t>Overall Uncertainty at k=2</t>
  </si>
  <si>
    <t>s = 2(sA2+sB2)1/2</t>
  </si>
  <si>
    <t>Quote (dB)</t>
  </si>
  <si>
    <t>COMPONENTS OF TYPE B UNCERTAINTY EXPRESSED AS SEMI-RANGES  (10-4 degrees)</t>
  </si>
  <si>
    <t xml:space="preserve"> </t>
  </si>
  <si>
    <t>COMPONENTS OF TYPE A UNCERTAINTY EXPRESSED AS SEMI-RANGES  (10-4 degrees)</t>
  </si>
  <si>
    <t>Quote (degrees)</t>
  </si>
  <si>
    <t>Unit</t>
  </si>
  <si>
    <t>dB</t>
  </si>
  <si>
    <t>°</t>
  </si>
  <si>
    <t>relative</t>
  </si>
  <si>
    <t>m</t>
  </si>
  <si>
    <t>Coupler diameter</t>
  </si>
  <si>
    <t>Pa</t>
  </si>
  <si>
    <t>Hz</t>
  </si>
  <si>
    <t>Loss factor</t>
  </si>
  <si>
    <t>Polarization voltage</t>
  </si>
  <si>
    <t>V</t>
  </si>
  <si>
    <t>dB/kPa</t>
  </si>
  <si>
    <t>Reproducibility</t>
  </si>
  <si>
    <t>0,05</t>
  </si>
  <si>
    <t>8,7</t>
  </si>
  <si>
    <t>8,91</t>
  </si>
  <si>
    <t>0,3</t>
  </si>
  <si>
    <t>0,5</t>
  </si>
  <si>
    <t>0,06</t>
  </si>
  <si>
    <t>0,07</t>
  </si>
  <si>
    <t>0,08</t>
  </si>
  <si>
    <t>0,1</t>
  </si>
  <si>
    <t>0,13</t>
  </si>
  <si>
    <t>0,4</t>
  </si>
  <si>
    <t>0,39</t>
  </si>
  <si>
    <t>0,38</t>
  </si>
  <si>
    <t>0,37</t>
  </si>
  <si>
    <t>0,35</t>
  </si>
  <si>
    <t>0,32</t>
  </si>
  <si>
    <t>0,27</t>
  </si>
  <si>
    <t>0,18</t>
  </si>
  <si>
    <t>0,01</t>
  </si>
  <si>
    <t>0,15</t>
  </si>
  <si>
    <t>0,04</t>
  </si>
  <si>
    <t>0,03</t>
  </si>
  <si>
    <t>0,02</t>
  </si>
  <si>
    <t>0,12</t>
  </si>
  <si>
    <t>0,11</t>
  </si>
  <si>
    <t>0,20</t>
  </si>
  <si>
    <t>0,21</t>
  </si>
  <si>
    <t>0,2</t>
  </si>
  <si>
    <t>0,19</t>
  </si>
  <si>
    <t>0,17</t>
  </si>
  <si>
    <t>0,24</t>
  </si>
  <si>
    <t>0,26</t>
  </si>
  <si>
    <t>0,22</t>
  </si>
  <si>
    <t>0,09</t>
  </si>
  <si>
    <t>0,31</t>
  </si>
  <si>
    <t>0,14</t>
  </si>
  <si>
    <t>0,23</t>
  </si>
  <si>
    <t>0,6</t>
  </si>
  <si>
    <t>1,05</t>
  </si>
  <si>
    <t>1,18</t>
  </si>
  <si>
    <t>0,16</t>
  </si>
  <si>
    <t>1,96</t>
  </si>
  <si>
    <t>1,2</t>
  </si>
  <si>
    <t>0,46</t>
  </si>
  <si>
    <t>2,37</t>
  </si>
  <si>
    <t>2,76</t>
  </si>
  <si>
    <t>1,63</t>
  </si>
  <si>
    <t>0,62</t>
  </si>
  <si>
    <t>0,44</t>
  </si>
  <si>
    <t>0,49</t>
  </si>
  <si>
    <t>1,21</t>
  </si>
  <si>
    <t>0,73</t>
  </si>
  <si>
    <t>0,52</t>
  </si>
  <si>
    <t>0,41</t>
  </si>
  <si>
    <t>0,29</t>
  </si>
  <si>
    <t>0,34</t>
  </si>
  <si>
    <t>0,54</t>
  </si>
  <si>
    <t>3,08</t>
  </si>
  <si>
    <t>0,28</t>
  </si>
  <si>
    <t>0,83</t>
  </si>
  <si>
    <t>0,33</t>
  </si>
  <si>
    <t>0,36</t>
  </si>
  <si>
    <t>0,43</t>
  </si>
  <si>
    <t>0,89</t>
  </si>
  <si>
    <t>1,60</t>
  </si>
  <si>
    <t>2,8</t>
  </si>
  <si>
    <t>2,0</t>
  </si>
  <si>
    <t>1,6</t>
  </si>
  <si>
    <t>1,4</t>
  </si>
  <si>
    <t>1,3</t>
  </si>
  <si>
    <t>1,7</t>
  </si>
  <si>
    <t>2,5</t>
  </si>
  <si>
    <t>4,4</t>
  </si>
  <si>
    <t>1,42</t>
  </si>
  <si>
    <t>1,27</t>
  </si>
  <si>
    <t>1,14</t>
  </si>
  <si>
    <t>1,59</t>
  </si>
  <si>
    <t>2,96</t>
  </si>
  <si>
    <t>3,61</t>
  </si>
  <si>
    <t>5,52</t>
  </si>
  <si>
    <t>0,96</t>
  </si>
  <si>
    <t>0,65</t>
  </si>
  <si>
    <t>0,92</t>
  </si>
  <si>
    <t>2,30</t>
  </si>
  <si>
    <t>1,5</t>
  </si>
  <si>
    <t>1,25</t>
  </si>
  <si>
    <t>1,75</t>
  </si>
  <si>
    <t>6,4</t>
  </si>
  <si>
    <t>2,4</t>
  </si>
  <si>
    <t>1,1</t>
  </si>
  <si>
    <t>2,3</t>
  </si>
  <si>
    <t>3,1</t>
  </si>
  <si>
    <t>12,01</t>
  </si>
  <si>
    <t>1,55</t>
  </si>
  <si>
    <t>1,07</t>
  </si>
  <si>
    <t>1,06</t>
  </si>
  <si>
    <t>1,50</t>
  </si>
  <si>
    <t>1,80</t>
  </si>
  <si>
    <t>11,23</t>
  </si>
  <si>
    <t>11,21</t>
  </si>
  <si>
    <t>11,04</t>
  </si>
  <si>
    <t>10,92</t>
  </si>
  <si>
    <t>1,37</t>
  </si>
  <si>
    <t>1,83</t>
  </si>
  <si>
    <t>4,61</t>
  </si>
  <si>
    <t>2,13</t>
  </si>
  <si>
    <t>2,10</t>
  </si>
  <si>
    <t>8,3</t>
  </si>
  <si>
    <t>6,7</t>
  </si>
  <si>
    <t>6,8</t>
  </si>
  <si>
    <t>33,5</t>
  </si>
  <si>
    <t>11,47</t>
  </si>
  <si>
    <t>2,69</t>
  </si>
  <si>
    <t>2,51</t>
  </si>
  <si>
    <t>2,61</t>
  </si>
  <si>
    <t>3,22</t>
  </si>
  <si>
    <t>4,00</t>
  </si>
  <si>
    <t>1,46</t>
  </si>
  <si>
    <t>0,55</t>
  </si>
  <si>
    <t>0,48</t>
  </si>
  <si>
    <t>2,62</t>
  </si>
  <si>
    <t>0,94</t>
  </si>
  <si>
    <t>1,9</t>
  </si>
  <si>
    <t>0,84</t>
  </si>
  <si>
    <t>3,12</t>
  </si>
  <si>
    <t>5,7</t>
  </si>
  <si>
    <t>3,68</t>
  </si>
  <si>
    <t>0,9</t>
  </si>
  <si>
    <t>1,8</t>
  </si>
  <si>
    <t>3,58</t>
  </si>
  <si>
    <t>12,2</t>
  </si>
  <si>
    <t>13,5</t>
  </si>
  <si>
    <t>23,3</t>
  </si>
  <si>
    <t>12,28</t>
  </si>
  <si>
    <t>3,66</t>
  </si>
  <si>
    <t>4,3</t>
  </si>
  <si>
    <t>0,8</t>
  </si>
  <si>
    <t>0,77</t>
  </si>
  <si>
    <t>0,88</t>
  </si>
  <si>
    <t>0,7</t>
  </si>
  <si>
    <t>2,2</t>
  </si>
  <si>
    <t>1,0</t>
  </si>
  <si>
    <t>Coupler Length</t>
  </si>
  <si>
    <t>Static Pressure</t>
  </si>
  <si>
    <t>Front Cavity Depth</t>
  </si>
  <si>
    <t>Equivalent Volume</t>
  </si>
  <si>
    <t>Resonance Frequency</t>
  </si>
  <si>
    <t>Repeatability</t>
  </si>
  <si>
    <t>Table I. Uncertainty for 4160.811012. Frequency range 20 Hz to 500 Hz.</t>
  </si>
  <si>
    <t>19,95</t>
  </si>
  <si>
    <t>25,12</t>
  </si>
  <si>
    <t>31,62</t>
  </si>
  <si>
    <t>39,81</t>
  </si>
  <si>
    <t>50,12</t>
  </si>
  <si>
    <t>63,10</t>
  </si>
  <si>
    <t>79,43</t>
  </si>
  <si>
    <t>100,00</t>
  </si>
  <si>
    <t>125,89</t>
  </si>
  <si>
    <t>158,49</t>
  </si>
  <si>
    <t>199,53</t>
  </si>
  <si>
    <t>251,19</t>
  </si>
  <si>
    <t>316,23</t>
  </si>
  <si>
    <t>398,11</t>
  </si>
  <si>
    <t>501,19</t>
  </si>
  <si>
    <t>Damping</t>
  </si>
  <si>
    <t>dB 10-3</t>
  </si>
  <si>
    <t>0,00</t>
  </si>
  <si>
    <t>8,71</t>
  </si>
  <si>
    <t>8,76</t>
  </si>
  <si>
    <t>8,81</t>
  </si>
  <si>
    <t>8,84</t>
  </si>
  <si>
    <t>8,88</t>
  </si>
  <si>
    <t>8,94</t>
  </si>
  <si>
    <t>8,96</t>
  </si>
  <si>
    <t>8,98</t>
  </si>
  <si>
    <t>9,00</t>
  </si>
  <si>
    <t>9,02</t>
  </si>
  <si>
    <t>9,03</t>
  </si>
  <si>
    <t>9,04</t>
  </si>
  <si>
    <t>9,05</t>
  </si>
  <si>
    <t>9,06</t>
  </si>
  <si>
    <t>Series impedance</t>
  </si>
  <si>
    <t>2,77</t>
  </si>
  <si>
    <t>2,78</t>
  </si>
  <si>
    <t>2,31</t>
  </si>
  <si>
    <t>1,85</t>
  </si>
  <si>
    <t>1,10</t>
  </si>
  <si>
    <t>0,30</t>
  </si>
  <si>
    <t>0,10</t>
  </si>
  <si>
    <t>Front cavity Volume</t>
  </si>
  <si>
    <t>3,56</t>
  </si>
  <si>
    <t>3,60</t>
  </si>
  <si>
    <t>3,63</t>
  </si>
  <si>
    <t>3,64</t>
  </si>
  <si>
    <t>3,65</t>
  </si>
  <si>
    <t>3,67</t>
  </si>
  <si>
    <t>3,69</t>
  </si>
  <si>
    <t>3,70</t>
  </si>
  <si>
    <t>Correction to ref. Conditions</t>
  </si>
  <si>
    <t>3,38</t>
  </si>
  <si>
    <t>3,39</t>
  </si>
  <si>
    <t>Polarisation Voltage</t>
  </si>
  <si>
    <t>Crosstalk&amp;noise</t>
  </si>
  <si>
    <t>0,45</t>
  </si>
  <si>
    <t>Linearity</t>
  </si>
  <si>
    <t>5,00</t>
  </si>
  <si>
    <t>2,90</t>
  </si>
  <si>
    <t>6,20</t>
  </si>
  <si>
    <t>4,49</t>
  </si>
  <si>
    <t>3,57</t>
  </si>
  <si>
    <t>3,07</t>
  </si>
  <si>
    <t>2,49</t>
  </si>
  <si>
    <t>2,15</t>
  </si>
  <si>
    <t>1,57</t>
  </si>
  <si>
    <t>1,15</t>
  </si>
  <si>
    <t>1,08</t>
  </si>
  <si>
    <t>U</t>
  </si>
  <si>
    <t>13,47</t>
  </si>
  <si>
    <t>12,81</t>
  </si>
  <si>
    <t>12,55</t>
  </si>
  <si>
    <t>12,45</t>
  </si>
  <si>
    <t>12,35</t>
  </si>
  <si>
    <t>12,32</t>
  </si>
  <si>
    <t>12,50</t>
  </si>
  <si>
    <t>12,26</t>
  </si>
  <si>
    <t>12,23</t>
  </si>
  <si>
    <t>12,17</t>
  </si>
  <si>
    <t>12,11</t>
  </si>
  <si>
    <t>12,05</t>
  </si>
  <si>
    <t>12,03</t>
  </si>
  <si>
    <t>Effective degrees of freedom</t>
  </si>
  <si>
    <t>&gt;1000</t>
  </si>
  <si>
    <t>k</t>
  </si>
  <si>
    <t>2,00</t>
  </si>
  <si>
    <t>1,97</t>
  </si>
  <si>
    <t>U95</t>
  </si>
  <si>
    <t>0,027</t>
  </si>
  <si>
    <t>0,026</t>
  </si>
  <si>
    <t>0,025</t>
  </si>
  <si>
    <t>0,024</t>
  </si>
  <si>
    <t>U95 Rounded</t>
  </si>
  <si>
    <t>Table II. Uncertainty for 4160.811012. Frequency range 630 Hz to 10 kHz.</t>
  </si>
  <si>
    <t>630,96</t>
  </si>
  <si>
    <t>794,33</t>
  </si>
  <si>
    <t>1000,00</t>
  </si>
  <si>
    <t>1258,93</t>
  </si>
  <si>
    <t>1584,89</t>
  </si>
  <si>
    <t>1995,26</t>
  </si>
  <si>
    <t>2511,89</t>
  </si>
  <si>
    <t>3162,28</t>
  </si>
  <si>
    <t>3981,07</t>
  </si>
  <si>
    <t>5011,87</t>
  </si>
  <si>
    <t>6309,57</t>
  </si>
  <si>
    <t>7943,28</t>
  </si>
  <si>
    <t>10000,00</t>
  </si>
  <si>
    <t>1,16</t>
  </si>
  <si>
    <t>2,81</t>
  </si>
  <si>
    <t>4,04</t>
  </si>
  <si>
    <t>4,43</t>
  </si>
  <si>
    <t>2,12</t>
  </si>
  <si>
    <t>1,45</t>
  </si>
  <si>
    <t>4,14</t>
  </si>
  <si>
    <t>6,21</t>
  </si>
  <si>
    <t>3,43</t>
  </si>
  <si>
    <t>8,99</t>
  </si>
  <si>
    <t>8,92</t>
  </si>
  <si>
    <t>8,61</t>
  </si>
  <si>
    <t>8,26</t>
  </si>
  <si>
    <t>7,63</t>
  </si>
  <si>
    <t>6,58</t>
  </si>
  <si>
    <t>1,95</t>
  </si>
  <si>
    <t>0,90</t>
  </si>
  <si>
    <t>0,85</t>
  </si>
  <si>
    <t>1,91</t>
  </si>
  <si>
    <t>1,84</t>
  </si>
  <si>
    <t>0,42</t>
  </si>
  <si>
    <t>0,60</t>
  </si>
  <si>
    <t>0,80</t>
  </si>
  <si>
    <t>1,66</t>
  </si>
  <si>
    <t>2,22</t>
  </si>
  <si>
    <t>1,40</t>
  </si>
  <si>
    <t>3,51</t>
  </si>
  <si>
    <t>3,18</t>
  </si>
  <si>
    <t>2,85</t>
  </si>
  <si>
    <t>2,33</t>
  </si>
  <si>
    <t>3,36</t>
  </si>
  <si>
    <t>3,34</t>
  </si>
  <si>
    <t>3,31</t>
  </si>
  <si>
    <t>3,27</t>
  </si>
  <si>
    <t>3,20</t>
  </si>
  <si>
    <t>3,10</t>
  </si>
  <si>
    <t>2,98</t>
  </si>
  <si>
    <t>2,94</t>
  </si>
  <si>
    <t>4,59</t>
  </si>
  <si>
    <t>5,26</t>
  </si>
  <si>
    <t>10,04</t>
  </si>
  <si>
    <t>0,40</t>
  </si>
  <si>
    <t>0,47</t>
  </si>
  <si>
    <t>0,59</t>
  </si>
  <si>
    <t>1,20</t>
  </si>
  <si>
    <t>1,09</t>
  </si>
  <si>
    <t>3,21</t>
  </si>
  <si>
    <t>5,77</t>
  </si>
  <si>
    <t>2,87</t>
  </si>
  <si>
    <t>4,01</t>
  </si>
  <si>
    <t>14,91</t>
  </si>
  <si>
    <t>15,45</t>
  </si>
  <si>
    <t>12,00</t>
  </si>
  <si>
    <t>11,99</t>
  </si>
  <si>
    <t>11,95</t>
  </si>
  <si>
    <t>11,93</t>
  </si>
  <si>
    <t>11,86</t>
  </si>
  <si>
    <t>11,76</t>
  </si>
  <si>
    <t>11,72</t>
  </si>
  <si>
    <t>11,90</t>
  </si>
  <si>
    <t>12,67</t>
  </si>
  <si>
    <t>11,68</t>
  </si>
  <si>
    <t>12,07</t>
  </si>
  <si>
    <t>18,59</t>
  </si>
  <si>
    <t>19,93</t>
  </si>
  <si>
    <t>1,99</t>
  </si>
  <si>
    <t>2,36</t>
  </si>
  <si>
    <t>0,023</t>
  </si>
  <si>
    <t>0,044</t>
  </si>
  <si>
    <t>0,046</t>
  </si>
  <si>
    <t>Table III. Uncertainty for 4160.811012. Frequency range 20 Hz to 500 Hz: phase response.</t>
  </si>
  <si>
    <t>20,0</t>
  </si>
  <si>
    <t>25,1</t>
  </si>
  <si>
    <t>31,6</t>
  </si>
  <si>
    <t>39,8</t>
  </si>
  <si>
    <t>50,1</t>
  </si>
  <si>
    <t>63,1</t>
  </si>
  <si>
    <t>79,4</t>
  </si>
  <si>
    <t>100,0</t>
  </si>
  <si>
    <t>125,9</t>
  </si>
  <si>
    <t>158,5</t>
  </si>
  <si>
    <t>199,5</t>
  </si>
  <si>
    <t>251,2</t>
  </si>
  <si>
    <t>316,2</t>
  </si>
  <si>
    <t>398,1</t>
  </si>
  <si>
    <t>501,2</t>
  </si>
  <si>
    <t>deg 10-3</t>
  </si>
  <si>
    <t>2,7</t>
  </si>
  <si>
    <t>0,0</t>
  </si>
  <si>
    <t>0,015</t>
  </si>
  <si>
    <t>0,013</t>
  </si>
  <si>
    <t>0,012</t>
  </si>
  <si>
    <t>0,011</t>
  </si>
  <si>
    <t>0,010</t>
  </si>
  <si>
    <t>0,009</t>
  </si>
  <si>
    <t>0,008</t>
  </si>
  <si>
    <t>0,007</t>
  </si>
  <si>
    <t>0,006</t>
  </si>
  <si>
    <t>0,019</t>
  </si>
  <si>
    <t>0,018</t>
  </si>
  <si>
    <t>0,016</t>
  </si>
  <si>
    <t>0,014</t>
  </si>
  <si>
    <t>0,001</t>
  </si>
  <si>
    <t>0,087</t>
  </si>
  <si>
    <t>0,005</t>
  </si>
  <si>
    <t>0,004</t>
  </si>
  <si>
    <t>0,003</t>
  </si>
  <si>
    <t>0,002</t>
  </si>
  <si>
    <t>0,000</t>
  </si>
  <si>
    <t>184,5</t>
  </si>
  <si>
    <t>147,1</t>
  </si>
  <si>
    <t>117,0</t>
  </si>
  <si>
    <t>93,8</t>
  </si>
  <si>
    <t>74,4</t>
  </si>
  <si>
    <t>60,0</t>
  </si>
  <si>
    <t>47,0</t>
  </si>
  <si>
    <t>37,9</t>
  </si>
  <si>
    <t>29,2</t>
  </si>
  <si>
    <t>23,1</t>
  </si>
  <si>
    <t>18,5</t>
  </si>
  <si>
    <t>14,6</t>
  </si>
  <si>
    <t>11,4</t>
  </si>
  <si>
    <t>8,4</t>
  </si>
  <si>
    <t>7,0</t>
  </si>
  <si>
    <t>Correction to ref.  conditions</t>
  </si>
  <si>
    <t>Phase Linearity</t>
  </si>
  <si>
    <t>777,5</t>
  </si>
  <si>
    <t>619,6</t>
  </si>
  <si>
    <t>493,2</t>
  </si>
  <si>
    <t>392,3</t>
  </si>
  <si>
    <t>338,9</t>
  </si>
  <si>
    <t>265,9</t>
  </si>
  <si>
    <t>250,0</t>
  </si>
  <si>
    <t>Rounding</t>
  </si>
  <si>
    <t>29,0</t>
  </si>
  <si>
    <t>799,6</t>
  </si>
  <si>
    <t>637,5</t>
  </si>
  <si>
    <t>507,7</t>
  </si>
  <si>
    <t>404,4</t>
  </si>
  <si>
    <t>348,2</t>
  </si>
  <si>
    <t>274,1</t>
  </si>
  <si>
    <t>256,0</t>
  </si>
  <si>
    <t>254,5</t>
  </si>
  <si>
    <t>253,4</t>
  </si>
  <si>
    <t>252,7</t>
  </si>
  <si>
    <t>252,4</t>
  </si>
  <si>
    <t>252,1</t>
  </si>
  <si>
    <t>251,9</t>
  </si>
  <si>
    <t>251,8</t>
  </si>
  <si>
    <t>K</t>
  </si>
  <si>
    <t>deg</t>
  </si>
  <si>
    <t>0,809</t>
  </si>
  <si>
    <t>0,696</t>
  </si>
  <si>
    <t>0,548</t>
  </si>
  <si>
    <t>0,512</t>
  </si>
  <si>
    <t>0,509</t>
  </si>
  <si>
    <t>0,507</t>
  </si>
  <si>
    <t>0,505</t>
  </si>
  <si>
    <t>0,504</t>
  </si>
  <si>
    <t>Table IV. Uncertainty for 4160.811012. Frequency range 630 Hz to 10 kHz: phase response.</t>
  </si>
  <si>
    <t>631,0</t>
  </si>
  <si>
    <t>794,3</t>
  </si>
  <si>
    <t>1000,0</t>
  </si>
  <si>
    <t>1258,9</t>
  </si>
  <si>
    <t>1584,9</t>
  </si>
  <si>
    <t>1995,3</t>
  </si>
  <si>
    <t>2511,9</t>
  </si>
  <si>
    <t>3162,3</t>
  </si>
  <si>
    <t>3981,1</t>
  </si>
  <si>
    <t>5011,9</t>
  </si>
  <si>
    <t>6309,6</t>
  </si>
  <si>
    <t>7943,3</t>
  </si>
  <si>
    <t>3,4</t>
  </si>
  <si>
    <t>5,4</t>
  </si>
  <si>
    <t>10,1</t>
  </si>
  <si>
    <t>11,9</t>
  </si>
  <si>
    <t>13,2</t>
  </si>
  <si>
    <t>12,5</t>
  </si>
  <si>
    <t>6,9</t>
  </si>
  <si>
    <t>7,2</t>
  </si>
  <si>
    <t>17,8</t>
  </si>
  <si>
    <t>7,7</t>
  </si>
  <si>
    <t>3,2</t>
  </si>
  <si>
    <t>4,0</t>
  </si>
  <si>
    <t>5,2</t>
  </si>
  <si>
    <t>9,0</t>
  </si>
  <si>
    <t>12,1</t>
  </si>
  <si>
    <t>16,8</t>
  </si>
  <si>
    <t>23,7</t>
  </si>
  <si>
    <t>33,0</t>
  </si>
  <si>
    <t>36,9</t>
  </si>
  <si>
    <t>20,4</t>
  </si>
  <si>
    <t>4,5</t>
  </si>
  <si>
    <t>5,8</t>
  </si>
  <si>
    <t>7,5</t>
  </si>
  <si>
    <t>9,6</t>
  </si>
  <si>
    <t>15,6</t>
  </si>
  <si>
    <t>19,8</t>
  </si>
  <si>
    <t>24,8</t>
  </si>
  <si>
    <t>30,5</t>
  </si>
  <si>
    <t>25,8</t>
  </si>
  <si>
    <t>11,1</t>
  </si>
  <si>
    <t>0,020</t>
  </si>
  <si>
    <t>0,035</t>
  </si>
  <si>
    <t>0,049</t>
  </si>
  <si>
    <t>0,073</t>
  </si>
  <si>
    <t>0,113</t>
  </si>
  <si>
    <t>0,167</t>
  </si>
  <si>
    <t>0,194</t>
  </si>
  <si>
    <t>0,028</t>
  </si>
  <si>
    <t>0,045</t>
  </si>
  <si>
    <t>0,059</t>
  </si>
  <si>
    <t>0,114</t>
  </si>
  <si>
    <t>0,182</t>
  </si>
  <si>
    <t>0,279</t>
  </si>
  <si>
    <t>0,340</t>
  </si>
  <si>
    <t>0,143</t>
  </si>
  <si>
    <t>0,224</t>
  </si>
  <si>
    <t>2,6</t>
  </si>
  <si>
    <t>2,1</t>
  </si>
  <si>
    <t>9,7</t>
  </si>
  <si>
    <t>3,5</t>
  </si>
  <si>
    <t>2,9</t>
  </si>
  <si>
    <t>6,0</t>
  </si>
  <si>
    <t>4,7</t>
  </si>
  <si>
    <t>3,9</t>
  </si>
  <si>
    <t>10,7</t>
  </si>
  <si>
    <t>20,9</t>
  </si>
  <si>
    <t>43,9</t>
  </si>
  <si>
    <t>81,3</t>
  </si>
  <si>
    <t>236,1</t>
  </si>
  <si>
    <t>342,7</t>
  </si>
  <si>
    <t>Correction to ref. conditions</t>
  </si>
  <si>
    <t>5,6</t>
  </si>
  <si>
    <t>4,9</t>
  </si>
  <si>
    <t>35,3</t>
  </si>
  <si>
    <t>66,6</t>
  </si>
  <si>
    <t>75,1</t>
  </si>
  <si>
    <t>252,0</t>
  </si>
  <si>
    <t>252,9</t>
  </si>
  <si>
    <t>253,7</t>
  </si>
  <si>
    <t>255,2</t>
  </si>
  <si>
    <t>259,8</t>
  </si>
  <si>
    <t>271,6</t>
  </si>
  <si>
    <t>353,6</t>
  </si>
  <si>
    <t>432,5</t>
  </si>
  <si>
    <t>0,506</t>
  </si>
  <si>
    <t>0,510</t>
  </si>
  <si>
    <t>0,520</t>
  </si>
  <si>
    <t>0,543</t>
  </si>
  <si>
    <t>0,754</t>
  </si>
  <si>
    <r>
      <t>Table V. Uncertainty for 4160.</t>
    </r>
    <r>
      <rPr>
        <sz val="11"/>
        <color rgb="FF000000"/>
        <rFont val="Calibri"/>
        <family val="2"/>
        <scheme val="minor"/>
      </rPr>
      <t xml:space="preserve"> 2652754. F</t>
    </r>
    <r>
      <rPr>
        <sz val="10"/>
        <color theme="1"/>
        <rFont val="Arial"/>
        <family val="2"/>
      </rPr>
      <t>requency range 20 Hz to 500 Hz.</t>
    </r>
  </si>
  <si>
    <t>7,88</t>
  </si>
  <si>
    <t>7,92</t>
  </si>
  <si>
    <t>7,96</t>
  </si>
  <si>
    <t>7,99</t>
  </si>
  <si>
    <t>8,02</t>
  </si>
  <si>
    <t>8,05</t>
  </si>
  <si>
    <t>8,07</t>
  </si>
  <si>
    <t>8,09</t>
  </si>
  <si>
    <t>8,11</t>
  </si>
  <si>
    <t>8,13</t>
  </si>
  <si>
    <t>8,14</t>
  </si>
  <si>
    <t>8,15</t>
  </si>
  <si>
    <t>8,16</t>
  </si>
  <si>
    <t>8,17</t>
  </si>
  <si>
    <t>3,23</t>
  </si>
  <si>
    <t>3,24</t>
  </si>
  <si>
    <t>3,26</t>
  </si>
  <si>
    <t>3,28</t>
  </si>
  <si>
    <t>3,29</t>
  </si>
  <si>
    <t>3,30</t>
  </si>
  <si>
    <t>3,32</t>
  </si>
  <si>
    <t>3,33</t>
  </si>
  <si>
    <t>1,03</t>
  </si>
  <si>
    <t>0,93</t>
  </si>
  <si>
    <t>0,98</t>
  </si>
  <si>
    <t>0,95</t>
  </si>
  <si>
    <t>11,37</t>
  </si>
  <si>
    <t>11,39</t>
  </si>
  <si>
    <t>11,40</t>
  </si>
  <si>
    <t>11,43</t>
  </si>
  <si>
    <t>11,45</t>
  </si>
  <si>
    <t>11,49</t>
  </si>
  <si>
    <t>11,41</t>
  </si>
  <si>
    <t>11,34</t>
  </si>
  <si>
    <t>11,28</t>
  </si>
  <si>
    <t>11,25</t>
  </si>
  <si>
    <t>0,022</t>
  </si>
  <si>
    <r>
      <t>Table VI. Uncertainty for 4160.</t>
    </r>
    <r>
      <rPr>
        <sz val="11"/>
        <color rgb="FF000000"/>
        <rFont val="Calibri"/>
        <family val="2"/>
        <scheme val="minor"/>
      </rPr>
      <t xml:space="preserve"> 2652754. F</t>
    </r>
    <r>
      <rPr>
        <sz val="10"/>
        <color theme="1"/>
        <rFont val="Arial"/>
        <family val="2"/>
      </rPr>
      <t>requency range 630 Hz to 10 kHz.</t>
    </r>
  </si>
  <si>
    <t>2,41</t>
  </si>
  <si>
    <t>5,39</t>
  </si>
  <si>
    <t>8,08</t>
  </si>
  <si>
    <t>8,00</t>
  </si>
  <si>
    <t>7,86</t>
  </si>
  <si>
    <t>7,62</t>
  </si>
  <si>
    <t>7,22</t>
  </si>
  <si>
    <t>6,51</t>
  </si>
  <si>
    <t>5,36</t>
  </si>
  <si>
    <t>3,41</t>
  </si>
  <si>
    <t>1,44</t>
  </si>
  <si>
    <t>0,50</t>
  </si>
  <si>
    <t>1,76</t>
  </si>
  <si>
    <t>2,39</t>
  </si>
  <si>
    <t>3,11</t>
  </si>
  <si>
    <t>2,72</t>
  </si>
  <si>
    <t>1,73</t>
  </si>
  <si>
    <t>7,23</t>
  </si>
  <si>
    <t>31,89</t>
  </si>
  <si>
    <t>11,20</t>
  </si>
  <si>
    <t>11,18</t>
  </si>
  <si>
    <t>11,13</t>
  </si>
  <si>
    <t>10,78</t>
  </si>
  <si>
    <t>10,64</t>
  </si>
  <si>
    <t>10,42</t>
  </si>
  <si>
    <t>10,38</t>
  </si>
  <si>
    <t>10,21</t>
  </si>
  <si>
    <t>12,83</t>
  </si>
  <si>
    <t>34,66</t>
  </si>
  <si>
    <t>2,05</t>
  </si>
  <si>
    <t>0,021</t>
  </si>
  <si>
    <t>0,096</t>
  </si>
  <si>
    <r>
      <t>Table VII. Uncertainty for 4160.</t>
    </r>
    <r>
      <rPr>
        <sz val="11"/>
        <color rgb="FF000000"/>
        <rFont val="Calibri"/>
        <family val="2"/>
        <scheme val="minor"/>
      </rPr>
      <t xml:space="preserve"> 2652754. F</t>
    </r>
    <r>
      <rPr>
        <sz val="10"/>
        <color theme="1"/>
        <rFont val="Arial"/>
        <family val="2"/>
      </rPr>
      <t>requency range 20 Hz to 500 Hz: phase response.</t>
    </r>
  </si>
  <si>
    <t>0,083</t>
  </si>
  <si>
    <t>Correction To reference conditions</t>
  </si>
  <si>
    <t>1,02</t>
  </si>
  <si>
    <t>0,81</t>
  </si>
  <si>
    <t>0,70</t>
  </si>
  <si>
    <t>0,51</t>
  </si>
  <si>
    <r>
      <t>Table VIII. Uncertainty for 4160.</t>
    </r>
    <r>
      <rPr>
        <sz val="11"/>
        <color rgb="FF000000"/>
        <rFont val="Calibri"/>
        <family val="2"/>
        <scheme val="minor"/>
      </rPr>
      <t xml:space="preserve"> 2652754. F</t>
    </r>
    <r>
      <rPr>
        <sz val="10"/>
        <color theme="1"/>
        <rFont val="Arial"/>
        <family val="2"/>
      </rPr>
      <t>requency range 630 Hz to 10 kHz: phase response.</t>
    </r>
  </si>
  <si>
    <t>7,4</t>
  </si>
  <si>
    <t>10,5</t>
  </si>
  <si>
    <t>11,5</t>
  </si>
  <si>
    <t>19,7</t>
  </si>
  <si>
    <t>3,6</t>
  </si>
  <si>
    <t>4,6</t>
  </si>
  <si>
    <t>7,9</t>
  </si>
  <si>
    <t>14,7</t>
  </si>
  <si>
    <t>20,6</t>
  </si>
  <si>
    <t>28,3</t>
  </si>
  <si>
    <t>31,3</t>
  </si>
  <si>
    <t>25,0</t>
  </si>
  <si>
    <t>50,0</t>
  </si>
  <si>
    <t>4,1</t>
  </si>
  <si>
    <t>5,3</t>
  </si>
  <si>
    <t>11,0</t>
  </si>
  <si>
    <t>13,9</t>
  </si>
  <si>
    <t>17,4</t>
  </si>
  <si>
    <t>21,2</t>
  </si>
  <si>
    <t>24,7</t>
  </si>
  <si>
    <t>27,2</t>
  </si>
  <si>
    <t>0,017</t>
  </si>
  <si>
    <t>0,030</t>
  </si>
  <si>
    <t>0,043</t>
  </si>
  <si>
    <t>0,065</t>
  </si>
  <si>
    <t>0,106</t>
  </si>
  <si>
    <t>0,172</t>
  </si>
  <si>
    <t>0,265</t>
  </si>
  <si>
    <t>0,038</t>
  </si>
  <si>
    <t>0,050</t>
  </si>
  <si>
    <t>0,103</t>
  </si>
  <si>
    <t>0,287</t>
  </si>
  <si>
    <t>0,448</t>
  </si>
  <si>
    <t>0,051</t>
  </si>
  <si>
    <t>0,151</t>
  </si>
  <si>
    <t>0,237</t>
  </si>
  <si>
    <t>10,2</t>
  </si>
  <si>
    <t>18,1</t>
  </si>
  <si>
    <t>5,5</t>
  </si>
  <si>
    <t>252,3</t>
  </si>
  <si>
    <t>253,3</t>
  </si>
  <si>
    <t>254,6</t>
  </si>
  <si>
    <t>258,6</t>
  </si>
  <si>
    <t>269,9</t>
  </si>
  <si>
    <t>354,1</t>
  </si>
  <si>
    <t>437,1</t>
  </si>
  <si>
    <t>0,75</t>
  </si>
  <si>
    <t>The uncertainty at low frequency are reported for each microphone. However, as the repeatability data is common to both microphones (obtained from previous calibrations of LS1 microphones), the differences are negligible.</t>
  </si>
  <si>
    <t>Table IX. Uncertainty for 4160.811012. Frequency range 2 Hz to 16 Hz.</t>
  </si>
  <si>
    <t>3,16</t>
  </si>
  <si>
    <t>3,98</t>
  </si>
  <si>
    <t>5,01</t>
  </si>
  <si>
    <t>6,31</t>
  </si>
  <si>
    <t>7,94</t>
  </si>
  <si>
    <t>10,00</t>
  </si>
  <si>
    <t>12,59</t>
  </si>
  <si>
    <t>15,85</t>
  </si>
  <si>
    <r>
      <t>dB 10</t>
    </r>
    <r>
      <rPr>
        <vertAlign val="superscript"/>
        <sz val="9"/>
        <color rgb="FF000000"/>
        <rFont val="Calibri"/>
        <family val="2"/>
        <scheme val="minor"/>
      </rPr>
      <t>-3</t>
    </r>
  </si>
  <si>
    <t>7,31</t>
  </si>
  <si>
    <t>7,43</t>
  </si>
  <si>
    <t>7,54</t>
  </si>
  <si>
    <t>7,65</t>
  </si>
  <si>
    <t>7,74</t>
  </si>
  <si>
    <t>7,82</t>
  </si>
  <si>
    <t>7,90</t>
  </si>
  <si>
    <t>3,03</t>
  </si>
  <si>
    <t>3,19</t>
  </si>
  <si>
    <t>3,25</t>
  </si>
  <si>
    <t>43,64</t>
  </si>
  <si>
    <t>32,22</t>
  </si>
  <si>
    <t>23,74</t>
  </si>
  <si>
    <t>17,71</t>
  </si>
  <si>
    <t>13,35</t>
  </si>
  <si>
    <t>10,16</t>
  </si>
  <si>
    <t>8,51</t>
  </si>
  <si>
    <t>7,05</t>
  </si>
  <si>
    <t>5,65</t>
  </si>
  <si>
    <t>5,12</t>
  </si>
  <si>
    <t>46,03</t>
  </si>
  <si>
    <t>35,42</t>
  </si>
  <si>
    <t>27,97</t>
  </si>
  <si>
    <t>23,12</t>
  </si>
  <si>
    <t>20,01</t>
  </si>
  <si>
    <t>18,08</t>
  </si>
  <si>
    <t>17,25</t>
  </si>
  <si>
    <t>16,61</t>
  </si>
  <si>
    <t>13,57</t>
  </si>
  <si>
    <t>13,40</t>
  </si>
  <si>
    <t>2,57</t>
  </si>
  <si>
    <t>2,04</t>
  </si>
  <si>
    <t>2,01</t>
  </si>
  <si>
    <t>1,98</t>
  </si>
  <si>
    <t>0,146</t>
  </si>
  <si>
    <t>0,098</t>
  </si>
  <si>
    <t>0,072</t>
  </si>
  <si>
    <t>0,053</t>
  </si>
  <si>
    <t>0,037</t>
  </si>
  <si>
    <t>0,033</t>
  </si>
  <si>
    <r>
      <t>Table X. Uncertainty for 4160.</t>
    </r>
    <r>
      <rPr>
        <sz val="11"/>
        <color rgb="FF000000"/>
        <rFont val="Calibri"/>
        <family val="2"/>
        <scheme val="minor"/>
      </rPr>
      <t xml:space="preserve"> 2652754</t>
    </r>
    <r>
      <rPr>
        <sz val="10"/>
        <color theme="1"/>
        <rFont val="Arial"/>
        <family val="2"/>
      </rPr>
      <t>. Frequency range 2 Hz to 16 Hz.</t>
    </r>
  </si>
  <si>
    <t>nF</t>
  </si>
  <si>
    <t>mm</t>
  </si>
  <si>
    <t>kPa</t>
  </si>
  <si>
    <t>%</t>
  </si>
  <si>
    <t>kHz</t>
  </si>
  <si>
    <t>Microphone</t>
  </si>
  <si>
    <t>Temperature correction</t>
  </si>
  <si>
    <t>NPL</t>
  </si>
  <si>
    <t>Level</t>
  </si>
  <si>
    <t>Phase</t>
  </si>
  <si>
    <t xml:space="preserve">INRiM </t>
  </si>
  <si>
    <t>INRiM</t>
  </si>
  <si>
    <t>B</t>
  </si>
  <si>
    <t>A</t>
  </si>
  <si>
    <t>Note: green denotes uncertainties correlated across frequencies, orange denotes uncorrelated uncertainties.</t>
  </si>
  <si>
    <t>LNE</t>
  </si>
  <si>
    <t>Phase (degree*100)</t>
  </si>
  <si>
    <t>Level (dB*1000 re 1V/Pa)</t>
  </si>
  <si>
    <t>METAS</t>
  </si>
  <si>
    <t>Uncertainty components for average sensitivity [dB]</t>
  </si>
  <si>
    <t>Parameter</t>
  </si>
  <si>
    <t>nominal</t>
  </si>
  <si>
    <t>Value</t>
  </si>
  <si>
    <t>Uncertainity</t>
  </si>
  <si>
    <t>Frequencies [Hz]</t>
  </si>
  <si>
    <t>absolute</t>
  </si>
  <si>
    <t>frequency range (Min)</t>
  </si>
  <si>
    <t>frequency range (Max)</t>
  </si>
  <si>
    <t>Ambi</t>
  </si>
  <si>
    <t>Static pressure [Pa]</t>
  </si>
  <si>
    <t>Relative humidity [%]</t>
  </si>
  <si>
    <t>Absolute temperature [K]</t>
  </si>
  <si>
    <t>Pressure Coefficient</t>
  </si>
  <si>
    <t>Temperature Coefficient</t>
  </si>
  <si>
    <t>dB/K</t>
  </si>
  <si>
    <t>Front cavity depth [m]</t>
  </si>
  <si>
    <r>
      <t>Front cavity volume [m</t>
    </r>
    <r>
      <rPr>
        <vertAlign val="superscript"/>
        <sz val="11"/>
        <color rgb="FF000000"/>
        <rFont val="Calibri"/>
        <family val="2"/>
        <scheme val="minor"/>
      </rPr>
      <t>3</t>
    </r>
    <r>
      <rPr>
        <sz val="11"/>
        <color rgb="FF000000"/>
        <rFont val="Calibri"/>
        <family val="2"/>
        <scheme val="minor"/>
      </rPr>
      <t>]</t>
    </r>
  </si>
  <si>
    <t>m3</t>
  </si>
  <si>
    <t>Diameter of diaphragm [m]</t>
  </si>
  <si>
    <r>
      <t>Equivalent volume [m</t>
    </r>
    <r>
      <rPr>
        <vertAlign val="superscript"/>
        <sz val="11"/>
        <color rgb="FF000000"/>
        <rFont val="Calibri"/>
        <family val="2"/>
        <scheme val="minor"/>
      </rPr>
      <t>3</t>
    </r>
    <r>
      <rPr>
        <sz val="11"/>
        <color rgb="FF000000"/>
        <rFont val="Calibri"/>
        <family val="2"/>
        <scheme val="minor"/>
      </rPr>
      <t>]</t>
    </r>
  </si>
  <si>
    <t>Resonance frequency [kHz]</t>
  </si>
  <si>
    <t>Cpl</t>
  </si>
  <si>
    <t>Coupler diameter [m]</t>
  </si>
  <si>
    <t>Coupler length [m]</t>
  </si>
  <si>
    <t>Electrical</t>
  </si>
  <si>
    <t>Receiver voltage [V]</t>
  </si>
  <si>
    <t>Transmitter voltage [V]</t>
  </si>
  <si>
    <t>Receiver ref voltage [V]</t>
  </si>
  <si>
    <t>Transmitter ref voltage [V]</t>
  </si>
  <si>
    <t>Receiver voltage phase [°]</t>
  </si>
  <si>
    <t>Receiver ref voltage phase [°]</t>
  </si>
  <si>
    <t>Polarisation voltage [V]</t>
  </si>
  <si>
    <t>Capacitance [nF]</t>
  </si>
  <si>
    <t>Thermal model</t>
  </si>
  <si>
    <t>Max(Sum of squares)</t>
  </si>
  <si>
    <t>Total uncertainity</t>
  </si>
  <si>
    <t>Uncertainty components for average phase [°]</t>
  </si>
  <si>
    <t>nom. Value</t>
  </si>
  <si>
    <t>°/kPa</t>
  </si>
  <si>
    <t>°/K</t>
  </si>
  <si>
    <t>DMDM</t>
  </si>
  <si>
    <t>Input</t>
  </si>
  <si>
    <t>Sym.</t>
  </si>
  <si>
    <t>Unce.</t>
  </si>
  <si>
    <t>31.5Hz</t>
  </si>
  <si>
    <t>63Hz</t>
  </si>
  <si>
    <t>125Hz</t>
  </si>
  <si>
    <t>250Hz</t>
  </si>
  <si>
    <t>500Hz</t>
  </si>
  <si>
    <t>1kHz</t>
  </si>
  <si>
    <t>2kHz</t>
  </si>
  <si>
    <t>4kHz</t>
  </si>
  <si>
    <t>5kHz</t>
  </si>
  <si>
    <t>8kHz</t>
  </si>
  <si>
    <t>10kHz</t>
  </si>
  <si>
    <t>parameter</t>
  </si>
  <si>
    <t>Voltage ratio correction</t>
  </si>
  <si>
    <r>
      <t>Cor</t>
    </r>
    <r>
      <rPr>
        <vertAlign val="subscript"/>
        <sz val="8"/>
        <color indexed="8"/>
        <rFont val="Times New Roman"/>
        <family val="1"/>
      </rPr>
      <t>R,n</t>
    </r>
  </si>
  <si>
    <t>σ</t>
  </si>
  <si>
    <r>
      <t>U</t>
    </r>
    <r>
      <rPr>
        <vertAlign val="subscript"/>
        <sz val="8"/>
        <color indexed="8"/>
        <rFont val="Times New Roman"/>
        <family val="1"/>
      </rPr>
      <t>POL</t>
    </r>
  </si>
  <si>
    <t>0.0008 V</t>
  </si>
  <si>
    <t>norm.</t>
  </si>
  <si>
    <t>Coupler volume correction</t>
  </si>
  <si>
    <r>
      <t>Cor</t>
    </r>
    <r>
      <rPr>
        <vertAlign val="subscript"/>
        <sz val="8"/>
        <color indexed="8"/>
        <rFont val="Times New Roman"/>
        <family val="1"/>
      </rPr>
      <t>CV,n</t>
    </r>
  </si>
  <si>
    <r>
      <t>mm</t>
    </r>
    <r>
      <rPr>
        <vertAlign val="superscript"/>
        <sz val="8"/>
        <color indexed="8"/>
        <rFont val="Times New Roman"/>
        <family val="1"/>
      </rPr>
      <t>3</t>
    </r>
  </si>
  <si>
    <r>
      <t>2.89 mm</t>
    </r>
    <r>
      <rPr>
        <vertAlign val="superscript"/>
        <sz val="8"/>
        <color indexed="8"/>
        <rFont val="Times New Roman"/>
        <family val="1"/>
      </rPr>
      <t>3</t>
    </r>
  </si>
  <si>
    <t>rect.</t>
  </si>
  <si>
    <t>Static pressure correction</t>
  </si>
  <si>
    <r>
      <t>Cor</t>
    </r>
    <r>
      <rPr>
        <vertAlign val="subscript"/>
        <sz val="8"/>
        <color indexed="8"/>
        <rFont val="Times New Roman"/>
        <family val="1"/>
      </rPr>
      <t>Ps</t>
    </r>
  </si>
  <si>
    <t>0.035 kPa</t>
  </si>
  <si>
    <t>Capacitance correction</t>
  </si>
  <si>
    <r>
      <t>Cor</t>
    </r>
    <r>
      <rPr>
        <vertAlign val="subscript"/>
        <sz val="8"/>
        <color indexed="8"/>
        <rFont val="Times New Roman"/>
        <family val="1"/>
      </rPr>
      <t>C</t>
    </r>
  </si>
  <si>
    <t>0.0012 nF</t>
  </si>
  <si>
    <t>Microphone front volume correct.</t>
  </si>
  <si>
    <r>
      <t>Cor</t>
    </r>
    <r>
      <rPr>
        <vertAlign val="subscript"/>
        <sz val="8"/>
        <color indexed="8"/>
        <rFont val="Times New Roman"/>
        <family val="1"/>
      </rPr>
      <t>FV,n</t>
    </r>
  </si>
  <si>
    <r>
      <t>5.78 mm</t>
    </r>
    <r>
      <rPr>
        <vertAlign val="superscript"/>
        <sz val="8"/>
        <color indexed="8"/>
        <rFont val="Times New Roman"/>
        <family val="1"/>
      </rPr>
      <t>3</t>
    </r>
  </si>
  <si>
    <r>
      <t>C</t>
    </r>
    <r>
      <rPr>
        <vertAlign val="subscript"/>
        <sz val="8"/>
        <color indexed="8"/>
        <rFont val="Times New Roman"/>
        <family val="1"/>
      </rPr>
      <t>P</t>
    </r>
  </si>
  <si>
    <r>
      <t>C</t>
    </r>
    <r>
      <rPr>
        <vertAlign val="subscript"/>
        <sz val="8"/>
        <color indexed="8"/>
        <rFont val="Times New Roman"/>
        <family val="1"/>
      </rPr>
      <t>T</t>
    </r>
  </si>
  <si>
    <t>1.169 K</t>
  </si>
  <si>
    <t>Humidity correction</t>
  </si>
  <si>
    <r>
      <t>C</t>
    </r>
    <r>
      <rPr>
        <vertAlign val="subscript"/>
        <sz val="8"/>
        <color indexed="8"/>
        <rFont val="Times New Roman"/>
        <family val="1"/>
      </rPr>
      <t>RH</t>
    </r>
  </si>
  <si>
    <t>Mic. front cavity length correct.</t>
  </si>
  <si>
    <r>
      <t>C</t>
    </r>
    <r>
      <rPr>
        <vertAlign val="subscript"/>
        <sz val="8"/>
        <color indexed="8"/>
        <rFont val="Times New Roman"/>
        <family val="1"/>
      </rPr>
      <t>L</t>
    </r>
  </si>
  <si>
    <t>0.058 mm</t>
  </si>
  <si>
    <r>
      <t>M</t>
    </r>
    <r>
      <rPr>
        <vertAlign val="subscript"/>
        <sz val="8"/>
        <color indexed="8"/>
        <rFont val="Times New Roman"/>
        <family val="1"/>
      </rPr>
      <t>p</t>
    </r>
  </si>
  <si>
    <r>
      <t>σ</t>
    </r>
    <r>
      <rPr>
        <vertAlign val="subscript"/>
        <sz val="8"/>
        <color indexed="8"/>
        <rFont val="Times New Roman"/>
        <family val="1"/>
      </rPr>
      <t>A</t>
    </r>
  </si>
  <si>
    <t>Result rounding</t>
  </si>
  <si>
    <t>Combined standard uncertainty</t>
  </si>
  <si>
    <r>
      <t>Expanded uncertainty (</t>
    </r>
    <r>
      <rPr>
        <i/>
        <sz val="8"/>
        <color indexed="8"/>
        <rFont val="Times New Roman"/>
        <family val="1"/>
      </rPr>
      <t>k</t>
    </r>
    <r>
      <rPr>
        <sz val="8"/>
        <color indexed="8"/>
        <rFont val="Times New Roman"/>
        <family val="1"/>
      </rPr>
      <t>=2)</t>
    </r>
  </si>
  <si>
    <r>
      <t>Stated uncertainty (</t>
    </r>
    <r>
      <rPr>
        <i/>
        <sz val="8"/>
        <color indexed="8"/>
        <rFont val="Times New Roman"/>
        <family val="1"/>
      </rPr>
      <t>k</t>
    </r>
    <r>
      <rPr>
        <sz val="8"/>
        <color indexed="8"/>
        <rFont val="Times New Roman"/>
        <family val="1"/>
      </rPr>
      <t>=2)</t>
    </r>
  </si>
  <si>
    <t xml:space="preserve"> Input Parameter, Symbol</t>
  </si>
  <si>
    <t>W. Unc.,Unit</t>
  </si>
  <si>
    <t>20 Hz</t>
  </si>
  <si>
    <t>25 Hz</t>
  </si>
  <si>
    <t>31.5 Hz</t>
  </si>
  <si>
    <t>40 Hz</t>
  </si>
  <si>
    <t>50 Hz</t>
  </si>
  <si>
    <t>63 Hz</t>
  </si>
  <si>
    <t>80 Hz</t>
  </si>
  <si>
    <t>100 Hz</t>
  </si>
  <si>
    <t>125 Hz</t>
  </si>
  <si>
    <t>160 Hz</t>
  </si>
  <si>
    <t>200 Hz</t>
  </si>
  <si>
    <t>250 Hz</t>
  </si>
  <si>
    <t>315 Hz</t>
  </si>
  <si>
    <t>400 Hz</t>
  </si>
  <si>
    <t>500 Hz</t>
  </si>
  <si>
    <t>630 Hz</t>
  </si>
  <si>
    <t>800 Hz</t>
  </si>
  <si>
    <t>1 kHz</t>
  </si>
  <si>
    <t>1.25 kHz</t>
  </si>
  <si>
    <t>1.6 kHz</t>
  </si>
  <si>
    <t>2 kHz</t>
  </si>
  <si>
    <t>2.5 kHz</t>
  </si>
  <si>
    <t>3.15 kHz</t>
  </si>
  <si>
    <t>4 kHz</t>
  </si>
  <si>
    <t>5 kHz</t>
  </si>
  <si>
    <t>6.3 kHz</t>
  </si>
  <si>
    <t>8 kHz</t>
  </si>
  <si>
    <t>10 kHz</t>
  </si>
  <si>
    <t>Static Pressure, Psi, Ps2, Psa</t>
  </si>
  <si>
    <t>0.038 kPa</t>
  </si>
  <si>
    <t>Temperature, Ti,T2,Ta</t>
  </si>
  <si>
    <t>0.869 K</t>
  </si>
  <si>
    <t>Relative Humidity, RHi, RHz, RH3</t>
  </si>
  <si>
    <t>4.32 %</t>
  </si>
  <si>
    <t>Amb. Conditions</t>
  </si>
  <si>
    <t>Coupler Length, Icoup</t>
  </si>
  <si>
    <t>0.004 mm</t>
  </si>
  <si>
    <t>Coupler Diameter, dcoup</t>
  </si>
  <si>
    <t>0.005 mm</t>
  </si>
  <si>
    <t>Coupler Volume, Vcoup</t>
  </si>
  <si>
    <t>1.54 mm3</t>
  </si>
  <si>
    <t>Coup. Surf. Area, Scoup</t>
  </si>
  <si>
    <t>0.35 mm2</t>
  </si>
  <si>
    <t>Coupler Leakage</t>
  </si>
  <si>
    <t>Coupler</t>
  </si>
  <si>
    <t>Mic. Front Length (Nom.), La</t>
  </si>
  <si>
    <t>0.03 mm</t>
  </si>
  <si>
    <t>Extra Fr. Length (thread), Lax</t>
  </si>
  <si>
    <t>0.35 mm</t>
  </si>
  <si>
    <t>Eqv. and Front Vol., Veoa, Va (Vtot)</t>
  </si>
  <si>
    <t>2.4/0.8 mm3</t>
  </si>
  <si>
    <t>Diaphragm Res., foa</t>
  </si>
  <si>
    <t>550 Hz</t>
  </si>
  <si>
    <t>Diaph. Damp. Fac., Da</t>
  </si>
  <si>
    <t>Microphones</t>
  </si>
  <si>
    <t>Series Cap., C</t>
  </si>
  <si>
    <t>pF</t>
  </si>
  <si>
    <t>Volt. Ratio, DVM VRab, VRac, VRbc</t>
  </si>
  <si>
    <t>Volt. Ratio, Cr-talk VRab, VRac, VRbc</t>
  </si>
  <si>
    <t>&lt; -66 dB -</t>
  </si>
  <si>
    <t>Volt. Ratio, Noise VRab, VRac, VRbc</t>
  </si>
  <si>
    <t>&lt; -46 dB -</t>
  </si>
  <si>
    <t>Volt. Ratio, Distort. VRab, VRac, VRbc</t>
  </si>
  <si>
    <t>Frequency, f</t>
  </si>
  <si>
    <t>12 ppm</t>
  </si>
  <si>
    <t>Pol. Voltage, Uo</t>
  </si>
  <si>
    <t>0.08 V</t>
  </si>
  <si>
    <t>Electrical Parameters</t>
  </si>
  <si>
    <t>BIM</t>
  </si>
  <si>
    <t>s_result (dB)</t>
  </si>
  <si>
    <t>u_result (dB)</t>
  </si>
  <si>
    <t>U_result (dB)</t>
  </si>
  <si>
    <t>f (Hz)</t>
  </si>
  <si>
    <t>u_f (dB)</t>
  </si>
  <si>
    <t>u_p (dB)</t>
  </si>
  <si>
    <t>u_t (dB)</t>
  </si>
  <si>
    <t>u_rH (dB)</t>
  </si>
  <si>
    <t>u_Lfc (dB)</t>
  </si>
  <si>
    <t>u_VF (dB)</t>
  </si>
  <si>
    <t>u_Ve (dB)</t>
  </si>
  <si>
    <t>u_f0 (dB)</t>
  </si>
  <si>
    <t>u_D (dB)</t>
  </si>
  <si>
    <t>u_dr (dB)</t>
  </si>
  <si>
    <t>u_S0_add (dB)</t>
  </si>
  <si>
    <t>u_c_d (dB)</t>
  </si>
  <si>
    <t>u_c_h (dB)</t>
  </si>
  <si>
    <t>u_c_sur (dB)</t>
  </si>
  <si>
    <t>u_c_vol (dB)</t>
  </si>
  <si>
    <t>u_p_corr (dB)</t>
  </si>
  <si>
    <t>u_t_corr (dB)</t>
  </si>
  <si>
    <t>u_C (dB)</t>
  </si>
  <si>
    <t>u_R (dB)</t>
  </si>
  <si>
    <t>u_PV (dB)</t>
  </si>
  <si>
    <t>u_round (dB)</t>
  </si>
  <si>
    <t>Sum (dB)</t>
  </si>
  <si>
    <t>BEV</t>
  </si>
  <si>
    <t>1,25k</t>
  </si>
  <si>
    <t>1,6k</t>
  </si>
  <si>
    <t>2,5k</t>
  </si>
  <si>
    <t>3,15k</t>
  </si>
  <si>
    <t>6,3k</t>
  </si>
  <si>
    <t>Type B uncertainties</t>
  </si>
  <si>
    <t>Uncertaity components given as 1 standard deviation</t>
  </si>
  <si>
    <t>Reference capacitor</t>
  </si>
  <si>
    <t>Calibration</t>
  </si>
  <si>
    <t>Calibration method</t>
  </si>
  <si>
    <t>Drift</t>
  </si>
  <si>
    <t>Voltage ratio measurement</t>
  </si>
  <si>
    <t>DAQ unit</t>
  </si>
  <si>
    <t>Microphone Calibration Apparatus and preamp</t>
  </si>
  <si>
    <t>Noise</t>
  </si>
  <si>
    <t>Crosstalk</t>
  </si>
  <si>
    <t>Geometry</t>
  </si>
  <si>
    <t>Coupler length</t>
  </si>
  <si>
    <t>Cavity depth</t>
  </si>
  <si>
    <t>Total front cavity volume</t>
  </si>
  <si>
    <t>Equivalent volume</t>
  </si>
  <si>
    <t>LF Equivalent volume</t>
  </si>
  <si>
    <t>Resonance frequency</t>
  </si>
  <si>
    <t>Heat conduction and viscous losses</t>
  </si>
  <si>
    <t>Theory imperfection</t>
  </si>
  <si>
    <t>Cavity surface area</t>
  </si>
  <si>
    <t>Speed of sound</t>
  </si>
  <si>
    <t>Theory</t>
  </si>
  <si>
    <t>Radial wave motion</t>
  </si>
  <si>
    <t>Climate determination</t>
  </si>
  <si>
    <t>Air humidity</t>
  </si>
  <si>
    <t>Static pressure</t>
  </si>
  <si>
    <r>
      <t xml:space="preserve">Ratio of specific heats </t>
    </r>
    <r>
      <rPr>
        <i/>
        <sz val="10"/>
        <rFont val="Symbol"/>
        <family val="1"/>
        <charset val="2"/>
      </rPr>
      <t>K</t>
    </r>
  </si>
  <si>
    <t>Polarising voltage</t>
  </si>
  <si>
    <t>Voltmeter</t>
  </si>
  <si>
    <t>Voltage drop</t>
  </si>
  <si>
    <t>Environmental normalising</t>
  </si>
  <si>
    <t>Correction coefficients</t>
  </si>
  <si>
    <t>Rounding error</t>
  </si>
  <si>
    <t>Others</t>
  </si>
  <si>
    <t>Type A uncertainty</t>
  </si>
  <si>
    <t>Expanded uncertainty (k=2)</t>
  </si>
  <si>
    <t>SP</t>
  </si>
  <si>
    <t>Serial resistance/stray capacitance</t>
  </si>
  <si>
    <t>Coupler dimensions</t>
  </si>
  <si>
    <t>LS1P microphones in 3 plane-wave couplers</t>
  </si>
  <si>
    <t>Frequency in Hz</t>
  </si>
  <si>
    <r>
      <t>Type A uncertainty, as standard deviation (10</t>
    </r>
    <r>
      <rPr>
        <b/>
        <vertAlign val="superscript"/>
        <sz val="12"/>
        <color indexed="18"/>
        <rFont val="Arial"/>
        <family val="2"/>
      </rPr>
      <t>-4</t>
    </r>
    <r>
      <rPr>
        <b/>
        <sz val="12"/>
        <color indexed="18"/>
        <rFont val="Arial"/>
        <family val="2"/>
      </rPr>
      <t xml:space="preserve"> dB)</t>
    </r>
  </si>
  <si>
    <t>Source of uncertainty</t>
  </si>
  <si>
    <t>Allowed repeatibility</t>
  </si>
  <si>
    <t>Normal distribution</t>
  </si>
  <si>
    <t>Estimate of a type A uncertainty (S.D.), k=1</t>
  </si>
  <si>
    <r>
      <t>Type B uncertainty, as semi-ranges (10</t>
    </r>
    <r>
      <rPr>
        <b/>
        <vertAlign val="superscript"/>
        <sz val="12"/>
        <color indexed="18"/>
        <rFont val="Arial"/>
        <family val="2"/>
      </rPr>
      <t>-4</t>
    </r>
    <r>
      <rPr>
        <b/>
        <sz val="12"/>
        <color indexed="18"/>
        <rFont val="Arial"/>
        <family val="2"/>
      </rPr>
      <t xml:space="preserve"> dB)</t>
    </r>
  </si>
  <si>
    <t>Rectangular distribution</t>
  </si>
  <si>
    <t>Measurement</t>
  </si>
  <si>
    <t>Measurement Capacitor</t>
  </si>
  <si>
    <t>Voltage ratio</t>
  </si>
  <si>
    <t>Polarization Voltage</t>
  </si>
  <si>
    <t>Microphone parameters</t>
  </si>
  <si>
    <t>Acoustic impedance incl. volume (fit)</t>
  </si>
  <si>
    <t>Corrections</t>
  </si>
  <si>
    <t>Heat conduction</t>
  </si>
  <si>
    <t>Thread influence neglected</t>
  </si>
  <si>
    <t>Couplers</t>
  </si>
  <si>
    <t>Diameter</t>
  </si>
  <si>
    <t>Length</t>
  </si>
  <si>
    <t>Leakage</t>
  </si>
  <si>
    <t>Correction of results to normal environmental conditions</t>
  </si>
  <si>
    <t>Environmental conditions</t>
  </si>
  <si>
    <t>Humidity</t>
  </si>
  <si>
    <t>Humid air properties</t>
  </si>
  <si>
    <t>Estimate of type B uncertainty (S.D.), k=1</t>
  </si>
  <si>
    <r>
      <t>Overall uncertainty (10</t>
    </r>
    <r>
      <rPr>
        <b/>
        <vertAlign val="superscript"/>
        <sz val="12"/>
        <color indexed="18"/>
        <rFont val="Arial"/>
        <family val="2"/>
      </rPr>
      <t>-4</t>
    </r>
    <r>
      <rPr>
        <b/>
        <sz val="12"/>
        <color indexed="18"/>
        <rFont val="Arial"/>
        <family val="2"/>
      </rPr>
      <t xml:space="preserve"> dB)</t>
    </r>
  </si>
  <si>
    <t>Type A, k=2</t>
  </si>
  <si>
    <t>Type B, k=2</t>
  </si>
  <si>
    <t>Overall uncertainty, k=2</t>
  </si>
  <si>
    <t>Overall value (dB)</t>
  </si>
  <si>
    <t>Frequency /Hz)</t>
  </si>
  <si>
    <t>PTB</t>
  </si>
  <si>
    <r>
      <t>Type A uncertainty, as standard deviation (10</t>
    </r>
    <r>
      <rPr>
        <b/>
        <vertAlign val="superscript"/>
        <sz val="12"/>
        <color indexed="18"/>
        <rFont val="Arial"/>
        <family val="2"/>
      </rPr>
      <t>-4</t>
    </r>
    <r>
      <rPr>
        <b/>
        <sz val="12"/>
        <color indexed="18"/>
        <rFont val="Arial"/>
        <family val="2"/>
      </rPr>
      <t xml:space="preserve"> degrees)</t>
    </r>
  </si>
  <si>
    <r>
      <t>Type B uncertainty, as semi-ranges (10</t>
    </r>
    <r>
      <rPr>
        <b/>
        <vertAlign val="superscript"/>
        <sz val="12"/>
        <color indexed="18"/>
        <rFont val="Arial"/>
        <family val="2"/>
      </rPr>
      <t>-4</t>
    </r>
    <r>
      <rPr>
        <b/>
        <sz val="12"/>
        <color indexed="18"/>
        <rFont val="Arial"/>
        <family val="2"/>
      </rPr>
      <t xml:space="preserve"> degrees)</t>
    </r>
  </si>
  <si>
    <t>Phase ratio</t>
  </si>
  <si>
    <t>Acoustic impedance incl. volume(fit)</t>
  </si>
  <si>
    <r>
      <t>Overall uncertainty (10</t>
    </r>
    <r>
      <rPr>
        <b/>
        <vertAlign val="superscript"/>
        <sz val="12"/>
        <color indexed="18"/>
        <rFont val="Arial"/>
        <family val="2"/>
      </rPr>
      <t>-4</t>
    </r>
    <r>
      <rPr>
        <b/>
        <sz val="12"/>
        <color indexed="18"/>
        <rFont val="Arial"/>
        <family val="2"/>
      </rPr>
      <t xml:space="preserve"> degrees)</t>
    </r>
  </si>
  <si>
    <t>Overall value (degrees)</t>
  </si>
  <si>
    <t>Quoted value (degrees)</t>
  </si>
  <si>
    <r>
      <t xml:space="preserve">Uncertainity Budget For LS1P Microphone </t>
    </r>
    <r>
      <rPr>
        <b/>
        <sz val="11"/>
        <color indexed="10"/>
        <rFont val="Arial"/>
        <family val="2"/>
      </rPr>
      <t>(dB)</t>
    </r>
  </si>
  <si>
    <t xml:space="preserve"> Microphone Reciprocity Calibration System Type 9699</t>
  </si>
  <si>
    <t>Source of Uncertainity</t>
  </si>
  <si>
    <t>Symbol</t>
  </si>
  <si>
    <t xml:space="preserve">Probabilty Distribution Sensitivity </t>
  </si>
  <si>
    <t>31.6 Hz</t>
  </si>
  <si>
    <t>316 Hz</t>
  </si>
  <si>
    <t>1 .6kHz</t>
  </si>
  <si>
    <t>2 5kHz</t>
  </si>
  <si>
    <t>3.16 kHz</t>
  </si>
  <si>
    <t>Electrical Transfer Impedance</t>
  </si>
  <si>
    <t>S</t>
  </si>
  <si>
    <t>Series Capacitor</t>
  </si>
  <si>
    <t>c</t>
  </si>
  <si>
    <t>nf</t>
  </si>
  <si>
    <t>rectangular (type B)</t>
  </si>
  <si>
    <t>Votage Ratios</t>
  </si>
  <si>
    <t>vr</t>
  </si>
  <si>
    <t>-</t>
  </si>
  <si>
    <t>normal(type B)</t>
  </si>
  <si>
    <t>Cross Talk</t>
  </si>
  <si>
    <t>Inherent and Ambient Noise</t>
  </si>
  <si>
    <t>Distortion</t>
  </si>
  <si>
    <t>f</t>
  </si>
  <si>
    <t>Reciever Ground Shielding</t>
  </si>
  <si>
    <t>rectangular(type B)</t>
  </si>
  <si>
    <t>Reciever Ground Shielding(Guard Length)</t>
  </si>
  <si>
    <t>Transmitter Ground Shielding</t>
  </si>
  <si>
    <t>Transmitter Ground Shielding(Guard Length)</t>
  </si>
  <si>
    <t>Acoustic Transfer Impedance(Coupler and Gas)</t>
  </si>
  <si>
    <t>Coupler Length (normalized at 500Hz)</t>
  </si>
  <si>
    <t>Lcoup</t>
  </si>
  <si>
    <t>Coupler Diameter (normalized at 500Hz)</t>
  </si>
  <si>
    <t>d coup</t>
  </si>
  <si>
    <t>Coupler Voulme (SHORT7.5 MM)+Volume fitting</t>
  </si>
  <si>
    <t>v coup</t>
  </si>
  <si>
    <t>mm3</t>
  </si>
  <si>
    <t>Coupler Volume (Long 15 mm)+Volume fitting</t>
  </si>
  <si>
    <t>Coupler Surface Area (Short7.5  mm)</t>
  </si>
  <si>
    <t>scoup</t>
  </si>
  <si>
    <t>Coupler Surface Area (Long15  mm)</t>
  </si>
  <si>
    <t>Capillary Tube Length</t>
  </si>
  <si>
    <t>Capillary Tube Diameter</t>
  </si>
  <si>
    <t>Static Pressure of air in Coupler</t>
  </si>
  <si>
    <t>p</t>
  </si>
  <si>
    <t>Temperature of air in Coupler</t>
  </si>
  <si>
    <t>T</t>
  </si>
  <si>
    <t>C</t>
  </si>
  <si>
    <t>Relative Humidity of air in Coupler</t>
  </si>
  <si>
    <t>RH</t>
  </si>
  <si>
    <t>Acoustic Transfer Impedance(Microphone)</t>
  </si>
  <si>
    <t>Microphone Front Cavity Depth</t>
  </si>
  <si>
    <t>Lf</t>
  </si>
  <si>
    <t>Microphone Front Cavity Volume</t>
  </si>
  <si>
    <t>Vf</t>
  </si>
  <si>
    <t>Microphone Equivalent Volume</t>
  </si>
  <si>
    <t>Veq</t>
  </si>
  <si>
    <t>Microphone Diaphragm Resonance Frequency</t>
  </si>
  <si>
    <t>F0</t>
  </si>
  <si>
    <t>Microphone Diaphragm Loss Factor</t>
  </si>
  <si>
    <t>D</t>
  </si>
  <si>
    <t>Microphone Diaphragm Compliance</t>
  </si>
  <si>
    <t>not appl.</t>
  </si>
  <si>
    <t>m3/Pa</t>
  </si>
  <si>
    <t>Microphone Diaphragm Mass</t>
  </si>
  <si>
    <t>kg/m4</t>
  </si>
  <si>
    <t xml:space="preserve">Microphone Diaphragm Resistance </t>
  </si>
  <si>
    <t>Pa s/m3</t>
  </si>
  <si>
    <t>Mic.Cavity Thread- Short Coup.(heat cond.)</t>
  </si>
  <si>
    <t>Mic.Cavity Thread- Long Coup.(heat cond.)</t>
  </si>
  <si>
    <t>Microphone Polarization Voltage</t>
  </si>
  <si>
    <t>Imperfection of Theory</t>
  </si>
  <si>
    <t>Heat Conduction</t>
  </si>
  <si>
    <t>Adding of Excess Voulme</t>
  </si>
  <si>
    <t>Viscosity Losses</t>
  </si>
  <si>
    <t>Radial Wave-motion</t>
  </si>
  <si>
    <t>Processing of Results</t>
  </si>
  <si>
    <t>Rounding to 2decimals</t>
  </si>
  <si>
    <t>Repeatability of Measurements</t>
  </si>
  <si>
    <t>normal(type A)</t>
  </si>
  <si>
    <t>Static Pressure Cor.∆P and Coef.(500Hz)</t>
  </si>
  <si>
    <t>Static Pressure Cor.∆P and Ucoef.(500Hz)</t>
  </si>
  <si>
    <t>Static Pressure Cor.∆P and normalized Coef(f)</t>
  </si>
  <si>
    <t>Static Pressure Cor.∆P and Unormalized Coef(f)</t>
  </si>
  <si>
    <t>Temperature Cor.∆T and Coef(500Hz)</t>
  </si>
  <si>
    <t>Temperature Cor.∆T and Ucoef(500Hz)</t>
  </si>
  <si>
    <t>Temperature Cor.∆T and normalized Coef(f)</t>
  </si>
  <si>
    <t>Temperature Cor.∆T and Unormalized Coef(f)</t>
  </si>
  <si>
    <t>Combined uncertainity</t>
  </si>
  <si>
    <t>normal</t>
  </si>
  <si>
    <t>Expanded uncertainity</t>
  </si>
  <si>
    <t>Uncertainity Budget For LS1P Microphone (dB)</t>
  </si>
  <si>
    <t>S.No. 236126</t>
  </si>
  <si>
    <t>Coupler Volume (Long 15mm)+Volume fitting</t>
  </si>
  <si>
    <t>S.No. 811014</t>
  </si>
  <si>
    <t>NIS</t>
  </si>
  <si>
    <r>
      <rPr>
        <b/>
        <sz val="10"/>
        <rFont val="Times New Roman"/>
        <family val="1"/>
        <charset val="162"/>
      </rPr>
      <t>Sources of Uncertainty</t>
    </r>
    <r>
      <rPr>
        <sz val="10"/>
        <rFont val="Times New Roman"/>
        <family val="1"/>
        <charset val="162"/>
      </rPr>
      <t xml:space="preserve"> </t>
    </r>
  </si>
  <si>
    <t>Probability distribution</t>
  </si>
  <si>
    <t>Input Value</t>
  </si>
  <si>
    <t>microphone parameters</t>
  </si>
  <si>
    <t>cavity depth</t>
  </si>
  <si>
    <t>rectangular</t>
  </si>
  <si>
    <t>loss factor</t>
  </si>
  <si>
    <t>resonance frequency</t>
  </si>
  <si>
    <t>equivalent volume</t>
  </si>
  <si>
    <r>
      <t>mm</t>
    </r>
    <r>
      <rPr>
        <vertAlign val="superscript"/>
        <sz val="10"/>
        <rFont val="Times New Roman"/>
        <family val="1"/>
        <charset val="162"/>
      </rPr>
      <t>3</t>
    </r>
  </si>
  <si>
    <t>front volume</t>
  </si>
  <si>
    <t>pressure coefficient of the mic.</t>
  </si>
  <si>
    <t>temperature coefficient of the microphone</t>
  </si>
  <si>
    <t>dB/°C</t>
  </si>
  <si>
    <t>electrical measurements</t>
  </si>
  <si>
    <t>voltage ratio measurements</t>
  </si>
  <si>
    <t>ppm</t>
  </si>
  <si>
    <t>capacitance</t>
  </si>
  <si>
    <t>cross-talk</t>
  </si>
  <si>
    <t>polarization voltage</t>
  </si>
  <si>
    <t>mV</t>
  </si>
  <si>
    <t>frequency of applied signal</t>
  </si>
  <si>
    <t>inherent noise</t>
  </si>
  <si>
    <t>distortion</t>
  </si>
  <si>
    <t>environmental corrections</t>
  </si>
  <si>
    <t>static pressure</t>
  </si>
  <si>
    <t>temperature</t>
  </si>
  <si>
    <t>°C</t>
  </si>
  <si>
    <t>relative humidity</t>
  </si>
  <si>
    <t>%rh</t>
  </si>
  <si>
    <t>coupler parameters</t>
  </si>
  <si>
    <t>coupler length</t>
  </si>
  <si>
    <t>µm</t>
  </si>
  <si>
    <t>coupler diameter</t>
  </si>
  <si>
    <t>coupler surface</t>
  </si>
  <si>
    <t>coupler volume</t>
  </si>
  <si>
    <t>other</t>
  </si>
  <si>
    <t>rounding</t>
  </si>
  <si>
    <t>repeatability</t>
  </si>
  <si>
    <t>Combined Uncertainty</t>
  </si>
  <si>
    <t>Expanded Uncertainty</t>
  </si>
  <si>
    <t>Reported Uncertainty  (dB)</t>
  </si>
  <si>
    <t>Frequency /Hz</t>
  </si>
  <si>
    <t xml:space="preserve">Type B (rectangular) </t>
  </si>
  <si>
    <r>
      <t>Electrical parameters  /(10</t>
    </r>
    <r>
      <rPr>
        <b/>
        <vertAlign val="superscript"/>
        <sz val="10"/>
        <rFont val="Arial"/>
        <family val="2"/>
      </rPr>
      <t>-4</t>
    </r>
    <r>
      <rPr>
        <b/>
        <sz val="10"/>
        <rFont val="Arial"/>
        <family val="2"/>
      </rPr>
      <t xml:space="preserve"> dB)</t>
    </r>
  </si>
  <si>
    <r>
      <t>Microphone parameters  /(10</t>
    </r>
    <r>
      <rPr>
        <b/>
        <vertAlign val="superscript"/>
        <sz val="10"/>
        <rFont val="Arial"/>
        <family val="2"/>
      </rPr>
      <t>-4</t>
    </r>
    <r>
      <rPr>
        <b/>
        <sz val="10"/>
        <rFont val="Arial"/>
        <family val="2"/>
      </rPr>
      <t xml:space="preserve"> dB)</t>
    </r>
  </si>
  <si>
    <r>
      <t>Couplers volume  /(10</t>
    </r>
    <r>
      <rPr>
        <b/>
        <vertAlign val="superscript"/>
        <sz val="10"/>
        <rFont val="Arial"/>
        <family val="2"/>
      </rPr>
      <t>-4</t>
    </r>
    <r>
      <rPr>
        <b/>
        <sz val="10"/>
        <rFont val="Arial"/>
        <family val="2"/>
      </rPr>
      <t xml:space="preserve"> dB)</t>
    </r>
  </si>
  <si>
    <r>
      <t>Static pressure  /(10</t>
    </r>
    <r>
      <rPr>
        <b/>
        <vertAlign val="superscript"/>
        <sz val="10"/>
        <rFont val="Arial"/>
        <family val="2"/>
      </rPr>
      <t>-4</t>
    </r>
    <r>
      <rPr>
        <b/>
        <sz val="10"/>
        <rFont val="Arial"/>
        <family val="2"/>
      </rPr>
      <t xml:space="preserve"> dB)</t>
    </r>
  </si>
  <si>
    <r>
      <t>Humidity  /(10</t>
    </r>
    <r>
      <rPr>
        <b/>
        <vertAlign val="superscript"/>
        <sz val="10"/>
        <rFont val="Arial"/>
        <family val="2"/>
      </rPr>
      <t>-4</t>
    </r>
    <r>
      <rPr>
        <b/>
        <sz val="10"/>
        <rFont val="Arial"/>
        <family val="2"/>
      </rPr>
      <t xml:space="preserve"> dB)</t>
    </r>
  </si>
  <si>
    <r>
      <t>Temperature  /(10</t>
    </r>
    <r>
      <rPr>
        <b/>
        <vertAlign val="superscript"/>
        <sz val="10"/>
        <rFont val="Arial"/>
        <family val="2"/>
      </rPr>
      <t>-4</t>
    </r>
    <r>
      <rPr>
        <b/>
        <sz val="10"/>
        <rFont val="Arial"/>
        <family val="2"/>
      </rPr>
      <t xml:space="preserve"> dB)</t>
    </r>
  </si>
  <si>
    <t xml:space="preserve">Type A (normal)    </t>
  </si>
  <si>
    <r>
      <t>Repeteability and reproducibility (811014)  /(10</t>
    </r>
    <r>
      <rPr>
        <b/>
        <vertAlign val="superscript"/>
        <sz val="10"/>
        <rFont val="Arial"/>
        <family val="2"/>
      </rPr>
      <t>-4</t>
    </r>
    <r>
      <rPr>
        <b/>
        <sz val="10"/>
        <rFont val="Arial"/>
        <family val="2"/>
      </rPr>
      <t xml:space="preserve"> dB)</t>
    </r>
  </si>
  <si>
    <r>
      <t>Repeteability and reproducibility (2036126)  /(10</t>
    </r>
    <r>
      <rPr>
        <b/>
        <vertAlign val="superscript"/>
        <sz val="10"/>
        <rFont val="Arial"/>
        <family val="2"/>
      </rPr>
      <t>-4</t>
    </r>
    <r>
      <rPr>
        <b/>
        <sz val="10"/>
        <rFont val="Arial"/>
        <family val="2"/>
      </rPr>
      <t xml:space="preserve"> dB)</t>
    </r>
  </si>
  <si>
    <r>
      <t>U</t>
    </r>
    <r>
      <rPr>
        <b/>
        <sz val="10"/>
        <rFont val="Arial"/>
        <family val="2"/>
      </rPr>
      <t xml:space="preserve"> (</t>
    </r>
    <r>
      <rPr>
        <b/>
        <i/>
        <sz val="10"/>
        <rFont val="Arial"/>
        <family val="2"/>
      </rPr>
      <t>k</t>
    </r>
    <r>
      <rPr>
        <b/>
        <sz val="10"/>
        <rFont val="Arial"/>
        <family val="2"/>
      </rPr>
      <t>=2) /dB (811014)</t>
    </r>
  </si>
  <si>
    <r>
      <t>U</t>
    </r>
    <r>
      <rPr>
        <b/>
        <sz val="10"/>
        <rFont val="Arial"/>
        <family val="2"/>
      </rPr>
      <t xml:space="preserve"> (</t>
    </r>
    <r>
      <rPr>
        <b/>
        <i/>
        <sz val="10"/>
        <rFont val="Arial"/>
        <family val="2"/>
      </rPr>
      <t>k</t>
    </r>
    <r>
      <rPr>
        <b/>
        <sz val="10"/>
        <rFont val="Arial"/>
        <family val="2"/>
      </rPr>
      <t>=2) /dB (2036126)</t>
    </r>
  </si>
  <si>
    <t>CEM</t>
  </si>
  <si>
    <t>This Excel workbook contains all the uncertainty budgets submitted by the participating laboratories in the EURAMET.AUV.A-K5 key comparison.</t>
  </si>
  <si>
    <t xml:space="preserve">System type 9699 NCM - Uncertainty Budget for Microphones LS1P type 4160 </t>
  </si>
  <si>
    <t>Reproduc./Stabil., Mp</t>
  </si>
  <si>
    <t>Result Pounding, Mp</t>
  </si>
  <si>
    <t>&lt; 0.0005 dB</t>
  </si>
  <si>
    <t>Uncertainty at Measurement Conditions, dB</t>
  </si>
  <si>
    <t>Sensitivity Correction for Static Pressure, dB</t>
  </si>
  <si>
    <t>Sensitivity Correction for Temperature, dB</t>
  </si>
  <si>
    <t xml:space="preserve">Uncertainty at Reference Conditions, dB </t>
  </si>
  <si>
    <t>Specified Uncertainty (k=2), dB</t>
  </si>
  <si>
    <r>
      <t>Standard Uncertainty (x 10</t>
    </r>
    <r>
      <rPr>
        <b/>
        <vertAlign val="superscript"/>
        <sz val="10"/>
        <rFont val="Times New Roman"/>
        <family val="1"/>
        <charset val="162"/>
      </rPr>
      <t>-4</t>
    </r>
    <r>
      <rPr>
        <b/>
        <sz val="10"/>
        <rFont val="Times New Roman"/>
        <family val="1"/>
        <charset val="162"/>
      </rPr>
      <t xml:space="preserve"> dB)</t>
    </r>
  </si>
  <si>
    <t>6  and 11,5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</si>
</sst>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000"/>
    <numFmt numFmtId="165" formatCode="0.0"/>
    <numFmt numFmtId="166" formatCode="0.0000"/>
    <numFmt numFmtId="167" formatCode="0.000"/>
    <numFmt numFmtId="168" formatCode="0.00000"/>
    <numFmt numFmtId="169" formatCode="0.000000"/>
  </numFmts>
  <fonts count="58">
    <font>
      <sz val="11"/>
      <color theme="1"/>
      <name val="Calibri"/>
      <family val="2"/>
      <scheme val="minor"/>
    </font>
    <font>
      <b/>
      <sz val="11"/>
      <color theme="1"/>
      <name val="Calibri"/>
      <family val="2"/>
      <scheme val="minor"/>
    </font>
    <font>
      <sz val="6"/>
      <name val="Arial"/>
      <family val="2"/>
    </font>
    <font>
      <b/>
      <sz val="6"/>
      <name val="Arial"/>
      <family val="2"/>
    </font>
    <font>
      <sz val="6"/>
      <color rgb="FF000000"/>
      <name val="Arial"/>
      <family val="2"/>
    </font>
    <font>
      <sz val="10"/>
      <name val="Arial"/>
      <family val="2"/>
    </font>
    <font>
      <sz val="8"/>
      <name val="Symbol"/>
      <family val="1"/>
      <charset val="2"/>
    </font>
    <font>
      <sz val="10"/>
      <name val="Courier New"/>
      <family val="3"/>
    </font>
    <font>
      <sz val="8"/>
      <color rgb="FF808080"/>
      <name val="Calibri"/>
      <family val="2"/>
    </font>
    <font>
      <sz val="6"/>
      <color rgb="FF808080"/>
      <name val="Arial"/>
      <family val="2"/>
    </font>
    <font>
      <sz val="6"/>
      <color rgb="FF8080FF"/>
      <name val="Arial"/>
      <family val="2"/>
    </font>
    <font>
      <sz val="6"/>
      <color rgb="FF8080FF"/>
      <name val="Courier New"/>
      <family val="3"/>
    </font>
    <font>
      <b/>
      <sz val="10"/>
      <color theme="1"/>
      <name val="Arial"/>
      <family val="2"/>
    </font>
    <font>
      <sz val="10"/>
      <color theme="1"/>
      <name val="Arial"/>
      <family val="2"/>
    </font>
    <font>
      <sz val="8"/>
      <color theme="1"/>
      <name val="Times New Roman"/>
      <family val="1"/>
    </font>
    <font>
      <sz val="7"/>
      <color rgb="FF000000"/>
      <name val="Calibri"/>
      <family val="2"/>
      <scheme val="minor"/>
    </font>
    <font>
      <sz val="11"/>
      <color rgb="FF000000"/>
      <name val="Calibri"/>
      <family val="2"/>
      <scheme val="minor"/>
    </font>
    <font>
      <sz val="9"/>
      <color rgb="FF000000"/>
      <name val="Calibri"/>
      <family val="2"/>
      <scheme val="minor"/>
    </font>
    <font>
      <vertAlign val="superscript"/>
      <sz val="9"/>
      <color rgb="FF000000"/>
      <name val="Calibri"/>
      <family val="2"/>
      <scheme val="minor"/>
    </font>
    <font>
      <sz val="14"/>
      <color theme="1"/>
      <name val="Calibri"/>
      <family val="2"/>
      <scheme val="minor"/>
    </font>
    <font>
      <sz val="20"/>
      <color theme="1"/>
      <name val="Calibri"/>
      <family val="2"/>
      <scheme val="minor"/>
    </font>
    <font>
      <sz val="11"/>
      <color theme="1"/>
      <name val="Calibri"/>
      <family val="2"/>
      <charset val="128"/>
      <scheme val="minor"/>
    </font>
    <font>
      <sz val="9"/>
      <color indexed="81"/>
      <name val="Tahoma"/>
      <family val="2"/>
    </font>
    <font>
      <b/>
      <sz val="9"/>
      <color indexed="81"/>
      <name val="Tahoma"/>
      <family val="2"/>
    </font>
    <font>
      <b/>
      <sz val="14"/>
      <color rgb="FF000000"/>
      <name val="Calibri"/>
      <family val="2"/>
      <scheme val="minor"/>
    </font>
    <font>
      <b/>
      <sz val="11"/>
      <color rgb="FF000000"/>
      <name val="Calibri"/>
      <family val="2"/>
      <scheme val="minor"/>
    </font>
    <font>
      <vertAlign val="superscript"/>
      <sz val="11"/>
      <color rgb="FF000000"/>
      <name val="Calibri"/>
      <family val="2"/>
      <scheme val="minor"/>
    </font>
    <font>
      <sz val="11"/>
      <color rgb="FF00B050"/>
      <name val="Calibri"/>
      <family val="2"/>
      <scheme val="minor"/>
    </font>
    <font>
      <sz val="11"/>
      <color rgb="FFBFBFBF"/>
      <name val="Calibri"/>
      <family val="2"/>
      <scheme val="minor"/>
    </font>
    <font>
      <i/>
      <sz val="11"/>
      <color rgb="FFBFBFBF"/>
      <name val="Calibri"/>
      <family val="2"/>
      <scheme val="minor"/>
    </font>
    <font>
      <vertAlign val="subscript"/>
      <sz val="8"/>
      <color indexed="8"/>
      <name val="Times New Roman"/>
      <family val="1"/>
    </font>
    <font>
      <vertAlign val="superscript"/>
      <sz val="8"/>
      <color indexed="8"/>
      <name val="Times New Roman"/>
      <family val="1"/>
    </font>
    <font>
      <i/>
      <sz val="8"/>
      <color indexed="8"/>
      <name val="Times New Roman"/>
      <family val="1"/>
    </font>
    <font>
      <sz val="8"/>
      <color indexed="8"/>
      <name val="Times New Roman"/>
      <family val="1"/>
    </font>
    <font>
      <b/>
      <sz val="10"/>
      <name val="MS Sans Serif"/>
      <family val="2"/>
    </font>
    <font>
      <b/>
      <sz val="9"/>
      <name val="Arial"/>
      <family val="2"/>
    </font>
    <font>
      <sz val="11"/>
      <name val="Calibri"/>
      <family val="2"/>
    </font>
    <font>
      <b/>
      <sz val="10"/>
      <name val="Arial"/>
      <family val="2"/>
    </font>
    <font>
      <i/>
      <sz val="10"/>
      <name val="Symbol"/>
      <family val="1"/>
      <charset val="2"/>
    </font>
    <font>
      <b/>
      <sz val="12"/>
      <color indexed="18"/>
      <name val="Arial"/>
      <family val="2"/>
    </font>
    <font>
      <b/>
      <vertAlign val="superscript"/>
      <sz val="12"/>
      <color indexed="18"/>
      <name val="Arial"/>
      <family val="2"/>
    </font>
    <font>
      <i/>
      <sz val="12"/>
      <color indexed="18"/>
      <name val="Arial"/>
      <family val="2"/>
    </font>
    <font>
      <sz val="12"/>
      <name val="Arial"/>
      <family val="2"/>
    </font>
    <font>
      <b/>
      <sz val="11"/>
      <color indexed="17"/>
      <name val="Arial"/>
      <family val="2"/>
    </font>
    <font>
      <b/>
      <sz val="11"/>
      <color indexed="10"/>
      <name val="Arial"/>
      <family val="2"/>
    </font>
    <font>
      <sz val="11"/>
      <color indexed="10"/>
      <name val="Arial"/>
      <family val="2"/>
    </font>
    <font>
      <sz val="11"/>
      <color indexed="17"/>
      <name val="Arial"/>
      <family val="2"/>
    </font>
    <font>
      <b/>
      <sz val="11"/>
      <color indexed="60"/>
      <name val="Arial"/>
      <family val="2"/>
    </font>
    <font>
      <sz val="10"/>
      <name val="Times New Roman"/>
      <family val="1"/>
      <charset val="162"/>
    </font>
    <font>
      <b/>
      <sz val="10"/>
      <name val="Times New Roman"/>
      <family val="1"/>
      <charset val="162"/>
    </font>
    <font>
      <b/>
      <sz val="10"/>
      <name val="Arial"/>
      <family val="2"/>
      <charset val="162"/>
    </font>
    <font>
      <vertAlign val="superscript"/>
      <sz val="10"/>
      <name val="Times New Roman"/>
      <family val="1"/>
      <charset val="162"/>
    </font>
    <font>
      <b/>
      <sz val="10"/>
      <color indexed="10"/>
      <name val="Times New Roman"/>
      <family val="1"/>
      <charset val="162"/>
    </font>
    <font>
      <b/>
      <vertAlign val="superscript"/>
      <sz val="10"/>
      <name val="Arial"/>
      <family val="2"/>
    </font>
    <font>
      <b/>
      <i/>
      <sz val="10"/>
      <name val="Arial"/>
      <family val="2"/>
    </font>
    <font>
      <sz val="9"/>
      <name val="Arial"/>
    </font>
    <font>
      <b/>
      <sz val="10"/>
      <name val="MS Sans Serif"/>
    </font>
    <font>
      <b/>
      <vertAlign val="superscript"/>
      <sz val="10"/>
      <name val="Times New Roman"/>
      <family val="1"/>
      <charset val="162"/>
    </font>
  </fonts>
  <fills count="14">
    <fill>
      <patternFill patternType="none"/>
    </fill>
    <fill>
      <patternFill patternType="gray125"/>
    </fill>
    <fill>
      <patternFill patternType="solid">
        <fgColor rgb="FFFFFFFF"/>
        <bgColor rgb="FF000000"/>
      </patternFill>
    </fill>
    <fill>
      <patternFill patternType="solid">
        <fgColor theme="6" tint="0.39997558519241921"/>
        <bgColor rgb="FF000000"/>
      </patternFill>
    </fill>
    <fill>
      <patternFill patternType="solid">
        <fgColor theme="6" tint="-0.249977111117893"/>
        <bgColor rgb="FF000000"/>
      </patternFill>
    </fill>
    <fill>
      <patternFill patternType="solid">
        <fgColor theme="9" tint="0.39997558519241921"/>
        <bgColor rgb="FF000000"/>
      </patternFill>
    </fill>
    <fill>
      <patternFill patternType="solid">
        <fgColor rgb="FFD9D9D9"/>
        <bgColor indexed="64"/>
      </patternFill>
    </fill>
    <fill>
      <patternFill patternType="solid">
        <fgColor indexed="15"/>
        <bgColor indexed="64"/>
      </patternFill>
    </fill>
    <fill>
      <patternFill patternType="solid">
        <fgColor indexed="11"/>
        <bgColor indexed="64"/>
      </patternFill>
    </fill>
    <fill>
      <patternFill patternType="solid">
        <fgColor indexed="47"/>
        <bgColor indexed="64"/>
      </patternFill>
    </fill>
    <fill>
      <patternFill patternType="solid">
        <fgColor indexed="46"/>
        <bgColor indexed="64"/>
      </patternFill>
    </fill>
    <fill>
      <patternFill patternType="solid">
        <fgColor indexed="29"/>
        <bgColor indexed="64"/>
      </patternFill>
    </fill>
    <fill>
      <patternFill patternType="solid">
        <fgColor theme="0"/>
        <bgColor indexed="64"/>
      </patternFill>
    </fill>
    <fill>
      <patternFill patternType="solid">
        <fgColor indexed="13"/>
        <bgColor indexed="64"/>
      </patternFill>
    </fill>
  </fills>
  <borders count="50">
    <border>
      <left/>
      <right/>
      <top/>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rgb="FF000000"/>
      </right>
      <top style="medium">
        <color indexed="64"/>
      </top>
      <bottom/>
      <diagonal/>
    </border>
    <border>
      <left/>
      <right style="medium">
        <color rgb="FF000000"/>
      </right>
      <top/>
      <bottom/>
      <diagonal/>
    </border>
    <border>
      <left/>
      <right/>
      <top/>
      <bottom style="medium">
        <color rgb="FF000000"/>
      </bottom>
      <diagonal/>
    </border>
    <border>
      <left style="medium">
        <color indexed="64"/>
      </left>
      <right/>
      <top/>
      <bottom style="medium">
        <color rgb="FF000000"/>
      </bottom>
      <diagonal/>
    </border>
    <border>
      <left style="medium">
        <color indexed="64"/>
      </left>
      <right/>
      <top style="medium">
        <color rgb="FF000000"/>
      </top>
      <bottom/>
      <diagonal/>
    </border>
    <border>
      <left style="medium">
        <color rgb="FF000000"/>
      </left>
      <right/>
      <top style="medium">
        <color indexed="64"/>
      </top>
      <bottom/>
      <diagonal/>
    </border>
    <border>
      <left style="medium">
        <color rgb="FF000000"/>
      </left>
      <right/>
      <top/>
      <bottom style="medium">
        <color rgb="FF000000"/>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ck">
        <color indexed="17"/>
      </left>
      <right/>
      <top style="thick">
        <color indexed="17"/>
      </top>
      <bottom style="thick">
        <color indexed="17"/>
      </bottom>
      <diagonal/>
    </border>
    <border>
      <left/>
      <right style="thick">
        <color indexed="17"/>
      </right>
      <top style="thick">
        <color indexed="17"/>
      </top>
      <bottom style="thick">
        <color indexed="17"/>
      </bottom>
      <diagonal/>
    </border>
    <border>
      <left style="thick">
        <color indexed="17"/>
      </left>
      <right style="thick">
        <color indexed="17"/>
      </right>
      <top style="thick">
        <color indexed="17"/>
      </top>
      <bottom style="thick">
        <color indexed="17"/>
      </bottom>
      <diagonal/>
    </border>
    <border>
      <left style="thick">
        <color indexed="17"/>
      </left>
      <right style="thick">
        <color indexed="17"/>
      </right>
      <top style="thick">
        <color indexed="17"/>
      </top>
      <bottom/>
      <diagonal/>
    </border>
    <border>
      <left style="thick">
        <color indexed="17"/>
      </left>
      <right/>
      <top style="thick">
        <color indexed="17"/>
      </top>
      <bottom/>
      <diagonal/>
    </border>
    <border>
      <left/>
      <right/>
      <top style="thick">
        <color indexed="17"/>
      </top>
      <bottom/>
      <diagonal/>
    </border>
    <border>
      <left/>
      <right style="thick">
        <color indexed="17"/>
      </right>
      <top style="thick">
        <color indexed="17"/>
      </top>
      <bottom/>
      <diagonal/>
    </border>
    <border>
      <left style="thick">
        <color indexed="17"/>
      </left>
      <right style="thick">
        <color indexed="17"/>
      </right>
      <top/>
      <bottom/>
      <diagonal/>
    </border>
    <border>
      <left style="thick">
        <color indexed="17"/>
      </left>
      <right/>
      <top/>
      <bottom/>
      <diagonal/>
    </border>
    <border>
      <left/>
      <right style="thick">
        <color indexed="17"/>
      </right>
      <top/>
      <bottom/>
      <diagonal/>
    </border>
    <border>
      <left style="thick">
        <color indexed="17"/>
      </left>
      <right style="thick">
        <color indexed="17"/>
      </right>
      <top/>
      <bottom style="thick">
        <color indexed="17"/>
      </bottom>
      <diagonal/>
    </border>
    <border>
      <left style="thick">
        <color indexed="17"/>
      </left>
      <right/>
      <top/>
      <bottom style="thick">
        <color indexed="17"/>
      </bottom>
      <diagonal/>
    </border>
    <border>
      <left/>
      <right/>
      <top/>
      <bottom style="thick">
        <color indexed="17"/>
      </bottom>
      <diagonal/>
    </border>
    <border>
      <left/>
      <right style="thick">
        <color indexed="17"/>
      </right>
      <top/>
      <bottom style="thick">
        <color indexed="17"/>
      </bottom>
      <diagonal/>
    </border>
    <border>
      <left/>
      <right/>
      <top style="medium">
        <color indexed="23"/>
      </top>
      <bottom/>
      <diagonal/>
    </border>
    <border>
      <left/>
      <right/>
      <top/>
      <bottom style="medium">
        <color indexed="23"/>
      </bottom>
      <diagonal/>
    </border>
    <border>
      <left/>
      <right/>
      <top style="thin">
        <color indexed="23"/>
      </top>
      <bottom/>
      <diagonal/>
    </border>
    <border>
      <left/>
      <right/>
      <top style="medium">
        <color indexed="23"/>
      </top>
      <bottom style="medium">
        <color indexed="2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21" fillId="0" borderId="0">
      <alignment vertical="center"/>
    </xf>
  </cellStyleXfs>
  <cellXfs count="316">
    <xf numFmtId="0" fontId="0" fillId="0" borderId="0" xfId="0"/>
    <xf numFmtId="0" fontId="2" fillId="2" borderId="0" xfId="0" applyFont="1" applyFill="1" applyBorder="1"/>
    <xf numFmtId="0" fontId="3" fillId="2" borderId="0" xfId="0" applyFont="1" applyFill="1" applyBorder="1"/>
    <xf numFmtId="0" fontId="2" fillId="2" borderId="0" xfId="0" applyFont="1" applyFill="1" applyBorder="1" applyAlignment="1">
      <alignment horizontal="centerContinuous"/>
    </xf>
    <xf numFmtId="0" fontId="2" fillId="2" borderId="1" xfId="0" applyFont="1" applyFill="1" applyBorder="1"/>
    <xf numFmtId="0" fontId="2" fillId="2" borderId="1" xfId="0" applyFont="1" applyFill="1" applyBorder="1" applyAlignment="1">
      <alignment horizontal="center" vertical="top"/>
    </xf>
    <xf numFmtId="0" fontId="2" fillId="2" borderId="1" xfId="0" applyFont="1" applyFill="1" applyBorder="1" applyAlignment="1">
      <alignment horizontal="centerContinuous" vertical="top"/>
    </xf>
    <xf numFmtId="0" fontId="2" fillId="2" borderId="2" xfId="0" applyFont="1" applyFill="1" applyBorder="1"/>
    <xf numFmtId="0" fontId="2" fillId="2" borderId="2" xfId="0" applyFont="1" applyFill="1" applyBorder="1" applyAlignment="1">
      <alignment wrapText="1"/>
    </xf>
    <xf numFmtId="0" fontId="2" fillId="2" borderId="2" xfId="0" applyFont="1" applyFill="1" applyBorder="1" applyAlignment="1">
      <alignment horizontal="right"/>
    </xf>
    <xf numFmtId="0" fontId="4" fillId="2" borderId="0" xfId="0" applyFont="1" applyFill="1" applyBorder="1" applyAlignment="1">
      <alignment horizontal="right"/>
    </xf>
    <xf numFmtId="0" fontId="2" fillId="2" borderId="0" xfId="0" applyFont="1" applyFill="1" applyBorder="1" applyAlignment="1">
      <alignment horizontal="right"/>
    </xf>
    <xf numFmtId="0" fontId="5" fillId="2" borderId="0" xfId="0" applyFont="1" applyFill="1" applyBorder="1"/>
    <xf numFmtId="1" fontId="2" fillId="2" borderId="0" xfId="0" applyNumberFormat="1" applyFont="1" applyFill="1" applyBorder="1" applyAlignment="1">
      <alignment horizontal="right"/>
    </xf>
    <xf numFmtId="1" fontId="2" fillId="2" borderId="0" xfId="0" applyNumberFormat="1" applyFont="1" applyFill="1" applyBorder="1"/>
    <xf numFmtId="1" fontId="2" fillId="2" borderId="1" xfId="0" applyNumberFormat="1" applyFont="1" applyFill="1" applyBorder="1" applyAlignment="1">
      <alignment horizontal="right"/>
    </xf>
    <xf numFmtId="0" fontId="2" fillId="2" borderId="0" xfId="0" applyFont="1" applyFill="1" applyBorder="1" applyProtection="1"/>
    <xf numFmtId="0" fontId="6" fillId="2" borderId="0" xfId="0" applyFont="1" applyFill="1" applyBorder="1" applyProtection="1"/>
    <xf numFmtId="164" fontId="2" fillId="2" borderId="0" xfId="0" applyNumberFormat="1" applyFont="1" applyFill="1" applyBorder="1" applyProtection="1"/>
    <xf numFmtId="0" fontId="4" fillId="2" borderId="0" xfId="0" applyFont="1" applyFill="1" applyBorder="1"/>
    <xf numFmtId="1" fontId="2" fillId="2" borderId="1" xfId="0" applyNumberFormat="1" applyFont="1" applyFill="1" applyBorder="1"/>
    <xf numFmtId="0" fontId="7" fillId="2" borderId="0" xfId="0" applyFont="1" applyFill="1" applyBorder="1"/>
    <xf numFmtId="0" fontId="6" fillId="2" borderId="0" xfId="0" applyFont="1" applyFill="1" applyBorder="1"/>
    <xf numFmtId="0" fontId="8" fillId="2" borderId="0" xfId="0" applyFont="1" applyFill="1" applyBorder="1" applyAlignment="1">
      <alignment horizontal="right"/>
    </xf>
    <xf numFmtId="1" fontId="9" fillId="2" borderId="0" xfId="0" applyNumberFormat="1" applyFont="1" applyFill="1" applyBorder="1"/>
    <xf numFmtId="0" fontId="5" fillId="2" borderId="2" xfId="0" applyFont="1" applyFill="1" applyBorder="1"/>
    <xf numFmtId="0" fontId="10" fillId="2" borderId="2" xfId="0" applyFont="1" applyFill="1" applyBorder="1"/>
    <xf numFmtId="2" fontId="2" fillId="2" borderId="2" xfId="0" applyNumberFormat="1" applyFont="1" applyFill="1" applyBorder="1"/>
    <xf numFmtId="0" fontId="2" fillId="0" borderId="0" xfId="0" applyFont="1" applyFill="1" applyBorder="1"/>
    <xf numFmtId="0" fontId="3" fillId="0" borderId="0" xfId="0" applyFont="1" applyFill="1" applyBorder="1"/>
    <xf numFmtId="0" fontId="2" fillId="0" borderId="0" xfId="0" applyFont="1" applyFill="1" applyBorder="1" applyAlignment="1">
      <alignment horizontal="centerContinuous"/>
    </xf>
    <xf numFmtId="0" fontId="2" fillId="0" borderId="1" xfId="0" applyFont="1" applyFill="1" applyBorder="1"/>
    <xf numFmtId="0" fontId="2" fillId="0" borderId="2" xfId="0" applyFont="1" applyFill="1" applyBorder="1"/>
    <xf numFmtId="0" fontId="5" fillId="0" borderId="0" xfId="0" applyFont="1" applyFill="1" applyBorder="1"/>
    <xf numFmtId="0" fontId="2" fillId="0" borderId="0" xfId="0" applyFont="1" applyFill="1" applyBorder="1" applyProtection="1"/>
    <xf numFmtId="0" fontId="7" fillId="0" borderId="0" xfId="0" applyFont="1" applyFill="1" applyBorder="1"/>
    <xf numFmtId="0" fontId="11" fillId="2" borderId="0" xfId="0" applyFont="1" applyFill="1" applyBorder="1"/>
    <xf numFmtId="165" fontId="2" fillId="2" borderId="2" xfId="0" applyNumberFormat="1" applyFont="1" applyFill="1" applyBorder="1"/>
    <xf numFmtId="0" fontId="13" fillId="0" borderId="0" xfId="0" applyFont="1" applyAlignment="1">
      <alignment vertical="center"/>
    </xf>
    <xf numFmtId="0" fontId="0" fillId="0" borderId="10" xfId="0" applyBorder="1" applyAlignment="1">
      <alignment vertical="center"/>
    </xf>
    <xf numFmtId="0" fontId="14" fillId="0" borderId="10" xfId="0" applyFont="1" applyBorder="1" applyAlignment="1">
      <alignment horizontal="center" vertical="center" wrapText="1"/>
    </xf>
    <xf numFmtId="0" fontId="15" fillId="0" borderId="3" xfId="0" applyFont="1" applyBorder="1" applyAlignment="1">
      <alignment vertical="center" wrapText="1"/>
    </xf>
    <xf numFmtId="0" fontId="15" fillId="0" borderId="6" xfId="0" applyFont="1" applyBorder="1" applyAlignment="1">
      <alignment horizontal="center" vertical="center"/>
    </xf>
    <xf numFmtId="0" fontId="15" fillId="0" borderId="6" xfId="0" applyFont="1" applyBorder="1" applyAlignment="1">
      <alignment horizontal="right" vertical="center"/>
    </xf>
    <xf numFmtId="0" fontId="15" fillId="0" borderId="7" xfId="0" applyFont="1" applyBorder="1" applyAlignment="1">
      <alignment vertical="center" wrapText="1"/>
    </xf>
    <xf numFmtId="0" fontId="15" fillId="0" borderId="10" xfId="0" applyFont="1" applyBorder="1" applyAlignment="1">
      <alignment horizontal="center" vertical="center"/>
    </xf>
    <xf numFmtId="0" fontId="15" fillId="0" borderId="10" xfId="0" applyFont="1" applyBorder="1" applyAlignment="1">
      <alignment horizontal="right" vertical="center"/>
    </xf>
    <xf numFmtId="0" fontId="15" fillId="0" borderId="6" xfId="0" applyFont="1" applyBorder="1" applyAlignment="1">
      <alignment horizontal="center" vertical="center" wrapText="1"/>
    </xf>
    <xf numFmtId="0" fontId="15" fillId="0" borderId="10" xfId="0" applyFont="1" applyBorder="1" applyAlignment="1">
      <alignment horizontal="center" vertical="center" wrapText="1"/>
    </xf>
    <xf numFmtId="0" fontId="13" fillId="0" borderId="0" xfId="0" applyFont="1" applyAlignment="1">
      <alignment horizontal="justify" vertical="center"/>
    </xf>
    <xf numFmtId="3" fontId="15" fillId="0" borderId="10" xfId="0" applyNumberFormat="1" applyFont="1" applyBorder="1" applyAlignment="1">
      <alignment horizontal="right" vertical="center"/>
    </xf>
    <xf numFmtId="0" fontId="15" fillId="0" borderId="3" xfId="0" applyFont="1" applyBorder="1" applyAlignment="1">
      <alignment horizontal="justify" vertical="center" wrapText="1"/>
    </xf>
    <xf numFmtId="0" fontId="15" fillId="0" borderId="7" xfId="0" applyFont="1" applyBorder="1" applyAlignment="1">
      <alignment horizontal="justify" vertical="center" wrapText="1"/>
    </xf>
    <xf numFmtId="0" fontId="15" fillId="0" borderId="3" xfId="0" applyFont="1" applyBorder="1" applyAlignment="1">
      <alignment vertical="center"/>
    </xf>
    <xf numFmtId="0" fontId="15" fillId="0" borderId="7" xfId="0" applyFont="1" applyBorder="1" applyAlignment="1">
      <alignment vertical="center"/>
    </xf>
    <xf numFmtId="0" fontId="17" fillId="0" borderId="3" xfId="0" applyFont="1" applyBorder="1" applyAlignment="1">
      <alignment vertical="center"/>
    </xf>
    <xf numFmtId="0" fontId="17" fillId="0" borderId="6" xfId="0" applyFont="1" applyBorder="1" applyAlignment="1">
      <alignment horizontal="center" vertical="center"/>
    </xf>
    <xf numFmtId="0" fontId="17" fillId="0" borderId="6" xfId="0" applyFont="1" applyBorder="1" applyAlignment="1">
      <alignment horizontal="right" vertical="center"/>
    </xf>
    <xf numFmtId="0" fontId="17" fillId="0" borderId="7" xfId="0" applyFont="1" applyBorder="1" applyAlignment="1">
      <alignment vertical="center"/>
    </xf>
    <xf numFmtId="0" fontId="17" fillId="0" borderId="10" xfId="0" applyFont="1" applyBorder="1" applyAlignment="1">
      <alignment horizontal="center" vertical="center"/>
    </xf>
    <xf numFmtId="0" fontId="17" fillId="0" borderId="10" xfId="0" applyFont="1" applyBorder="1" applyAlignment="1">
      <alignment horizontal="right" vertical="center"/>
    </xf>
    <xf numFmtId="0" fontId="19" fillId="0" borderId="0" xfId="0" applyFont="1"/>
    <xf numFmtId="0" fontId="20" fillId="0" borderId="0" xfId="0" applyFont="1"/>
    <xf numFmtId="0" fontId="2" fillId="3" borderId="0" xfId="0" applyFont="1" applyFill="1" applyBorder="1"/>
    <xf numFmtId="0" fontId="2" fillId="4" borderId="0" xfId="0" applyFont="1" applyFill="1" applyBorder="1"/>
    <xf numFmtId="0" fontId="4" fillId="3" borderId="0" xfId="0" applyFont="1" applyFill="1" applyBorder="1" applyAlignment="1">
      <alignment horizontal="right"/>
    </xf>
    <xf numFmtId="0" fontId="2" fillId="3" borderId="0" xfId="0" applyFont="1" applyFill="1" applyBorder="1" applyAlignment="1">
      <alignment horizontal="right"/>
    </xf>
    <xf numFmtId="1" fontId="2" fillId="3" borderId="0" xfId="0" applyNumberFormat="1" applyFont="1" applyFill="1" applyBorder="1" applyAlignment="1">
      <alignment horizontal="right"/>
    </xf>
    <xf numFmtId="1" fontId="2" fillId="3" borderId="0" xfId="0" applyNumberFormat="1" applyFont="1" applyFill="1" applyBorder="1"/>
    <xf numFmtId="1" fontId="4" fillId="3" borderId="0" xfId="0" applyNumberFormat="1" applyFont="1" applyFill="1" applyBorder="1" applyAlignment="1">
      <alignment horizontal="right"/>
    </xf>
    <xf numFmtId="0" fontId="4" fillId="3" borderId="0" xfId="0" applyFont="1" applyFill="1" applyBorder="1"/>
    <xf numFmtId="0" fontId="2" fillId="5" borderId="0" xfId="0" applyFont="1" applyFill="1" applyBorder="1"/>
    <xf numFmtId="0" fontId="4" fillId="5" borderId="0" xfId="0" applyFont="1" applyFill="1" applyBorder="1"/>
    <xf numFmtId="0" fontId="4" fillId="5" borderId="0" xfId="0" applyFont="1" applyFill="1" applyBorder="1" applyAlignment="1">
      <alignment horizontal="right"/>
    </xf>
    <xf numFmtId="0" fontId="2" fillId="3" borderId="0" xfId="0" applyFont="1" applyFill="1" applyBorder="1" applyAlignment="1"/>
    <xf numFmtId="0" fontId="1" fillId="0" borderId="0" xfId="0" applyFont="1"/>
    <xf numFmtId="0" fontId="12" fillId="0" borderId="0" xfId="0" applyFont="1"/>
    <xf numFmtId="0" fontId="24" fillId="6" borderId="8" xfId="0" applyFont="1" applyFill="1" applyBorder="1" applyAlignment="1">
      <alignment vertical="center"/>
    </xf>
    <xf numFmtId="0" fontId="24" fillId="6" borderId="9" xfId="0" applyFont="1" applyFill="1" applyBorder="1" applyAlignment="1">
      <alignment vertical="center"/>
    </xf>
    <xf numFmtId="0" fontId="24" fillId="6" borderId="10" xfId="0" applyFont="1" applyFill="1" applyBorder="1" applyAlignment="1">
      <alignment vertical="center"/>
    </xf>
    <xf numFmtId="0" fontId="25" fillId="6" borderId="0" xfId="0" applyFont="1" applyFill="1" applyAlignment="1">
      <alignment horizontal="center" vertical="center"/>
    </xf>
    <xf numFmtId="0" fontId="25" fillId="6" borderId="11" xfId="0" applyFont="1" applyFill="1" applyBorder="1" applyAlignment="1">
      <alignment horizontal="center" vertical="center"/>
    </xf>
    <xf numFmtId="0" fontId="25" fillId="6" borderId="0" xfId="0" applyFont="1" applyFill="1" applyAlignment="1">
      <alignment horizontal="center" vertical="center" wrapText="1"/>
    </xf>
    <xf numFmtId="0" fontId="25" fillId="6" borderId="20" xfId="0" applyFont="1" applyFill="1" applyBorder="1" applyAlignment="1">
      <alignment horizontal="center" vertical="center" wrapText="1"/>
    </xf>
    <xf numFmtId="0" fontId="25" fillId="6" borderId="9" xfId="0" applyFont="1" applyFill="1" applyBorder="1" applyAlignment="1">
      <alignment vertical="center"/>
    </xf>
    <xf numFmtId="0" fontId="16" fillId="6" borderId="10" xfId="0" applyFont="1" applyFill="1" applyBorder="1" applyAlignment="1">
      <alignment vertical="center"/>
    </xf>
    <xf numFmtId="0" fontId="25" fillId="6" borderId="9" xfId="0" applyFont="1" applyFill="1" applyBorder="1" applyAlignment="1">
      <alignment horizontal="center" vertical="center"/>
    </xf>
    <xf numFmtId="0" fontId="25" fillId="6" borderId="10" xfId="0" applyFont="1" applyFill="1" applyBorder="1" applyAlignment="1">
      <alignment horizontal="center" vertical="center"/>
    </xf>
    <xf numFmtId="0" fontId="16" fillId="6" borderId="17" xfId="0" applyFont="1" applyFill="1" applyBorder="1" applyAlignment="1">
      <alignment vertical="center"/>
    </xf>
    <xf numFmtId="0" fontId="25" fillId="6" borderId="0" xfId="0" applyFont="1" applyFill="1" applyAlignment="1">
      <alignment vertical="center"/>
    </xf>
    <xf numFmtId="0" fontId="16" fillId="6" borderId="12" xfId="0" applyFont="1" applyFill="1" applyBorder="1" applyAlignment="1">
      <alignment vertical="center"/>
    </xf>
    <xf numFmtId="0" fontId="25" fillId="6" borderId="15" xfId="0" applyFont="1" applyFill="1" applyBorder="1" applyAlignment="1">
      <alignment horizontal="center" vertical="center"/>
    </xf>
    <xf numFmtId="0" fontId="25" fillId="6" borderId="8" xfId="0" applyFont="1" applyFill="1" applyBorder="1" applyAlignment="1">
      <alignment horizontal="center" vertical="center"/>
    </xf>
    <xf numFmtId="0" fontId="16" fillId="6" borderId="9" xfId="0" applyFont="1" applyFill="1" applyBorder="1" applyAlignment="1">
      <alignment vertical="center"/>
    </xf>
    <xf numFmtId="0" fontId="25" fillId="6" borderId="7" xfId="0" applyFont="1" applyFill="1" applyBorder="1" applyAlignment="1">
      <alignment horizontal="center" vertical="center"/>
    </xf>
    <xf numFmtId="0" fontId="16" fillId="6" borderId="0" xfId="0" applyFont="1" applyFill="1" applyAlignment="1">
      <alignment vertical="center"/>
    </xf>
    <xf numFmtId="0" fontId="16" fillId="0" borderId="11" xfId="0" applyFont="1" applyBorder="1" applyAlignment="1">
      <alignment horizontal="right" vertical="center"/>
    </xf>
    <xf numFmtId="0" fontId="16" fillId="0" borderId="0" xfId="0" applyFont="1" applyAlignment="1">
      <alignment vertical="center"/>
    </xf>
    <xf numFmtId="10" fontId="16" fillId="0" borderId="0" xfId="0" applyNumberFormat="1" applyFont="1" applyAlignment="1">
      <alignment horizontal="right" vertical="center"/>
    </xf>
    <xf numFmtId="0" fontId="16" fillId="0" borderId="0" xfId="0" applyFont="1" applyAlignment="1">
      <alignment horizontal="right" vertical="center"/>
    </xf>
    <xf numFmtId="0" fontId="16" fillId="0" borderId="12" xfId="0" applyFont="1" applyBorder="1" applyAlignment="1">
      <alignment vertical="center"/>
    </xf>
    <xf numFmtId="0" fontId="16" fillId="0" borderId="15" xfId="0" applyFont="1" applyBorder="1" applyAlignment="1">
      <alignment horizontal="right" vertical="center"/>
    </xf>
    <xf numFmtId="0" fontId="16" fillId="0" borderId="8" xfId="0" applyFont="1" applyBorder="1" applyAlignment="1">
      <alignment horizontal="right" vertical="center"/>
    </xf>
    <xf numFmtId="0" fontId="16" fillId="0" borderId="9" xfId="0" applyFont="1" applyBorder="1" applyAlignment="1">
      <alignment vertical="center"/>
    </xf>
    <xf numFmtId="10" fontId="16" fillId="0" borderId="9" xfId="0" applyNumberFormat="1" applyFont="1" applyBorder="1" applyAlignment="1">
      <alignment horizontal="right" vertical="center"/>
    </xf>
    <xf numFmtId="0" fontId="16" fillId="0" borderId="9" xfId="0" applyFont="1" applyBorder="1" applyAlignment="1">
      <alignment horizontal="right" vertical="center"/>
    </xf>
    <xf numFmtId="0" fontId="16" fillId="0" borderId="10" xfId="0" applyFont="1" applyBorder="1" applyAlignment="1">
      <alignment vertical="center"/>
    </xf>
    <xf numFmtId="0" fontId="16" fillId="0" borderId="7" xfId="0" applyFont="1" applyBorder="1" applyAlignment="1">
      <alignment horizontal="right" vertical="center"/>
    </xf>
    <xf numFmtId="11" fontId="16" fillId="0" borderId="11" xfId="0" applyNumberFormat="1" applyFont="1" applyBorder="1" applyAlignment="1">
      <alignment horizontal="right" vertical="center"/>
    </xf>
    <xf numFmtId="11" fontId="16" fillId="0" borderId="0" xfId="0" applyNumberFormat="1" applyFont="1" applyAlignment="1">
      <alignment horizontal="right" vertical="center"/>
    </xf>
    <xf numFmtId="11" fontId="16" fillId="0" borderId="9" xfId="0" applyNumberFormat="1" applyFont="1" applyBorder="1" applyAlignment="1">
      <alignment horizontal="right" vertical="center"/>
    </xf>
    <xf numFmtId="11" fontId="16" fillId="0" borderId="8" xfId="0" applyNumberFormat="1" applyFont="1" applyBorder="1" applyAlignment="1">
      <alignment horizontal="right" vertical="center"/>
    </xf>
    <xf numFmtId="0" fontId="25" fillId="6" borderId="4" xfId="0" applyFont="1" applyFill="1" applyBorder="1" applyAlignment="1">
      <alignment vertical="center" textRotation="90"/>
    </xf>
    <xf numFmtId="0" fontId="16" fillId="6" borderId="5" xfId="0" applyFont="1" applyFill="1" applyBorder="1" applyAlignment="1">
      <alignment vertical="center"/>
    </xf>
    <xf numFmtId="0" fontId="16" fillId="0" borderId="4" xfId="0" applyFont="1" applyBorder="1" applyAlignment="1">
      <alignment vertical="center"/>
    </xf>
    <xf numFmtId="0" fontId="16" fillId="0" borderId="5" xfId="0" applyFont="1" applyBorder="1" applyAlignment="1">
      <alignment vertical="center"/>
    </xf>
    <xf numFmtId="0" fontId="16" fillId="0" borderId="5" xfId="0" applyFont="1" applyBorder="1" applyAlignment="1">
      <alignment horizontal="right" vertical="center"/>
    </xf>
    <xf numFmtId="0" fontId="16" fillId="0" borderId="4" xfId="0" applyFont="1" applyBorder="1" applyAlignment="1">
      <alignment horizontal="right" vertical="center"/>
    </xf>
    <xf numFmtId="0" fontId="16" fillId="0" borderId="3" xfId="0" applyFont="1" applyBorder="1" applyAlignment="1">
      <alignment horizontal="right" vertical="center"/>
    </xf>
    <xf numFmtId="0" fontId="25" fillId="6" borderId="8" xfId="0" applyFont="1" applyFill="1" applyBorder="1" applyAlignment="1">
      <alignment vertical="center" textRotation="90"/>
    </xf>
    <xf numFmtId="0" fontId="27" fillId="0" borderId="8" xfId="0" applyFont="1" applyBorder="1" applyAlignment="1">
      <alignment vertical="center"/>
    </xf>
    <xf numFmtId="0" fontId="27" fillId="0" borderId="9" xfId="0" applyFont="1" applyBorder="1" applyAlignment="1">
      <alignment vertical="center"/>
    </xf>
    <xf numFmtId="0" fontId="27" fillId="0" borderId="10" xfId="0" applyFont="1" applyBorder="1" applyAlignment="1">
      <alignment vertical="center"/>
    </xf>
    <xf numFmtId="0" fontId="0" fillId="0" borderId="10" xfId="0" applyBorder="1" applyAlignment="1">
      <alignment horizontal="right" vertical="center"/>
    </xf>
    <xf numFmtId="0" fontId="28" fillId="6" borderId="11" xfId="0" applyFont="1" applyFill="1" applyBorder="1" applyAlignment="1">
      <alignment vertical="center"/>
    </xf>
    <xf numFmtId="0" fontId="29" fillId="6" borderId="0" xfId="0" applyFont="1" applyFill="1" applyAlignment="1">
      <alignment vertical="center"/>
    </xf>
    <xf numFmtId="0" fontId="29" fillId="0" borderId="11" xfId="0" applyFont="1" applyBorder="1" applyAlignment="1">
      <alignment vertical="center"/>
    </xf>
    <xf numFmtId="0" fontId="29" fillId="0" borderId="12" xfId="0" applyFont="1" applyBorder="1" applyAlignment="1">
      <alignment vertical="center"/>
    </xf>
    <xf numFmtId="0" fontId="29" fillId="0" borderId="12" xfId="0" applyFont="1" applyBorder="1" applyAlignment="1">
      <alignment horizontal="right" vertical="center"/>
    </xf>
    <xf numFmtId="0" fontId="16" fillId="6" borderId="4" xfId="0" applyFont="1" applyFill="1" applyBorder="1" applyAlignment="1">
      <alignment vertical="center"/>
    </xf>
    <xf numFmtId="0" fontId="25" fillId="6" borderId="5" xfId="0" applyFont="1" applyFill="1" applyBorder="1" applyAlignment="1">
      <alignment vertical="center"/>
    </xf>
    <xf numFmtId="0" fontId="25" fillId="0" borderId="4" xfId="0" applyFont="1" applyBorder="1" applyAlignment="1">
      <alignment vertical="center"/>
    </xf>
    <xf numFmtId="0" fontId="25" fillId="0" borderId="5" xfId="0" applyFont="1" applyBorder="1" applyAlignment="1">
      <alignment vertical="center"/>
    </xf>
    <xf numFmtId="0" fontId="16" fillId="0" borderId="6" xfId="0" applyFont="1" applyBorder="1" applyAlignment="1">
      <alignment vertical="center"/>
    </xf>
    <xf numFmtId="0" fontId="25" fillId="0" borderId="6" xfId="0" applyFont="1" applyBorder="1" applyAlignment="1">
      <alignment horizontal="right" vertical="center"/>
    </xf>
    <xf numFmtId="0" fontId="16" fillId="6" borderId="14" xfId="0" applyFont="1" applyFill="1" applyBorder="1" applyAlignment="1">
      <alignment vertical="center"/>
    </xf>
    <xf numFmtId="0" fontId="29" fillId="6" borderId="11" xfId="0" applyFont="1" applyFill="1" applyBorder="1" applyAlignment="1">
      <alignment vertical="center"/>
    </xf>
    <xf numFmtId="0" fontId="29" fillId="0" borderId="10" xfId="0" applyFont="1" applyBorder="1" applyAlignment="1">
      <alignment horizontal="right" vertical="center"/>
    </xf>
    <xf numFmtId="0" fontId="16" fillId="6" borderId="8" xfId="0" applyFont="1" applyFill="1" applyBorder="1" applyAlignment="1">
      <alignment vertical="center"/>
    </xf>
    <xf numFmtId="0" fontId="25" fillId="0" borderId="8" xfId="0" applyFont="1" applyBorder="1" applyAlignment="1">
      <alignment vertical="center"/>
    </xf>
    <xf numFmtId="0" fontId="25" fillId="0" borderId="9" xfId="0" applyFont="1" applyBorder="1" applyAlignment="1">
      <alignment vertical="center"/>
    </xf>
    <xf numFmtId="0" fontId="25" fillId="0" borderId="10" xfId="0" applyFont="1" applyBorder="1" applyAlignment="1">
      <alignment horizontal="right" vertical="center"/>
    </xf>
    <xf numFmtId="0" fontId="14" fillId="0" borderId="16"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12" xfId="0" applyFont="1" applyBorder="1" applyAlignment="1">
      <alignment horizontal="center" vertical="center" wrapText="1"/>
    </xf>
    <xf numFmtId="0" fontId="0" fillId="0" borderId="0" xfId="0" applyNumberFormat="1" applyFont="1" applyFill="1" applyBorder="1" applyAlignment="1" applyProtection="1">
      <alignment vertical="top"/>
    </xf>
    <xf numFmtId="0" fontId="34" fillId="0" borderId="0" xfId="0" applyNumberFormat="1" applyFont="1" applyFill="1" applyBorder="1" applyAlignment="1" applyProtection="1">
      <alignment vertical="top"/>
    </xf>
    <xf numFmtId="0" fontId="34" fillId="0" borderId="0" xfId="0" applyNumberFormat="1" applyFont="1" applyFill="1" applyBorder="1" applyAlignment="1" applyProtection="1">
      <alignment horizontal="center" vertical="top"/>
    </xf>
    <xf numFmtId="0" fontId="35" fillId="7" borderId="25" xfId="0" applyNumberFormat="1" applyFont="1" applyFill="1" applyBorder="1" applyAlignment="1" applyProtection="1">
      <alignment vertical="top"/>
    </xf>
    <xf numFmtId="0" fontId="35" fillId="7" borderId="25" xfId="0" applyNumberFormat="1" applyFont="1" applyFill="1" applyBorder="1" applyAlignment="1" applyProtection="1">
      <alignment horizontal="center" vertical="top"/>
    </xf>
    <xf numFmtId="0" fontId="35" fillId="8" borderId="26" xfId="0" applyNumberFormat="1" applyFont="1" applyFill="1" applyBorder="1" applyAlignment="1" applyProtection="1">
      <alignment vertical="top"/>
    </xf>
    <xf numFmtId="0" fontId="0" fillId="8" borderId="25" xfId="0" applyNumberFormat="1" applyFont="1" applyFill="1" applyBorder="1" applyAlignment="1" applyProtection="1">
      <alignment vertical="top"/>
    </xf>
    <xf numFmtId="0" fontId="35" fillId="8" borderId="25" xfId="0" applyNumberFormat="1" applyFont="1" applyFill="1" applyBorder="1" applyAlignment="1" applyProtection="1">
      <alignment vertical="top"/>
    </xf>
    <xf numFmtId="0" fontId="0" fillId="0" borderId="0" xfId="0" applyFont="1" applyBorder="1" applyAlignment="1">
      <alignment horizontal="center" vertical="center"/>
    </xf>
    <xf numFmtId="0" fontId="0" fillId="0" borderId="29" xfId="0" applyFont="1" applyBorder="1" applyAlignment="1">
      <alignment horizontal="center" vertical="center"/>
    </xf>
    <xf numFmtId="167" fontId="36" fillId="0" borderId="0" xfId="0" applyNumberFormat="1" applyFont="1" applyAlignment="1">
      <alignment horizontal="center"/>
    </xf>
    <xf numFmtId="168" fontId="36" fillId="0" borderId="0" xfId="0" applyNumberFormat="1" applyFont="1" applyAlignment="1">
      <alignment horizontal="center"/>
    </xf>
    <xf numFmtId="168" fontId="36" fillId="0" borderId="30" xfId="0" applyNumberFormat="1" applyFont="1" applyBorder="1" applyAlignment="1">
      <alignment horizontal="center"/>
    </xf>
    <xf numFmtId="168" fontId="36" fillId="0" borderId="31" xfId="0" applyNumberFormat="1" applyFont="1" applyBorder="1" applyAlignment="1">
      <alignment horizontal="center"/>
    </xf>
    <xf numFmtId="168" fontId="36" fillId="0" borderId="32" xfId="0" applyNumberFormat="1" applyFont="1" applyBorder="1" applyAlignment="1">
      <alignment horizontal="center"/>
    </xf>
    <xf numFmtId="168" fontId="36" fillId="0" borderId="33" xfId="0" applyNumberFormat="1" applyFont="1" applyBorder="1" applyAlignment="1">
      <alignment horizontal="center"/>
    </xf>
    <xf numFmtId="168" fontId="36" fillId="0" borderId="34" xfId="0" applyNumberFormat="1" applyFont="1" applyBorder="1" applyAlignment="1">
      <alignment horizontal="center"/>
    </xf>
    <xf numFmtId="168" fontId="36" fillId="0" borderId="35" xfId="0" applyNumberFormat="1" applyFont="1" applyBorder="1" applyAlignment="1">
      <alignment horizontal="center"/>
    </xf>
    <xf numFmtId="168" fontId="36" fillId="0" borderId="0" xfId="0" applyNumberFormat="1" applyFont="1" applyBorder="1" applyAlignment="1">
      <alignment horizontal="center"/>
    </xf>
    <xf numFmtId="168" fontId="36" fillId="0" borderId="36" xfId="0" applyNumberFormat="1" applyFont="1" applyBorder="1" applyAlignment="1">
      <alignment horizontal="center"/>
    </xf>
    <xf numFmtId="2" fontId="36" fillId="0" borderId="0" xfId="0" applyNumberFormat="1" applyFont="1" applyAlignment="1">
      <alignment horizontal="center"/>
    </xf>
    <xf numFmtId="165" fontId="36" fillId="0" borderId="0" xfId="0" applyNumberFormat="1" applyFont="1" applyAlignment="1">
      <alignment horizontal="center"/>
    </xf>
    <xf numFmtId="0" fontId="36" fillId="0" borderId="0" xfId="0" applyFont="1" applyAlignment="1">
      <alignment horizontal="center"/>
    </xf>
    <xf numFmtId="168" fontId="36" fillId="0" borderId="37" xfId="0" applyNumberFormat="1" applyFont="1" applyBorder="1" applyAlignment="1">
      <alignment horizontal="center"/>
    </xf>
    <xf numFmtId="168" fontId="36" fillId="0" borderId="38" xfId="0" applyNumberFormat="1" applyFont="1" applyBorder="1" applyAlignment="1">
      <alignment horizontal="center"/>
    </xf>
    <xf numFmtId="168" fontId="36" fillId="0" borderId="39" xfId="0" applyNumberFormat="1" applyFont="1" applyBorder="1" applyAlignment="1">
      <alignment horizontal="center"/>
    </xf>
    <xf numFmtId="168" fontId="36" fillId="0" borderId="40" xfId="0" applyNumberFormat="1" applyFont="1" applyBorder="1" applyAlignment="1">
      <alignment horizontal="center"/>
    </xf>
    <xf numFmtId="0" fontId="37" fillId="0" borderId="0" xfId="0" applyFont="1"/>
    <xf numFmtId="166" fontId="0" fillId="0" borderId="0" xfId="0" applyNumberFormat="1"/>
    <xf numFmtId="0" fontId="5" fillId="0" borderId="0" xfId="0" applyFont="1"/>
    <xf numFmtId="167" fontId="0" fillId="0" borderId="0" xfId="0" applyNumberFormat="1"/>
    <xf numFmtId="2" fontId="0" fillId="0" borderId="0" xfId="0" applyNumberFormat="1"/>
    <xf numFmtId="167" fontId="5" fillId="0" borderId="0" xfId="0" applyNumberFormat="1" applyFont="1"/>
    <xf numFmtId="0" fontId="39" fillId="0" borderId="41" xfId="0" applyFont="1" applyFill="1" applyBorder="1" applyAlignment="1">
      <alignment horizontal="left"/>
    </xf>
    <xf numFmtId="0" fontId="39" fillId="0" borderId="41" xfId="0" applyFont="1" applyFill="1" applyBorder="1" applyAlignment="1">
      <alignment horizontal="centerContinuous"/>
    </xf>
    <xf numFmtId="0" fontId="39" fillId="0" borderId="0" xfId="0" applyFont="1" applyFill="1" applyBorder="1" applyAlignment="1">
      <alignment horizontal="left"/>
    </xf>
    <xf numFmtId="0" fontId="39" fillId="0" borderId="0" xfId="0" applyFont="1" applyFill="1" applyBorder="1" applyAlignment="1">
      <alignment horizontal="center"/>
    </xf>
    <xf numFmtId="0" fontId="39" fillId="0" borderId="42" xfId="0" applyFont="1" applyFill="1" applyBorder="1" applyAlignment="1">
      <alignment horizontal="left"/>
    </xf>
    <xf numFmtId="0" fontId="39" fillId="0" borderId="42" xfId="0" applyFont="1" applyFill="1" applyBorder="1" applyAlignment="1">
      <alignment horizontal="center"/>
    </xf>
    <xf numFmtId="0" fontId="0" fillId="0" borderId="0" xfId="0" applyFill="1" applyBorder="1" applyAlignment="1"/>
    <xf numFmtId="0" fontId="0" fillId="0" borderId="43" xfId="0" applyFill="1" applyBorder="1" applyAlignment="1"/>
    <xf numFmtId="0" fontId="41" fillId="0" borderId="44" xfId="0" applyFont="1" applyFill="1" applyBorder="1" applyAlignment="1">
      <alignment horizontal="left"/>
    </xf>
    <xf numFmtId="0" fontId="0" fillId="0" borderId="44" xfId="0" applyFill="1" applyBorder="1" applyAlignment="1"/>
    <xf numFmtId="0" fontId="42" fillId="0" borderId="43" xfId="0" applyFont="1" applyFill="1" applyBorder="1" applyAlignment="1"/>
    <xf numFmtId="1" fontId="0" fillId="0" borderId="44" xfId="0" applyNumberFormat="1" applyFill="1" applyBorder="1" applyAlignment="1"/>
    <xf numFmtId="1" fontId="0" fillId="0" borderId="43" xfId="0" applyNumberFormat="1" applyFill="1" applyBorder="1" applyAlignment="1"/>
    <xf numFmtId="2" fontId="0" fillId="0" borderId="0" xfId="0" applyNumberFormat="1" applyFill="1" applyBorder="1" applyAlignment="1"/>
    <xf numFmtId="0" fontId="0" fillId="0" borderId="42" xfId="0" applyFill="1" applyBorder="1" applyAlignment="1"/>
    <xf numFmtId="0" fontId="42" fillId="0" borderId="42" xfId="0" applyFont="1" applyFill="1" applyBorder="1" applyAlignment="1">
      <alignment horizontal="center"/>
    </xf>
    <xf numFmtId="165" fontId="0" fillId="0" borderId="0" xfId="0" applyNumberFormat="1" applyFill="1" applyBorder="1" applyAlignment="1"/>
    <xf numFmtId="165" fontId="42" fillId="0" borderId="0" xfId="0" applyNumberFormat="1" applyFont="1"/>
    <xf numFmtId="0" fontId="43" fillId="9" borderId="0" xfId="0" applyFont="1" applyFill="1" applyAlignment="1">
      <alignment horizontal="center"/>
    </xf>
    <xf numFmtId="0" fontId="45" fillId="0" borderId="0" xfId="0" applyFont="1"/>
    <xf numFmtId="0" fontId="46" fillId="9" borderId="0" xfId="0" applyFont="1" applyFill="1" applyAlignment="1">
      <alignment horizontal="center"/>
    </xf>
    <xf numFmtId="0" fontId="0" fillId="9" borderId="0" xfId="0" applyFill="1"/>
    <xf numFmtId="0" fontId="47" fillId="9" borderId="0" xfId="0" applyFont="1" applyFill="1"/>
    <xf numFmtId="0" fontId="47" fillId="9" borderId="0" xfId="0" applyFont="1" applyFill="1" applyAlignment="1">
      <alignment horizontal="center"/>
    </xf>
    <xf numFmtId="166" fontId="47" fillId="9" borderId="0" xfId="0" applyNumberFormat="1" applyFont="1" applyFill="1" applyAlignment="1">
      <alignment horizontal="center"/>
    </xf>
    <xf numFmtId="0" fontId="46" fillId="10" borderId="0" xfId="0" applyFont="1" applyFill="1" applyAlignment="1">
      <alignment horizontal="center"/>
    </xf>
    <xf numFmtId="0" fontId="46" fillId="10" borderId="0" xfId="0" applyFont="1" applyFill="1"/>
    <xf numFmtId="0" fontId="0" fillId="10" borderId="0" xfId="0" applyFill="1" applyAlignment="1">
      <alignment horizontal="center"/>
    </xf>
    <xf numFmtId="0" fontId="0" fillId="10" borderId="0" xfId="0" applyFill="1"/>
    <xf numFmtId="166" fontId="0" fillId="11" borderId="0" xfId="0" applyNumberFormat="1" applyFill="1" applyAlignment="1">
      <alignment horizontal="center"/>
    </xf>
    <xf numFmtId="0" fontId="0" fillId="0" borderId="0" xfId="0" applyAlignment="1">
      <alignment horizontal="center"/>
    </xf>
    <xf numFmtId="168" fontId="0" fillId="0" borderId="0" xfId="0" applyNumberFormat="1"/>
    <xf numFmtId="168" fontId="0" fillId="11" borderId="0" xfId="0" applyNumberFormat="1" applyFill="1" applyAlignment="1">
      <alignment horizontal="center"/>
    </xf>
    <xf numFmtId="0" fontId="49" fillId="12" borderId="45" xfId="0" applyFont="1" applyFill="1" applyBorder="1"/>
    <xf numFmtId="0" fontId="48" fillId="12" borderId="45" xfId="0" applyFont="1" applyFill="1" applyBorder="1"/>
    <xf numFmtId="0" fontId="48" fillId="12" borderId="45" xfId="0" applyFont="1" applyFill="1" applyBorder="1" applyAlignment="1">
      <alignment horizontal="center" vertical="center"/>
    </xf>
    <xf numFmtId="165" fontId="48" fillId="12" borderId="45" xfId="0" applyNumberFormat="1" applyFont="1" applyFill="1" applyBorder="1" applyAlignment="1">
      <alignment horizontal="center" vertical="center"/>
    </xf>
    <xf numFmtId="168" fontId="48" fillId="12" borderId="45" xfId="0" applyNumberFormat="1" applyFont="1" applyFill="1" applyBorder="1" applyAlignment="1">
      <alignment horizontal="center" vertical="center"/>
    </xf>
    <xf numFmtId="0" fontId="48" fillId="12" borderId="45" xfId="0" applyFont="1" applyFill="1" applyBorder="1" applyAlignment="1">
      <alignment wrapText="1"/>
    </xf>
    <xf numFmtId="0" fontId="49" fillId="12" borderId="0" xfId="0" applyFont="1" applyFill="1"/>
    <xf numFmtId="2" fontId="48" fillId="12" borderId="45" xfId="0" applyNumberFormat="1" applyFont="1" applyFill="1" applyBorder="1" applyAlignment="1">
      <alignment horizontal="center" vertical="center"/>
    </xf>
    <xf numFmtId="165" fontId="48" fillId="12" borderId="47" xfId="0" applyNumberFormat="1" applyFont="1" applyFill="1" applyBorder="1" applyAlignment="1">
      <alignment horizontal="center" vertical="center"/>
    </xf>
    <xf numFmtId="165" fontId="48" fillId="12" borderId="0" xfId="0" applyNumberFormat="1" applyFont="1" applyFill="1" applyAlignment="1">
      <alignment horizontal="center" vertical="center"/>
    </xf>
    <xf numFmtId="0" fontId="49" fillId="12" borderId="0" xfId="0" applyFont="1" applyFill="1" applyAlignment="1">
      <alignment horizontal="center" vertical="center"/>
    </xf>
    <xf numFmtId="0" fontId="52" fillId="12" borderId="0" xfId="0" applyFont="1" applyFill="1" applyAlignment="1">
      <alignment horizontal="center" vertical="center"/>
    </xf>
    <xf numFmtId="169" fontId="48" fillId="12" borderId="0" xfId="0" applyNumberFormat="1" applyFont="1" applyFill="1" applyAlignment="1">
      <alignment horizontal="center" vertical="center"/>
    </xf>
    <xf numFmtId="0" fontId="48" fillId="12" borderId="48" xfId="0" applyFont="1" applyFill="1" applyBorder="1" applyAlignment="1">
      <alignment horizontal="center" vertical="center"/>
    </xf>
    <xf numFmtId="166" fontId="48" fillId="12" borderId="45" xfId="0" applyNumberFormat="1" applyFont="1" applyFill="1" applyBorder="1" applyAlignment="1">
      <alignment horizontal="left"/>
    </xf>
    <xf numFmtId="166" fontId="48" fillId="12" borderId="45" xfId="0" applyNumberFormat="1" applyFont="1" applyFill="1" applyBorder="1" applyAlignment="1">
      <alignment horizontal="center" vertical="center"/>
    </xf>
    <xf numFmtId="165" fontId="49" fillId="12" borderId="45" xfId="0" applyNumberFormat="1" applyFont="1" applyFill="1" applyBorder="1" applyAlignment="1">
      <alignment horizontal="center" vertical="center"/>
    </xf>
    <xf numFmtId="2" fontId="49" fillId="12" borderId="45" xfId="0" applyNumberFormat="1" applyFont="1" applyFill="1" applyBorder="1" applyAlignment="1">
      <alignment horizontal="center" vertical="center"/>
    </xf>
    <xf numFmtId="0" fontId="48" fillId="12" borderId="46" xfId="0" applyFont="1" applyFill="1" applyBorder="1" applyAlignment="1">
      <alignment horizontal="center" vertical="center" wrapText="1"/>
    </xf>
    <xf numFmtId="167" fontId="37" fillId="0" borderId="45" xfId="0" applyNumberFormat="1" applyFont="1" applyFill="1" applyBorder="1"/>
    <xf numFmtId="2" fontId="37" fillId="0" borderId="45" xfId="0" applyNumberFormat="1" applyFont="1" applyFill="1" applyBorder="1"/>
    <xf numFmtId="165" fontId="37" fillId="0" borderId="45" xfId="0" applyNumberFormat="1" applyFont="1" applyFill="1" applyBorder="1"/>
    <xf numFmtId="0" fontId="37" fillId="0" borderId="45" xfId="0" applyFont="1" applyFill="1" applyBorder="1"/>
    <xf numFmtId="0" fontId="37" fillId="0" borderId="45" xfId="0" applyFont="1" applyBorder="1"/>
    <xf numFmtId="2" fontId="0" fillId="0" borderId="45" xfId="0" applyNumberFormat="1" applyFill="1" applyBorder="1"/>
    <xf numFmtId="167" fontId="0" fillId="0" borderId="45" xfId="0" applyNumberFormat="1" applyFill="1" applyBorder="1" applyProtection="1">
      <protection locked="0"/>
    </xf>
    <xf numFmtId="0" fontId="48" fillId="12" borderId="45" xfId="0" applyFont="1" applyFill="1" applyBorder="1" applyAlignment="1">
      <alignment horizontal="center" vertical="center" wrapText="1"/>
    </xf>
    <xf numFmtId="0" fontId="55" fillId="0" borderId="1" xfId="0" applyNumberFormat="1" applyFont="1" applyFill="1" applyBorder="1" applyAlignment="1" applyProtection="1">
      <alignment vertical="top"/>
    </xf>
    <xf numFmtId="0" fontId="55" fillId="0" borderId="0" xfId="0" applyNumberFormat="1" applyFont="1" applyFill="1" applyBorder="1" applyAlignment="1" applyProtection="1">
      <alignment vertical="top"/>
    </xf>
    <xf numFmtId="0" fontId="55" fillId="0" borderId="2" xfId="0" applyNumberFormat="1" applyFont="1" applyFill="1" applyBorder="1" applyAlignment="1" applyProtection="1">
      <alignment vertical="top"/>
    </xf>
    <xf numFmtId="0" fontId="55" fillId="8" borderId="25" xfId="0" applyNumberFormat="1" applyFont="1" applyFill="1" applyBorder="1" applyAlignment="1" applyProtection="1">
      <alignment vertical="top"/>
    </xf>
    <xf numFmtId="0" fontId="55" fillId="0" borderId="0" xfId="0" applyNumberFormat="1" applyFont="1" applyFill="1" applyBorder="1" applyAlignment="1" applyProtection="1">
      <alignment horizontal="left" vertical="top"/>
    </xf>
    <xf numFmtId="0" fontId="55" fillId="0" borderId="2" xfId="0" applyNumberFormat="1" applyFont="1" applyFill="1" applyBorder="1" applyAlignment="1" applyProtection="1">
      <alignment horizontal="left" vertical="top"/>
    </xf>
    <xf numFmtId="0" fontId="0" fillId="0" borderId="25" xfId="0" applyNumberFormat="1" applyFont="1" applyFill="1" applyBorder="1" applyAlignment="1" applyProtection="1">
      <alignment vertical="top"/>
    </xf>
    <xf numFmtId="0" fontId="35" fillId="13" borderId="25" xfId="0" applyNumberFormat="1" applyFont="1" applyFill="1" applyBorder="1" applyAlignment="1" applyProtection="1">
      <alignment horizontal="left" vertical="top"/>
    </xf>
    <xf numFmtId="0" fontId="55" fillId="13" borderId="25" xfId="0" applyNumberFormat="1" applyFont="1" applyFill="1" applyBorder="1" applyAlignment="1" applyProtection="1">
      <alignment horizontal="left" vertical="top"/>
    </xf>
    <xf numFmtId="0" fontId="55" fillId="13" borderId="25" xfId="0" applyNumberFormat="1" applyFont="1" applyFill="1" applyBorder="1" applyAlignment="1" applyProtection="1">
      <alignment vertical="top"/>
    </xf>
    <xf numFmtId="0" fontId="55" fillId="0" borderId="1" xfId="0" applyNumberFormat="1" applyFont="1" applyFill="1" applyBorder="1" applyAlignment="1" applyProtection="1">
      <alignment horizontal="left" vertical="top"/>
    </xf>
    <xf numFmtId="0" fontId="35" fillId="13" borderId="25" xfId="0" applyNumberFormat="1" applyFont="1" applyFill="1" applyBorder="1" applyAlignment="1" applyProtection="1">
      <alignment vertical="top"/>
    </xf>
    <xf numFmtId="0" fontId="56" fillId="13" borderId="25" xfId="0" applyNumberFormat="1" applyFont="1" applyFill="1" applyBorder="1" applyAlignment="1" applyProtection="1">
      <alignment vertical="top"/>
    </xf>
    <xf numFmtId="2" fontId="35" fillId="13" borderId="25" xfId="0" applyNumberFormat="1" applyFont="1" applyFill="1" applyBorder="1" applyAlignment="1" applyProtection="1">
      <alignment vertical="top"/>
    </xf>
    <xf numFmtId="0" fontId="48" fillId="12" borderId="0" xfId="0" applyFont="1" applyFill="1"/>
    <xf numFmtId="0" fontId="48" fillId="12" borderId="0" xfId="0" applyFont="1" applyFill="1" applyAlignment="1">
      <alignment horizontal="center"/>
    </xf>
    <xf numFmtId="0" fontId="48" fillId="12" borderId="0" xfId="0" applyFont="1" applyFill="1" applyBorder="1"/>
    <xf numFmtId="0" fontId="48" fillId="12" borderId="0" xfId="0" applyFont="1" applyFill="1" applyAlignment="1">
      <alignment horizontal="center" vertical="center" wrapText="1"/>
    </xf>
    <xf numFmtId="0" fontId="48" fillId="12" borderId="0" xfId="0" applyFont="1" applyFill="1" applyBorder="1" applyAlignment="1">
      <alignment horizontal="center" vertical="center" wrapText="1"/>
    </xf>
    <xf numFmtId="0" fontId="52" fillId="12" borderId="0" xfId="0" applyFont="1" applyFill="1"/>
    <xf numFmtId="0" fontId="52" fillId="12" borderId="0" xfId="0" applyFont="1" applyFill="1" applyBorder="1"/>
    <xf numFmtId="169" fontId="48" fillId="12" borderId="0" xfId="0" applyNumberFormat="1" applyFont="1" applyFill="1" applyAlignment="1">
      <alignment horizontal="center"/>
    </xf>
    <xf numFmtId="169" fontId="48" fillId="12" borderId="0" xfId="0" applyNumberFormat="1" applyFont="1" applyFill="1" applyBorder="1" applyAlignment="1">
      <alignment horizontal="center"/>
    </xf>
    <xf numFmtId="166" fontId="48" fillId="12" borderId="0" xfId="0" applyNumberFormat="1" applyFont="1" applyFill="1" applyAlignment="1">
      <alignment horizontal="center"/>
    </xf>
    <xf numFmtId="166" fontId="48" fillId="12" borderId="0" xfId="0" applyNumberFormat="1" applyFont="1" applyFill="1" applyBorder="1" applyAlignment="1">
      <alignment horizontal="center"/>
    </xf>
    <xf numFmtId="0" fontId="25" fillId="6" borderId="22" xfId="0" applyFont="1" applyFill="1" applyBorder="1" applyAlignment="1">
      <alignment horizontal="right" vertical="center" textRotation="90"/>
    </xf>
    <xf numFmtId="0" fontId="25" fillId="6" borderId="11" xfId="0" applyFont="1" applyFill="1" applyBorder="1" applyAlignment="1">
      <alignment horizontal="right" vertical="center" textRotation="90"/>
    </xf>
    <xf numFmtId="0" fontId="25" fillId="6" borderId="21" xfId="0" applyFont="1" applyFill="1" applyBorder="1" applyAlignment="1">
      <alignment horizontal="right" vertical="center" textRotation="90"/>
    </xf>
    <xf numFmtId="0" fontId="25" fillId="6" borderId="8" xfId="0" applyFont="1" applyFill="1" applyBorder="1" applyAlignment="1">
      <alignment horizontal="right" vertical="center" textRotation="90"/>
    </xf>
    <xf numFmtId="0" fontId="24" fillId="6" borderId="13" xfId="0" applyFont="1" applyFill="1" applyBorder="1" applyAlignment="1">
      <alignment horizontal="center" vertical="center"/>
    </xf>
    <xf numFmtId="0" fontId="24" fillId="6" borderId="17" xfId="0" applyFont="1" applyFill="1" applyBorder="1" applyAlignment="1">
      <alignment horizontal="center" vertical="center"/>
    </xf>
    <xf numFmtId="0" fontId="24" fillId="6" borderId="18" xfId="0" applyFont="1" applyFill="1" applyBorder="1" applyAlignment="1">
      <alignment horizontal="center" vertical="center"/>
    </xf>
    <xf numFmtId="0" fontId="25" fillId="6" borderId="13" xfId="0" applyFont="1" applyFill="1" applyBorder="1" applyAlignment="1">
      <alignment horizontal="center" vertical="center"/>
    </xf>
    <xf numFmtId="0" fontId="25" fillId="6" borderId="18" xfId="0" applyFont="1" applyFill="1" applyBorder="1" applyAlignment="1">
      <alignment horizontal="center" vertical="center"/>
    </xf>
    <xf numFmtId="0" fontId="25" fillId="6" borderId="11" xfId="0" applyFont="1" applyFill="1" applyBorder="1" applyAlignment="1">
      <alignment horizontal="center" vertical="center"/>
    </xf>
    <xf numFmtId="0" fontId="25" fillId="6" borderId="19" xfId="0" applyFont="1" applyFill="1" applyBorder="1" applyAlignment="1">
      <alignment horizontal="center" vertical="center"/>
    </xf>
    <xf numFmtId="0" fontId="25" fillId="6" borderId="17" xfId="0" applyFont="1" applyFill="1" applyBorder="1" applyAlignment="1">
      <alignment horizontal="center" vertical="center"/>
    </xf>
    <xf numFmtId="0" fontId="25" fillId="6" borderId="20" xfId="0" applyFont="1" applyFill="1" applyBorder="1" applyAlignment="1">
      <alignment horizontal="center" vertical="center"/>
    </xf>
    <xf numFmtId="0" fontId="25" fillId="6" borderId="13" xfId="0" applyFont="1" applyFill="1" applyBorder="1" applyAlignment="1">
      <alignment horizontal="right" vertical="center" textRotation="90"/>
    </xf>
    <xf numFmtId="0" fontId="25" fillId="6" borderId="23" xfId="0" applyFont="1" applyFill="1" applyBorder="1" applyAlignment="1">
      <alignment horizontal="center" vertical="center"/>
    </xf>
    <xf numFmtId="0" fontId="25" fillId="6" borderId="24" xfId="0" applyFont="1" applyFill="1" applyBorder="1" applyAlignment="1">
      <alignment horizontal="center" vertical="center"/>
    </xf>
    <xf numFmtId="0" fontId="49" fillId="12" borderId="45" xfId="0" applyFont="1" applyFill="1" applyBorder="1" applyAlignment="1">
      <alignment horizontal="center" vertical="center"/>
    </xf>
    <xf numFmtId="0" fontId="48" fillId="0" borderId="45" xfId="0" applyFont="1" applyBorder="1" applyAlignment="1">
      <alignment horizontal="center" vertical="center"/>
    </xf>
    <xf numFmtId="0" fontId="49" fillId="12" borderId="25" xfId="0" applyFont="1" applyFill="1" applyBorder="1" applyAlignment="1">
      <alignment horizontal="center" vertical="center"/>
    </xf>
    <xf numFmtId="0" fontId="49" fillId="12" borderId="46" xfId="0" applyFont="1" applyFill="1" applyBorder="1" applyAlignment="1">
      <alignment horizontal="center" vertical="center"/>
    </xf>
    <xf numFmtId="0" fontId="48" fillId="12" borderId="45" xfId="0" applyFont="1" applyFill="1" applyBorder="1" applyAlignment="1">
      <alignment horizontal="center" vertical="center" wrapText="1"/>
    </xf>
    <xf numFmtId="0" fontId="0" fillId="0" borderId="45" xfId="0" applyBorder="1" applyAlignment="1"/>
    <xf numFmtId="0" fontId="49" fillId="12" borderId="45" xfId="0" applyFont="1" applyFill="1" applyBorder="1" applyAlignment="1">
      <alignment horizontal="center" vertical="center" wrapText="1"/>
    </xf>
    <xf numFmtId="0" fontId="50" fillId="0" borderId="45" xfId="0" applyFont="1" applyBorder="1" applyAlignment="1">
      <alignment horizontal="center"/>
    </xf>
    <xf numFmtId="0" fontId="0" fillId="0" borderId="25" xfId="0" applyBorder="1" applyAlignment="1">
      <alignment horizontal="center" vertical="center"/>
    </xf>
    <xf numFmtId="0" fontId="0" fillId="0" borderId="46" xfId="0" applyBorder="1" applyAlignment="1">
      <alignment horizontal="center" vertical="center"/>
    </xf>
    <xf numFmtId="0" fontId="49" fillId="12" borderId="45" xfId="0" applyFont="1" applyFill="1" applyBorder="1" applyAlignment="1">
      <alignment horizontal="center"/>
    </xf>
    <xf numFmtId="0" fontId="48" fillId="0" borderId="45" xfId="0" applyFont="1" applyBorder="1" applyAlignment="1">
      <alignment horizontal="center"/>
    </xf>
    <xf numFmtId="0" fontId="14" fillId="0" borderId="1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16" xfId="0" applyFont="1" applyBorder="1" applyAlignment="1">
      <alignment vertical="center" wrapText="1"/>
    </xf>
    <xf numFmtId="0" fontId="14" fillId="0" borderId="7" xfId="0" applyFont="1" applyBorder="1" applyAlignment="1">
      <alignment vertical="center" wrapText="1"/>
    </xf>
    <xf numFmtId="166" fontId="14" fillId="0" borderId="16" xfId="0" applyNumberFormat="1" applyFont="1" applyBorder="1" applyAlignment="1">
      <alignment horizontal="center" vertical="center" wrapText="1"/>
    </xf>
    <xf numFmtId="166" fontId="14" fillId="0" borderId="7" xfId="0" applyNumberFormat="1" applyFont="1" applyBorder="1" applyAlignment="1">
      <alignment horizontal="center"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0" xfId="0" applyFont="1" applyBorder="1" applyAlignment="1">
      <alignment horizontal="center" vertical="center" wrapText="1"/>
    </xf>
    <xf numFmtId="10" fontId="14" fillId="0" borderId="13" xfId="0" applyNumberFormat="1" applyFont="1" applyBorder="1" applyAlignment="1">
      <alignment horizontal="center" vertical="center" wrapText="1"/>
    </xf>
    <xf numFmtId="10" fontId="14" fillId="0" borderId="14" xfId="0" applyNumberFormat="1" applyFont="1" applyBorder="1" applyAlignment="1">
      <alignment horizontal="center" vertical="center" wrapText="1"/>
    </xf>
    <xf numFmtId="0" fontId="14" fillId="0" borderId="17" xfId="0" applyFont="1" applyBorder="1" applyAlignment="1">
      <alignment horizontal="center" vertical="center" wrapText="1"/>
    </xf>
    <xf numFmtId="0" fontId="14" fillId="0" borderId="9" xfId="0" applyFont="1" applyBorder="1" applyAlignment="1">
      <alignment horizontal="center" vertical="center" wrapText="1"/>
    </xf>
    <xf numFmtId="2" fontId="14" fillId="0" borderId="16" xfId="0" applyNumberFormat="1" applyFont="1" applyBorder="1" applyAlignment="1">
      <alignment horizontal="center" vertical="center" wrapText="1"/>
    </xf>
    <xf numFmtId="2" fontId="14" fillId="0" borderId="7" xfId="0" applyNumberFormat="1" applyFont="1" applyBorder="1" applyAlignment="1">
      <alignment horizontal="center" vertical="center" wrapText="1"/>
    </xf>
    <xf numFmtId="0" fontId="0" fillId="0" borderId="27" xfId="0" applyFont="1" applyBorder="1" applyAlignment="1">
      <alignment horizontal="center" vertical="center"/>
    </xf>
    <xf numFmtId="0" fontId="0" fillId="0" borderId="28" xfId="0" applyFont="1" applyBorder="1" applyAlignment="1">
      <alignment horizontal="center" vertical="center"/>
    </xf>
    <xf numFmtId="0" fontId="37" fillId="0" borderId="45" xfId="0" applyFont="1" applyBorder="1" applyAlignment="1">
      <alignment horizontal="center"/>
    </xf>
    <xf numFmtId="0" fontId="37" fillId="0" borderId="47" xfId="0" applyFont="1" applyBorder="1" applyAlignment="1">
      <alignment horizontal="center" vertical="justify"/>
    </xf>
    <xf numFmtId="0" fontId="37" fillId="0" borderId="49" xfId="0" applyFont="1" applyBorder="1" applyAlignment="1">
      <alignment horizontal="center" vertical="justify"/>
    </xf>
    <xf numFmtId="0" fontId="37" fillId="0" borderId="48" xfId="0" applyFont="1" applyBorder="1" applyAlignment="1">
      <alignment horizontal="center" vertical="justify"/>
    </xf>
    <xf numFmtId="0" fontId="37" fillId="0" borderId="45" xfId="0" applyFont="1" applyBorder="1" applyAlignment="1">
      <alignment horizontal="center" vertical="justify"/>
    </xf>
    <xf numFmtId="0" fontId="54" fillId="0" borderId="45" xfId="0" applyFont="1" applyBorder="1" applyAlignment="1">
      <alignment horizont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0</xdr:rowOff>
    </xdr:from>
    <xdr:to>
      <xdr:col>11</xdr:col>
      <xdr:colOff>28575</xdr:colOff>
      <xdr:row>33</xdr:row>
      <xdr:rowOff>133350</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0" y="571500"/>
          <a:ext cx="6124575" cy="584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xdr:row>
      <xdr:rowOff>0</xdr:rowOff>
    </xdr:from>
    <xdr:to>
      <xdr:col>11</xdr:col>
      <xdr:colOff>28575</xdr:colOff>
      <xdr:row>33</xdr:row>
      <xdr:rowOff>133350</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0" y="381000"/>
          <a:ext cx="6124575" cy="584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
  <sheetViews>
    <sheetView tabSelected="1" workbookViewId="0">
      <selection activeCell="B4" sqref="B4"/>
    </sheetView>
  </sheetViews>
  <sheetFormatPr defaultRowHeight="15"/>
  <sheetData>
    <row r="2" spans="2:2" ht="18.75">
      <c r="B2" s="61" t="s">
        <v>1205</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J35"/>
  <sheetViews>
    <sheetView zoomScale="130" zoomScaleNormal="130" workbookViewId="0">
      <selection activeCell="S39" sqref="S39"/>
    </sheetView>
  </sheetViews>
  <sheetFormatPr defaultColWidth="13" defaultRowHeight="12.75"/>
  <cols>
    <col min="1" max="1" width="24.5703125" style="253" customWidth="1"/>
    <col min="2" max="2" width="12.28515625" style="254" customWidth="1"/>
    <col min="3" max="3" width="11" style="254" customWidth="1"/>
    <col min="4" max="4" width="6.140625" style="254" customWidth="1"/>
    <col min="5" max="5" width="7.42578125" style="254" bestFit="1" customWidth="1"/>
    <col min="6" max="6" width="7.140625" style="254" customWidth="1"/>
    <col min="7" max="7" width="6.85546875" style="254" customWidth="1"/>
    <col min="8" max="9" width="7.42578125" style="254" bestFit="1" customWidth="1"/>
    <col min="10" max="10" width="6.28515625" style="254" customWidth="1"/>
    <col min="11" max="12" width="6.5703125" style="254" customWidth="1"/>
    <col min="13" max="13" width="7.42578125" style="254" bestFit="1" customWidth="1"/>
    <col min="14" max="14" width="6.28515625" style="254" customWidth="1"/>
    <col min="15" max="15" width="7.5703125" style="254" customWidth="1"/>
    <col min="16" max="17" width="7.42578125" style="254" customWidth="1"/>
    <col min="18" max="18" width="6.85546875" style="254" customWidth="1"/>
    <col min="19" max="19" width="7.42578125" style="254" customWidth="1"/>
    <col min="20" max="20" width="7.7109375" style="254" customWidth="1"/>
    <col min="21" max="21" width="7.42578125" style="254" customWidth="1"/>
    <col min="22" max="22" width="7.7109375" style="254" customWidth="1"/>
    <col min="23" max="23" width="6.85546875" style="254" customWidth="1"/>
    <col min="24" max="24" width="7.140625" style="254" customWidth="1"/>
    <col min="25" max="25" width="6.5703125" style="254" customWidth="1"/>
    <col min="26" max="26" width="6.85546875" style="254" customWidth="1"/>
    <col min="27" max="27" width="7.140625" style="254" customWidth="1"/>
    <col min="28" max="30" width="7.42578125" style="254" bestFit="1" customWidth="1"/>
    <col min="31" max="31" width="13" style="253" customWidth="1"/>
    <col min="32" max="36" width="13" style="255" customWidth="1"/>
    <col min="37" max="16384" width="13" style="253"/>
  </cols>
  <sheetData>
    <row r="2" spans="1:36" ht="15.75">
      <c r="A2" s="284" t="s">
        <v>1149</v>
      </c>
      <c r="B2" s="286" t="s">
        <v>1150</v>
      </c>
      <c r="C2" s="286" t="s">
        <v>1151</v>
      </c>
      <c r="D2" s="286" t="s">
        <v>62</v>
      </c>
      <c r="E2" s="282" t="s">
        <v>1215</v>
      </c>
      <c r="F2" s="288"/>
      <c r="G2" s="288"/>
      <c r="H2" s="288"/>
      <c r="I2" s="288"/>
      <c r="J2" s="288"/>
      <c r="K2" s="288"/>
      <c r="L2" s="288"/>
      <c r="M2" s="288"/>
      <c r="N2" s="288"/>
      <c r="O2" s="288"/>
      <c r="P2" s="288"/>
      <c r="Q2" s="288"/>
      <c r="R2" s="288"/>
      <c r="S2" s="288"/>
      <c r="T2" s="288"/>
      <c r="U2" s="288"/>
      <c r="V2" s="288"/>
      <c r="W2" s="288"/>
      <c r="X2" s="288"/>
      <c r="Y2" s="288"/>
      <c r="Z2" s="288"/>
      <c r="AA2" s="288"/>
      <c r="AB2" s="288"/>
      <c r="AC2" s="288"/>
      <c r="AD2" s="289"/>
    </row>
    <row r="3" spans="1:36">
      <c r="A3" s="285"/>
      <c r="B3" s="287"/>
      <c r="C3" s="287"/>
      <c r="D3" s="287"/>
      <c r="E3" s="282" t="s">
        <v>3</v>
      </c>
      <c r="F3" s="282"/>
      <c r="G3" s="282"/>
      <c r="H3" s="282"/>
      <c r="I3" s="282"/>
      <c r="J3" s="282"/>
      <c r="K3" s="282"/>
      <c r="L3" s="282"/>
      <c r="M3" s="282"/>
      <c r="N3" s="282"/>
      <c r="O3" s="282"/>
      <c r="P3" s="282"/>
      <c r="Q3" s="282"/>
      <c r="R3" s="282"/>
      <c r="S3" s="282"/>
      <c r="T3" s="282"/>
      <c r="U3" s="282"/>
      <c r="V3" s="282"/>
      <c r="W3" s="282"/>
      <c r="X3" s="282"/>
      <c r="Y3" s="282"/>
      <c r="Z3" s="282"/>
      <c r="AA3" s="282"/>
      <c r="AB3" s="282"/>
      <c r="AC3" s="282"/>
      <c r="AD3" s="283"/>
    </row>
    <row r="4" spans="1:36" s="256" customFormat="1">
      <c r="A4" s="285"/>
      <c r="B4" s="287"/>
      <c r="C4" s="287"/>
      <c r="D4" s="287"/>
      <c r="E4" s="230">
        <v>20</v>
      </c>
      <c r="F4" s="238">
        <v>25</v>
      </c>
      <c r="G4" s="238">
        <v>31.5</v>
      </c>
      <c r="H4" s="238">
        <v>63</v>
      </c>
      <c r="I4" s="238">
        <v>80</v>
      </c>
      <c r="J4" s="238">
        <v>100</v>
      </c>
      <c r="K4" s="238">
        <v>125</v>
      </c>
      <c r="L4" s="238">
        <v>160</v>
      </c>
      <c r="M4" s="238">
        <f t="shared" ref="M4:O4" si="0">E4*10</f>
        <v>200</v>
      </c>
      <c r="N4" s="238">
        <f t="shared" si="0"/>
        <v>250</v>
      </c>
      <c r="O4" s="238">
        <f t="shared" si="0"/>
        <v>315</v>
      </c>
      <c r="P4" s="238">
        <v>400</v>
      </c>
      <c r="Q4" s="238">
        <v>500</v>
      </c>
      <c r="R4" s="238">
        <f t="shared" ref="R4:Z4" si="1">H4*10</f>
        <v>630</v>
      </c>
      <c r="S4" s="238">
        <f t="shared" si="1"/>
        <v>800</v>
      </c>
      <c r="T4" s="238">
        <f t="shared" si="1"/>
        <v>1000</v>
      </c>
      <c r="U4" s="238">
        <f t="shared" si="1"/>
        <v>1250</v>
      </c>
      <c r="V4" s="238">
        <f t="shared" si="1"/>
        <v>1600</v>
      </c>
      <c r="W4" s="238">
        <f t="shared" si="1"/>
        <v>2000</v>
      </c>
      <c r="X4" s="238">
        <f t="shared" si="1"/>
        <v>2500</v>
      </c>
      <c r="Y4" s="238">
        <f t="shared" si="1"/>
        <v>3150</v>
      </c>
      <c r="Z4" s="238">
        <f t="shared" si="1"/>
        <v>4000</v>
      </c>
      <c r="AA4" s="238">
        <f>Q4*10</f>
        <v>5000</v>
      </c>
      <c r="AB4" s="238">
        <f>R4*10</f>
        <v>6300</v>
      </c>
      <c r="AC4" s="238">
        <f>S4*10</f>
        <v>8000</v>
      </c>
      <c r="AD4" s="238">
        <f>T4*10</f>
        <v>10000</v>
      </c>
      <c r="AF4" s="257"/>
      <c r="AG4" s="257"/>
      <c r="AH4" s="257"/>
      <c r="AI4" s="257"/>
      <c r="AJ4" s="257"/>
    </row>
    <row r="5" spans="1:36" s="258" customFormat="1">
      <c r="A5" s="212" t="s">
        <v>1152</v>
      </c>
      <c r="B5" s="290"/>
      <c r="C5" s="291"/>
      <c r="D5" s="291"/>
      <c r="E5" s="291"/>
      <c r="F5" s="291"/>
      <c r="G5" s="291"/>
      <c r="H5" s="291"/>
      <c r="I5" s="291"/>
      <c r="J5" s="291"/>
      <c r="K5" s="291"/>
      <c r="L5" s="291"/>
      <c r="M5" s="291"/>
      <c r="N5" s="291"/>
      <c r="O5" s="291"/>
      <c r="P5" s="291"/>
      <c r="Q5" s="291"/>
      <c r="R5" s="291"/>
      <c r="S5" s="291"/>
      <c r="T5" s="291"/>
      <c r="U5" s="291"/>
      <c r="V5" s="291"/>
      <c r="W5" s="291"/>
      <c r="X5" s="291"/>
      <c r="Y5" s="291"/>
      <c r="Z5" s="291"/>
      <c r="AA5" s="291"/>
      <c r="AB5" s="291"/>
      <c r="AC5" s="291"/>
      <c r="AD5" s="291"/>
      <c r="AF5" s="259"/>
      <c r="AG5" s="259"/>
      <c r="AH5" s="259"/>
      <c r="AI5" s="259"/>
      <c r="AJ5" s="259"/>
    </row>
    <row r="6" spans="1:36">
      <c r="A6" s="213" t="s">
        <v>1153</v>
      </c>
      <c r="B6" s="214" t="s">
        <v>1154</v>
      </c>
      <c r="C6" s="214">
        <v>0.05</v>
      </c>
      <c r="D6" s="214" t="s">
        <v>760</v>
      </c>
      <c r="E6" s="215">
        <v>7.631373148887838</v>
      </c>
      <c r="F6" s="215">
        <v>6.8274911288751223</v>
      </c>
      <c r="G6" s="215">
        <v>6.0786695211920438</v>
      </c>
      <c r="H6" s="215">
        <v>4.3277484091095531</v>
      </c>
      <c r="I6" s="215">
        <v>3.8542288630746655</v>
      </c>
      <c r="J6" s="215">
        <v>3.4467818118353439</v>
      </c>
      <c r="K6" s="215">
        <v>3.0613589255278773</v>
      </c>
      <c r="L6" s="215">
        <v>2.7309964515500487</v>
      </c>
      <c r="M6" s="215">
        <v>2.4226581425040754</v>
      </c>
      <c r="N6" s="215">
        <v>2.1473560808558849</v>
      </c>
      <c r="O6" s="215">
        <v>1.89407818413955</v>
      </c>
      <c r="P6" s="215">
        <v>1.6738365348209976</v>
      </c>
      <c r="Q6" s="215">
        <v>1.4425828030365178</v>
      </c>
      <c r="R6" s="215">
        <v>1.2113290712520377</v>
      </c>
      <c r="S6" s="215">
        <v>0.98007533946755787</v>
      </c>
      <c r="T6" s="215">
        <v>0.70477327781936738</v>
      </c>
      <c r="U6" s="215">
        <v>0.35238663890968369</v>
      </c>
      <c r="V6" s="215">
        <v>0.4184591337052494</v>
      </c>
      <c r="W6" s="215">
        <v>1.2113290712520377</v>
      </c>
      <c r="X6" s="215">
        <v>2.3896218951062926</v>
      </c>
      <c r="Y6" s="215">
        <v>4.195603419518422</v>
      </c>
      <c r="Z6" s="215">
        <v>6.7834427990114117</v>
      </c>
      <c r="AA6" s="215">
        <v>9.9218863018007823</v>
      </c>
      <c r="AB6" s="215">
        <v>11.309408692507661</v>
      </c>
      <c r="AC6" s="215">
        <v>8.9528230447991515</v>
      </c>
      <c r="AD6" s="215">
        <v>3.8101805332109553</v>
      </c>
    </row>
    <row r="7" spans="1:36">
      <c r="A7" s="213" t="s">
        <v>1155</v>
      </c>
      <c r="B7" s="214" t="s">
        <v>1154</v>
      </c>
      <c r="C7" s="214">
        <v>0.05</v>
      </c>
      <c r="D7" s="214"/>
      <c r="E7" s="215">
        <v>1.1012082465927615E-2</v>
      </c>
      <c r="F7" s="215">
        <v>1.1012082465927615E-2</v>
      </c>
      <c r="G7" s="215">
        <v>1.1012082465927615E-2</v>
      </c>
      <c r="H7" s="215">
        <v>5.5060412329638077E-3</v>
      </c>
      <c r="I7" s="215">
        <v>5.5060412329638077E-3</v>
      </c>
      <c r="J7" s="215">
        <v>1.3765103082409521E-2</v>
      </c>
      <c r="K7" s="215">
        <v>2.7530206164819042E-2</v>
      </c>
      <c r="L7" s="215">
        <v>4.4048329863710461E-2</v>
      </c>
      <c r="M7" s="215">
        <v>8.2590618494457119E-2</v>
      </c>
      <c r="N7" s="215">
        <v>0.14315707205705902</v>
      </c>
      <c r="O7" s="215">
        <v>0.23125373178447994</v>
      </c>
      <c r="P7" s="215">
        <v>0.38542288630746657</v>
      </c>
      <c r="Q7" s="215">
        <v>0.60566453562601885</v>
      </c>
      <c r="R7" s="215">
        <v>0.9773223188510759</v>
      </c>
      <c r="S7" s="215">
        <v>1.5857398750935767</v>
      </c>
      <c r="T7" s="215">
        <v>2.4777185548337135</v>
      </c>
      <c r="U7" s="215">
        <v>3.906536254787822</v>
      </c>
      <c r="V7" s="215">
        <v>6.2438507581809581</v>
      </c>
      <c r="W7" s="215">
        <v>9.5034271680955325</v>
      </c>
      <c r="X7" s="215">
        <v>14.205586381046624</v>
      </c>
      <c r="Y7" s="215">
        <v>20.088791438468455</v>
      </c>
      <c r="Z7" s="215">
        <v>24.152249868395742</v>
      </c>
      <c r="AA7" s="215">
        <v>15.667440328398516</v>
      </c>
      <c r="AB7" s="215">
        <v>17.327511760137103</v>
      </c>
      <c r="AC7" s="215">
        <v>10.345851476738995</v>
      </c>
      <c r="AD7" s="215">
        <v>56.007451421707856</v>
      </c>
    </row>
    <row r="8" spans="1:36">
      <c r="A8" s="213" t="s">
        <v>1156</v>
      </c>
      <c r="B8" s="214" t="s">
        <v>1154</v>
      </c>
      <c r="C8" s="214">
        <v>500</v>
      </c>
      <c r="D8" s="214" t="s">
        <v>69</v>
      </c>
      <c r="E8" s="215">
        <v>-1.1012082465927615E-2</v>
      </c>
      <c r="F8" s="215">
        <v>-2.2024164931855231E-2</v>
      </c>
      <c r="G8" s="215">
        <v>-2.2024164931855231E-2</v>
      </c>
      <c r="H8" s="215">
        <v>-2.2024164931855231E-2</v>
      </c>
      <c r="I8" s="215">
        <v>-1.6518123698891423E-2</v>
      </c>
      <c r="J8" s="215">
        <v>-2.7530206164819042E-2</v>
      </c>
      <c r="K8" s="215">
        <v>-2.7530206164819042E-2</v>
      </c>
      <c r="L8" s="215">
        <v>-3.0283226781300944E-2</v>
      </c>
      <c r="M8" s="215">
        <v>-3.8542288630746657E-2</v>
      </c>
      <c r="N8" s="215">
        <v>-3.8542288630746657E-2</v>
      </c>
      <c r="O8" s="215">
        <v>-4.1295309247228559E-2</v>
      </c>
      <c r="P8" s="215">
        <v>-3.8542288630746657E-2</v>
      </c>
      <c r="Q8" s="215">
        <v>0.468013504801924</v>
      </c>
      <c r="R8" s="215">
        <v>0.56161620576230797</v>
      </c>
      <c r="S8" s="215">
        <v>0.666230989188621</v>
      </c>
      <c r="T8" s="215">
        <v>1.10396126720924</v>
      </c>
      <c r="U8" s="215">
        <v>1.3710042670079901</v>
      </c>
      <c r="V8" s="215">
        <v>-1.6600714317385881</v>
      </c>
      <c r="W8" s="215">
        <v>-2.1143198334581021</v>
      </c>
      <c r="X8" s="215">
        <v>-3.2045159975849362</v>
      </c>
      <c r="Y8" s="215">
        <v>-4.6470988006214542</v>
      </c>
      <c r="Z8" s="215">
        <v>-5.3931673876880497</v>
      </c>
      <c r="AA8" s="215">
        <v>-9.6933855906327846</v>
      </c>
      <c r="AB8" s="215">
        <v>-81.412325670602868</v>
      </c>
      <c r="AC8" s="215">
        <v>18.891227470298826</v>
      </c>
      <c r="AD8" s="215">
        <v>8.2205195608149655</v>
      </c>
    </row>
    <row r="9" spans="1:36" ht="15.75">
      <c r="A9" s="213" t="s">
        <v>1157</v>
      </c>
      <c r="B9" s="214" t="s">
        <v>1154</v>
      </c>
      <c r="C9" s="214">
        <v>10</v>
      </c>
      <c r="D9" s="214" t="s">
        <v>1158</v>
      </c>
      <c r="E9" s="215">
        <v>114.56970597551091</v>
      </c>
      <c r="F9" s="215">
        <v>114.97715302675024</v>
      </c>
      <c r="G9" s="215">
        <v>115.35156383059177</v>
      </c>
      <c r="H9" s="215">
        <v>115.76726994368055</v>
      </c>
      <c r="I9" s="215">
        <v>115.99577065484854</v>
      </c>
      <c r="J9" s="215">
        <v>116.19398813923524</v>
      </c>
      <c r="K9" s="215">
        <v>116.37018145869008</v>
      </c>
      <c r="L9" s="215">
        <v>116.51058551013065</v>
      </c>
      <c r="M9" s="215">
        <v>116.62345935540642</v>
      </c>
      <c r="N9" s="215">
        <v>116.68953185020199</v>
      </c>
      <c r="O9" s="215">
        <v>116.71155601513384</v>
      </c>
      <c r="P9" s="215">
        <v>116.64823654095476</v>
      </c>
      <c r="Q9" s="215">
        <v>116.48305530396584</v>
      </c>
      <c r="R9" s="215">
        <v>116.14443376813857</v>
      </c>
      <c r="S9" s="215">
        <v>115.54978131497847</v>
      </c>
      <c r="T9" s="215">
        <v>114.53666972811314</v>
      </c>
      <c r="U9" s="215">
        <v>112.85457413144269</v>
      </c>
      <c r="V9" s="215">
        <v>110.10155351496078</v>
      </c>
      <c r="W9" s="215">
        <v>105.54805741529972</v>
      </c>
      <c r="X9" s="215">
        <v>97.960732596275591</v>
      </c>
      <c r="Y9" s="215">
        <v>85.153680688401778</v>
      </c>
      <c r="Z9" s="215">
        <v>63.525950725319937</v>
      </c>
      <c r="AA9" s="215">
        <v>29.336187689231171</v>
      </c>
      <c r="AB9" s="215">
        <v>-6.320935335442452</v>
      </c>
      <c r="AC9" s="215">
        <v>16.374966626834365</v>
      </c>
      <c r="AD9" s="215">
        <v>59.355124491349848</v>
      </c>
    </row>
    <row r="10" spans="1:36" ht="15.75">
      <c r="A10" s="213" t="s">
        <v>1159</v>
      </c>
      <c r="B10" s="214" t="s">
        <v>1154</v>
      </c>
      <c r="C10" s="214">
        <v>5</v>
      </c>
      <c r="D10" s="214" t="s">
        <v>1158</v>
      </c>
      <c r="E10" s="215">
        <v>113.4464735639863</v>
      </c>
      <c r="F10" s="215">
        <v>114.19529517166937</v>
      </c>
      <c r="G10" s="215">
        <v>114.87804428455689</v>
      </c>
      <c r="H10" s="215">
        <v>116.9152795407535</v>
      </c>
      <c r="I10" s="215">
        <v>117.33373867445874</v>
      </c>
      <c r="J10" s="215">
        <v>117.71916156076621</v>
      </c>
      <c r="K10" s="215">
        <v>118.04952403474404</v>
      </c>
      <c r="L10" s="215">
        <v>118.32482609639223</v>
      </c>
      <c r="M10" s="215">
        <v>118.56709191064265</v>
      </c>
      <c r="N10" s="215">
        <v>118.73227314763156</v>
      </c>
      <c r="O10" s="215">
        <v>118.84239397229084</v>
      </c>
      <c r="P10" s="215">
        <v>118.86441813722269</v>
      </c>
      <c r="Q10" s="215">
        <v>118.76530939502933</v>
      </c>
      <c r="R10" s="215">
        <v>118.46798316844929</v>
      </c>
      <c r="S10" s="215">
        <v>117.91737904515291</v>
      </c>
      <c r="T10" s="215">
        <v>116.92629162321943</v>
      </c>
      <c r="U10" s="215">
        <v>115.27447925333028</v>
      </c>
      <c r="V10" s="215">
        <v>112.55449488424617</v>
      </c>
      <c r="W10" s="215">
        <v>108.07257732061362</v>
      </c>
      <c r="X10" s="215">
        <v>100.73853039830583</v>
      </c>
      <c r="Y10" s="215">
        <v>88.504106778660244</v>
      </c>
      <c r="Z10" s="215">
        <v>67.449005103806655</v>
      </c>
      <c r="AA10" s="215">
        <v>28.994813132787414</v>
      </c>
      <c r="AB10" s="215">
        <v>54.630941113466903</v>
      </c>
      <c r="AC10" s="215">
        <v>23.830146456267361</v>
      </c>
      <c r="AD10" s="215">
        <v>174.84984539399869</v>
      </c>
    </row>
    <row r="11" spans="1:36">
      <c r="A11" s="213" t="s">
        <v>1160</v>
      </c>
      <c r="B11" s="214" t="s">
        <v>1154</v>
      </c>
      <c r="C11" s="216">
        <v>3.9500000000000004E-3</v>
      </c>
      <c r="D11" s="214" t="s">
        <v>73</v>
      </c>
      <c r="E11" s="215">
        <v>34.071383149580043</v>
      </c>
      <c r="F11" s="215">
        <v>34.071383149580043</v>
      </c>
      <c r="G11" s="215">
        <v>34.071383149580043</v>
      </c>
      <c r="H11" s="215">
        <v>42.14874563833795</v>
      </c>
      <c r="I11" s="215">
        <v>42.145992617721468</v>
      </c>
      <c r="J11" s="215">
        <v>42.14874563833795</v>
      </c>
      <c r="K11" s="215">
        <v>42.14874563833795</v>
      </c>
      <c r="L11" s="215">
        <v>42.145992617721468</v>
      </c>
      <c r="M11" s="215">
        <v>42.14874563833795</v>
      </c>
      <c r="N11" s="215">
        <v>42.14874563833795</v>
      </c>
      <c r="O11" s="215">
        <v>42.154251679570912</v>
      </c>
      <c r="P11" s="215">
        <v>42.14874563833795</v>
      </c>
      <c r="Q11" s="215">
        <v>42.14874563833795</v>
      </c>
      <c r="R11" s="215">
        <v>42.14874563833795</v>
      </c>
      <c r="S11" s="215">
        <v>42.151498658954431</v>
      </c>
      <c r="T11" s="215">
        <v>42.145992617721468</v>
      </c>
      <c r="U11" s="215">
        <v>42.151498658954431</v>
      </c>
      <c r="V11" s="215">
        <v>42.145992617721468</v>
      </c>
      <c r="W11" s="215">
        <v>42.14874563833795</v>
      </c>
      <c r="X11" s="215">
        <v>42.145992617721468</v>
      </c>
      <c r="Y11" s="215">
        <v>42.151498658954431</v>
      </c>
      <c r="Z11" s="215">
        <v>42.151498658954431</v>
      </c>
      <c r="AA11" s="215">
        <v>42.143239597104987</v>
      </c>
      <c r="AB11" s="215">
        <v>42.151498658954431</v>
      </c>
      <c r="AC11" s="215">
        <v>42.14874563833795</v>
      </c>
      <c r="AD11" s="215">
        <v>42.14874563833795</v>
      </c>
    </row>
    <row r="12" spans="1:36" ht="25.5">
      <c r="A12" s="217" t="s">
        <v>1161</v>
      </c>
      <c r="B12" s="214" t="s">
        <v>1154</v>
      </c>
      <c r="C12" s="214">
        <v>1.1000000000000001E-3</v>
      </c>
      <c r="D12" s="214" t="s">
        <v>1162</v>
      </c>
      <c r="E12" s="215">
        <v>5.1977029239178352</v>
      </c>
      <c r="F12" s="215">
        <v>5.1977029239178352</v>
      </c>
      <c r="G12" s="215">
        <v>5.1977029239178352</v>
      </c>
      <c r="H12" s="215">
        <v>8.6610028594520703</v>
      </c>
      <c r="I12" s="215">
        <v>8.6610028594520703</v>
      </c>
      <c r="J12" s="215">
        <v>8.6610028594520703</v>
      </c>
      <c r="K12" s="215">
        <v>8.6610028594520703</v>
      </c>
      <c r="L12" s="215">
        <v>8.6637558800685515</v>
      </c>
      <c r="M12" s="215">
        <v>8.6637558800685515</v>
      </c>
      <c r="N12" s="215">
        <v>8.6610028594520703</v>
      </c>
      <c r="O12" s="215">
        <v>8.6637558800685515</v>
      </c>
      <c r="P12" s="215">
        <v>8.6610028594520703</v>
      </c>
      <c r="Q12" s="215">
        <v>8.6610028594520703</v>
      </c>
      <c r="R12" s="215">
        <v>8.6610028594520703</v>
      </c>
      <c r="S12" s="215">
        <v>8.6637558800685515</v>
      </c>
      <c r="T12" s="215">
        <v>8.6665089006850344</v>
      </c>
      <c r="U12" s="215">
        <v>8.6637558800685515</v>
      </c>
      <c r="V12" s="215">
        <v>8.6637558800685515</v>
      </c>
      <c r="W12" s="215">
        <v>8.6610028594520703</v>
      </c>
      <c r="X12" s="215">
        <v>8.6637558800685515</v>
      </c>
      <c r="Y12" s="215">
        <v>8.6610028594520703</v>
      </c>
      <c r="Z12" s="215">
        <v>8.6637558800685515</v>
      </c>
      <c r="AA12" s="215">
        <v>8.6665089006850344</v>
      </c>
      <c r="AB12" s="215">
        <v>8.6637558800685515</v>
      </c>
      <c r="AC12" s="215">
        <v>8.6610028594520703</v>
      </c>
      <c r="AD12" s="215">
        <v>8.6610028594520703</v>
      </c>
    </row>
    <row r="13" spans="1:36">
      <c r="A13" s="218" t="s">
        <v>1163</v>
      </c>
      <c r="B13" s="280"/>
      <c r="C13" s="281"/>
      <c r="D13" s="281"/>
      <c r="E13" s="281"/>
      <c r="F13" s="281"/>
      <c r="G13" s="281"/>
      <c r="H13" s="281"/>
      <c r="I13" s="281"/>
      <c r="J13" s="281"/>
      <c r="K13" s="281"/>
      <c r="L13" s="281"/>
      <c r="M13" s="281"/>
      <c r="N13" s="281"/>
      <c r="O13" s="281"/>
      <c r="P13" s="281"/>
      <c r="Q13" s="281"/>
      <c r="R13" s="281"/>
      <c r="S13" s="281"/>
      <c r="T13" s="281"/>
      <c r="U13" s="281"/>
      <c r="V13" s="281"/>
      <c r="W13" s="281"/>
      <c r="X13" s="281"/>
      <c r="Y13" s="281"/>
      <c r="Z13" s="281"/>
      <c r="AA13" s="281"/>
      <c r="AB13" s="281"/>
      <c r="AC13" s="281"/>
      <c r="AD13" s="281"/>
    </row>
    <row r="14" spans="1:36">
      <c r="A14" s="213" t="s">
        <v>1164</v>
      </c>
      <c r="B14" s="214" t="s">
        <v>1142</v>
      </c>
      <c r="C14" s="214">
        <v>100</v>
      </c>
      <c r="D14" s="214" t="s">
        <v>1165</v>
      </c>
      <c r="E14" s="215">
        <f t="shared" ref="E14:AD14" si="2">10000*2*SQRT(3)*20*LOG((1+($C$14/(2*1000000))))</f>
        <v>15.044026064578917</v>
      </c>
      <c r="F14" s="215">
        <f t="shared" si="2"/>
        <v>15.044026064578917</v>
      </c>
      <c r="G14" s="215">
        <f t="shared" si="2"/>
        <v>15.044026064578917</v>
      </c>
      <c r="H14" s="215">
        <f t="shared" si="2"/>
        <v>15.044026064578917</v>
      </c>
      <c r="I14" s="215">
        <f t="shared" si="2"/>
        <v>15.044026064578917</v>
      </c>
      <c r="J14" s="215">
        <f t="shared" si="2"/>
        <v>15.044026064578917</v>
      </c>
      <c r="K14" s="215">
        <f t="shared" si="2"/>
        <v>15.044026064578917</v>
      </c>
      <c r="L14" s="215">
        <f t="shared" si="2"/>
        <v>15.044026064578917</v>
      </c>
      <c r="M14" s="215">
        <f t="shared" si="2"/>
        <v>15.044026064578917</v>
      </c>
      <c r="N14" s="215">
        <f t="shared" si="2"/>
        <v>15.044026064578917</v>
      </c>
      <c r="O14" s="215">
        <f t="shared" si="2"/>
        <v>15.044026064578917</v>
      </c>
      <c r="P14" s="215">
        <f t="shared" si="2"/>
        <v>15.044026064578917</v>
      </c>
      <c r="Q14" s="215">
        <f t="shared" si="2"/>
        <v>15.044026064578917</v>
      </c>
      <c r="R14" s="215">
        <f t="shared" si="2"/>
        <v>15.044026064578917</v>
      </c>
      <c r="S14" s="215">
        <f t="shared" si="2"/>
        <v>15.044026064578917</v>
      </c>
      <c r="T14" s="215">
        <f t="shared" si="2"/>
        <v>15.044026064578917</v>
      </c>
      <c r="U14" s="215">
        <f t="shared" si="2"/>
        <v>15.044026064578917</v>
      </c>
      <c r="V14" s="215">
        <f t="shared" si="2"/>
        <v>15.044026064578917</v>
      </c>
      <c r="W14" s="215">
        <f t="shared" si="2"/>
        <v>15.044026064578917</v>
      </c>
      <c r="X14" s="215">
        <f t="shared" si="2"/>
        <v>15.044026064578917</v>
      </c>
      <c r="Y14" s="215">
        <f t="shared" si="2"/>
        <v>15.044026064578917</v>
      </c>
      <c r="Z14" s="215">
        <f t="shared" si="2"/>
        <v>15.044026064578917</v>
      </c>
      <c r="AA14" s="215">
        <f t="shared" si="2"/>
        <v>15.044026064578917</v>
      </c>
      <c r="AB14" s="215">
        <f t="shared" si="2"/>
        <v>15.044026064578917</v>
      </c>
      <c r="AC14" s="215">
        <f t="shared" si="2"/>
        <v>15.044026064578917</v>
      </c>
      <c r="AD14" s="215">
        <f t="shared" si="2"/>
        <v>15.044026064578917</v>
      </c>
    </row>
    <row r="15" spans="1:36">
      <c r="A15" s="213" t="s">
        <v>1166</v>
      </c>
      <c r="B15" s="214" t="s">
        <v>1142</v>
      </c>
      <c r="C15" s="214">
        <v>1.1000000000000001</v>
      </c>
      <c r="D15" s="214" t="s">
        <v>927</v>
      </c>
      <c r="E15" s="215">
        <f t="shared" ref="E15:AD15" si="3">10000*20*LOG((4.7424+$C$15/(2*1000))/4.7424)</f>
        <v>10.07287934822485</v>
      </c>
      <c r="F15" s="215">
        <f t="shared" si="3"/>
        <v>10.07287934822485</v>
      </c>
      <c r="G15" s="215">
        <f t="shared" si="3"/>
        <v>10.07287934822485</v>
      </c>
      <c r="H15" s="215">
        <f t="shared" si="3"/>
        <v>10.07287934822485</v>
      </c>
      <c r="I15" s="215">
        <f t="shared" si="3"/>
        <v>10.07287934822485</v>
      </c>
      <c r="J15" s="215">
        <f t="shared" si="3"/>
        <v>10.07287934822485</v>
      </c>
      <c r="K15" s="215">
        <f t="shared" si="3"/>
        <v>10.07287934822485</v>
      </c>
      <c r="L15" s="215">
        <f t="shared" si="3"/>
        <v>10.07287934822485</v>
      </c>
      <c r="M15" s="215">
        <f t="shared" si="3"/>
        <v>10.07287934822485</v>
      </c>
      <c r="N15" s="215">
        <f t="shared" si="3"/>
        <v>10.07287934822485</v>
      </c>
      <c r="O15" s="215">
        <f t="shared" si="3"/>
        <v>10.07287934822485</v>
      </c>
      <c r="P15" s="215">
        <f t="shared" si="3"/>
        <v>10.07287934822485</v>
      </c>
      <c r="Q15" s="215">
        <f t="shared" si="3"/>
        <v>10.07287934822485</v>
      </c>
      <c r="R15" s="215">
        <f t="shared" si="3"/>
        <v>10.07287934822485</v>
      </c>
      <c r="S15" s="215">
        <f t="shared" si="3"/>
        <v>10.07287934822485</v>
      </c>
      <c r="T15" s="215">
        <f t="shared" si="3"/>
        <v>10.07287934822485</v>
      </c>
      <c r="U15" s="215">
        <f t="shared" si="3"/>
        <v>10.07287934822485</v>
      </c>
      <c r="V15" s="215">
        <f t="shared" si="3"/>
        <v>10.07287934822485</v>
      </c>
      <c r="W15" s="215">
        <f t="shared" si="3"/>
        <v>10.07287934822485</v>
      </c>
      <c r="X15" s="215">
        <f t="shared" si="3"/>
        <v>10.07287934822485</v>
      </c>
      <c r="Y15" s="215">
        <f t="shared" si="3"/>
        <v>10.07287934822485</v>
      </c>
      <c r="Z15" s="215">
        <f t="shared" si="3"/>
        <v>10.07287934822485</v>
      </c>
      <c r="AA15" s="215">
        <f t="shared" si="3"/>
        <v>10.07287934822485</v>
      </c>
      <c r="AB15" s="215">
        <f t="shared" si="3"/>
        <v>10.07287934822485</v>
      </c>
      <c r="AC15" s="215">
        <f t="shared" si="3"/>
        <v>10.07287934822485</v>
      </c>
      <c r="AD15" s="215">
        <f t="shared" si="3"/>
        <v>10.07287934822485</v>
      </c>
    </row>
    <row r="16" spans="1:36">
      <c r="A16" s="213" t="s">
        <v>1167</v>
      </c>
      <c r="B16" s="214" t="s">
        <v>1154</v>
      </c>
      <c r="C16" s="214">
        <v>66</v>
      </c>
      <c r="D16" s="214" t="s">
        <v>63</v>
      </c>
      <c r="E16" s="215">
        <f t="shared" ref="E16:AD16" si="4">10000*20*LOG(1+10^(-$C$16/20))</f>
        <v>43.521664652372237</v>
      </c>
      <c r="F16" s="215">
        <f t="shared" si="4"/>
        <v>43.521664652372237</v>
      </c>
      <c r="G16" s="215">
        <f t="shared" si="4"/>
        <v>43.521664652372237</v>
      </c>
      <c r="H16" s="215">
        <f t="shared" si="4"/>
        <v>43.521664652372237</v>
      </c>
      <c r="I16" s="215">
        <f t="shared" si="4"/>
        <v>43.521664652372237</v>
      </c>
      <c r="J16" s="215">
        <f t="shared" si="4"/>
        <v>43.521664652372237</v>
      </c>
      <c r="K16" s="215">
        <f t="shared" si="4"/>
        <v>43.521664652372237</v>
      </c>
      <c r="L16" s="215">
        <f t="shared" si="4"/>
        <v>43.521664652372237</v>
      </c>
      <c r="M16" s="215">
        <f t="shared" si="4"/>
        <v>43.521664652372237</v>
      </c>
      <c r="N16" s="215">
        <f t="shared" si="4"/>
        <v>43.521664652372237</v>
      </c>
      <c r="O16" s="215">
        <f t="shared" si="4"/>
        <v>43.521664652372237</v>
      </c>
      <c r="P16" s="215">
        <f t="shared" si="4"/>
        <v>43.521664652372237</v>
      </c>
      <c r="Q16" s="215">
        <f t="shared" si="4"/>
        <v>43.521664652372237</v>
      </c>
      <c r="R16" s="215">
        <f t="shared" si="4"/>
        <v>43.521664652372237</v>
      </c>
      <c r="S16" s="215">
        <f t="shared" si="4"/>
        <v>43.521664652372237</v>
      </c>
      <c r="T16" s="215">
        <f t="shared" si="4"/>
        <v>43.521664652372237</v>
      </c>
      <c r="U16" s="215">
        <f t="shared" si="4"/>
        <v>43.521664652372237</v>
      </c>
      <c r="V16" s="215">
        <f t="shared" si="4"/>
        <v>43.521664652372237</v>
      </c>
      <c r="W16" s="215">
        <f t="shared" si="4"/>
        <v>43.521664652372237</v>
      </c>
      <c r="X16" s="215">
        <f t="shared" si="4"/>
        <v>43.521664652372237</v>
      </c>
      <c r="Y16" s="215">
        <f t="shared" si="4"/>
        <v>43.521664652372237</v>
      </c>
      <c r="Z16" s="215">
        <f t="shared" si="4"/>
        <v>43.521664652372237</v>
      </c>
      <c r="AA16" s="215">
        <f t="shared" si="4"/>
        <v>43.521664652372237</v>
      </c>
      <c r="AB16" s="215">
        <f t="shared" si="4"/>
        <v>43.521664652372237</v>
      </c>
      <c r="AC16" s="215">
        <f t="shared" si="4"/>
        <v>43.521664652372237</v>
      </c>
      <c r="AD16" s="215">
        <f t="shared" si="4"/>
        <v>43.521664652372237</v>
      </c>
    </row>
    <row r="17" spans="1:36">
      <c r="A17" s="213" t="s">
        <v>1168</v>
      </c>
      <c r="B17" s="214" t="s">
        <v>1142</v>
      </c>
      <c r="C17" s="214">
        <v>5</v>
      </c>
      <c r="D17" s="214" t="s">
        <v>1169</v>
      </c>
      <c r="E17" s="215">
        <f t="shared" ref="E17:AD17" si="5">20*10000*LOG((200.008+($C$17/1000))/200.008)</f>
        <v>2.1713584133170465</v>
      </c>
      <c r="F17" s="215">
        <f t="shared" si="5"/>
        <v>2.1713584133170465</v>
      </c>
      <c r="G17" s="215">
        <f t="shared" si="5"/>
        <v>2.1713584133170465</v>
      </c>
      <c r="H17" s="215">
        <f t="shared" si="5"/>
        <v>2.1713584133170465</v>
      </c>
      <c r="I17" s="215">
        <f t="shared" si="5"/>
        <v>2.1713584133170465</v>
      </c>
      <c r="J17" s="215">
        <f t="shared" si="5"/>
        <v>2.1713584133170465</v>
      </c>
      <c r="K17" s="215">
        <f t="shared" si="5"/>
        <v>2.1713584133170465</v>
      </c>
      <c r="L17" s="215">
        <f t="shared" si="5"/>
        <v>2.1713584133170465</v>
      </c>
      <c r="M17" s="215">
        <f t="shared" si="5"/>
        <v>2.1713584133170465</v>
      </c>
      <c r="N17" s="215">
        <f t="shared" si="5"/>
        <v>2.1713584133170465</v>
      </c>
      <c r="O17" s="215">
        <f t="shared" si="5"/>
        <v>2.1713584133170465</v>
      </c>
      <c r="P17" s="215">
        <f t="shared" si="5"/>
        <v>2.1713584133170465</v>
      </c>
      <c r="Q17" s="215">
        <f t="shared" si="5"/>
        <v>2.1713584133170465</v>
      </c>
      <c r="R17" s="215">
        <f t="shared" si="5"/>
        <v>2.1713584133170465</v>
      </c>
      <c r="S17" s="215">
        <f t="shared" si="5"/>
        <v>2.1713584133170465</v>
      </c>
      <c r="T17" s="215">
        <f t="shared" si="5"/>
        <v>2.1713584133170465</v>
      </c>
      <c r="U17" s="215">
        <f t="shared" si="5"/>
        <v>2.1713584133170465</v>
      </c>
      <c r="V17" s="215">
        <f t="shared" si="5"/>
        <v>2.1713584133170465</v>
      </c>
      <c r="W17" s="215">
        <f t="shared" si="5"/>
        <v>2.1713584133170465</v>
      </c>
      <c r="X17" s="215">
        <f t="shared" si="5"/>
        <v>2.1713584133170465</v>
      </c>
      <c r="Y17" s="215">
        <f t="shared" si="5"/>
        <v>2.1713584133170465</v>
      </c>
      <c r="Z17" s="215">
        <f t="shared" si="5"/>
        <v>2.1713584133170465</v>
      </c>
      <c r="AA17" s="215">
        <f t="shared" si="5"/>
        <v>2.1713584133170465</v>
      </c>
      <c r="AB17" s="215">
        <f t="shared" si="5"/>
        <v>2.1713584133170465</v>
      </c>
      <c r="AC17" s="215">
        <f t="shared" si="5"/>
        <v>2.1713584133170465</v>
      </c>
      <c r="AD17" s="215">
        <f t="shared" si="5"/>
        <v>2.1713584133170465</v>
      </c>
    </row>
    <row r="18" spans="1:36">
      <c r="A18" s="213" t="s">
        <v>1170</v>
      </c>
      <c r="B18" s="214" t="s">
        <v>1154</v>
      </c>
      <c r="C18" s="214">
        <v>5</v>
      </c>
      <c r="D18" s="214" t="s">
        <v>1165</v>
      </c>
      <c r="E18" s="219">
        <f t="shared" ref="E18:AD18" si="6">10000*20*LOG(1+$C$18/1000000)</f>
        <v>0.43429339617351131</v>
      </c>
      <c r="F18" s="219">
        <f t="shared" si="6"/>
        <v>0.43429339617351131</v>
      </c>
      <c r="G18" s="219">
        <f t="shared" si="6"/>
        <v>0.43429339617351131</v>
      </c>
      <c r="H18" s="219">
        <f t="shared" si="6"/>
        <v>0.43429339617351131</v>
      </c>
      <c r="I18" s="219">
        <f t="shared" si="6"/>
        <v>0.43429339617351131</v>
      </c>
      <c r="J18" s="219">
        <f t="shared" si="6"/>
        <v>0.43429339617351131</v>
      </c>
      <c r="K18" s="219">
        <f t="shared" si="6"/>
        <v>0.43429339617351131</v>
      </c>
      <c r="L18" s="219">
        <f t="shared" si="6"/>
        <v>0.43429339617351131</v>
      </c>
      <c r="M18" s="219">
        <f t="shared" si="6"/>
        <v>0.43429339617351131</v>
      </c>
      <c r="N18" s="219">
        <f t="shared" si="6"/>
        <v>0.43429339617351131</v>
      </c>
      <c r="O18" s="219">
        <f t="shared" si="6"/>
        <v>0.43429339617351131</v>
      </c>
      <c r="P18" s="219">
        <f t="shared" si="6"/>
        <v>0.43429339617351131</v>
      </c>
      <c r="Q18" s="219">
        <f t="shared" si="6"/>
        <v>0.43429339617351131</v>
      </c>
      <c r="R18" s="219">
        <f t="shared" si="6"/>
        <v>0.43429339617351131</v>
      </c>
      <c r="S18" s="219">
        <f t="shared" si="6"/>
        <v>0.43429339617351131</v>
      </c>
      <c r="T18" s="219">
        <f t="shared" si="6"/>
        <v>0.43429339617351131</v>
      </c>
      <c r="U18" s="219">
        <f t="shared" si="6"/>
        <v>0.43429339617351131</v>
      </c>
      <c r="V18" s="219">
        <f t="shared" si="6"/>
        <v>0.43429339617351131</v>
      </c>
      <c r="W18" s="219">
        <f t="shared" si="6"/>
        <v>0.43429339617351131</v>
      </c>
      <c r="X18" s="219">
        <f t="shared" si="6"/>
        <v>0.43429339617351131</v>
      </c>
      <c r="Y18" s="219">
        <f t="shared" si="6"/>
        <v>0.43429339617351131</v>
      </c>
      <c r="Z18" s="219">
        <f t="shared" si="6"/>
        <v>0.43429339617351131</v>
      </c>
      <c r="AA18" s="219">
        <f t="shared" si="6"/>
        <v>0.43429339617351131</v>
      </c>
      <c r="AB18" s="219">
        <f t="shared" si="6"/>
        <v>0.43429339617351131</v>
      </c>
      <c r="AC18" s="219">
        <f t="shared" si="6"/>
        <v>0.43429339617351131</v>
      </c>
      <c r="AD18" s="219">
        <f t="shared" si="6"/>
        <v>0.43429339617351131</v>
      </c>
    </row>
    <row r="19" spans="1:36">
      <c r="A19" s="213" t="s">
        <v>1171</v>
      </c>
      <c r="B19" s="214" t="s">
        <v>1154</v>
      </c>
      <c r="C19" s="214">
        <v>46</v>
      </c>
      <c r="D19" s="214" t="s">
        <v>63</v>
      </c>
      <c r="E19" s="215">
        <f t="shared" ref="E19:AD19" si="7">10000*10*LOG(1+10^(-$C$19/10))</f>
        <v>1.0908847155328429</v>
      </c>
      <c r="F19" s="215">
        <f t="shared" si="7"/>
        <v>1.0908847155328429</v>
      </c>
      <c r="G19" s="215">
        <f t="shared" si="7"/>
        <v>1.0908847155328429</v>
      </c>
      <c r="H19" s="215">
        <f t="shared" si="7"/>
        <v>1.0908847155328429</v>
      </c>
      <c r="I19" s="215">
        <f t="shared" si="7"/>
        <v>1.0908847155328429</v>
      </c>
      <c r="J19" s="215">
        <f t="shared" si="7"/>
        <v>1.0908847155328429</v>
      </c>
      <c r="K19" s="215">
        <f t="shared" si="7"/>
        <v>1.0908847155328429</v>
      </c>
      <c r="L19" s="215">
        <f t="shared" si="7"/>
        <v>1.0908847155328429</v>
      </c>
      <c r="M19" s="215">
        <f t="shared" si="7"/>
        <v>1.0908847155328429</v>
      </c>
      <c r="N19" s="215">
        <f t="shared" si="7"/>
        <v>1.0908847155328429</v>
      </c>
      <c r="O19" s="215">
        <f t="shared" si="7"/>
        <v>1.0908847155328429</v>
      </c>
      <c r="P19" s="215">
        <f t="shared" si="7"/>
        <v>1.0908847155328429</v>
      </c>
      <c r="Q19" s="215">
        <f t="shared" si="7"/>
        <v>1.0908847155328429</v>
      </c>
      <c r="R19" s="215">
        <f t="shared" si="7"/>
        <v>1.0908847155328429</v>
      </c>
      <c r="S19" s="215">
        <f t="shared" si="7"/>
        <v>1.0908847155328429</v>
      </c>
      <c r="T19" s="215">
        <f t="shared" si="7"/>
        <v>1.0908847155328429</v>
      </c>
      <c r="U19" s="215">
        <f t="shared" si="7"/>
        <v>1.0908847155328429</v>
      </c>
      <c r="V19" s="215">
        <f t="shared" si="7"/>
        <v>1.0908847155328429</v>
      </c>
      <c r="W19" s="215">
        <f t="shared" si="7"/>
        <v>1.0908847155328429</v>
      </c>
      <c r="X19" s="215">
        <f t="shared" si="7"/>
        <v>1.0908847155328429</v>
      </c>
      <c r="Y19" s="215">
        <f t="shared" si="7"/>
        <v>1.0908847155328429</v>
      </c>
      <c r="Z19" s="215">
        <f t="shared" si="7"/>
        <v>1.0908847155328429</v>
      </c>
      <c r="AA19" s="215">
        <f t="shared" si="7"/>
        <v>1.0908847155328429</v>
      </c>
      <c r="AB19" s="215">
        <f t="shared" si="7"/>
        <v>1.0908847155328429</v>
      </c>
      <c r="AC19" s="215">
        <f t="shared" si="7"/>
        <v>1.0908847155328429</v>
      </c>
      <c r="AD19" s="215">
        <f t="shared" si="7"/>
        <v>1.0908847155328429</v>
      </c>
    </row>
    <row r="20" spans="1:36">
      <c r="A20" s="213" t="s">
        <v>1172</v>
      </c>
      <c r="B20" s="214" t="s">
        <v>1154</v>
      </c>
      <c r="C20" s="214">
        <v>53</v>
      </c>
      <c r="D20" s="214" t="s">
        <v>63</v>
      </c>
      <c r="E20" s="215">
        <f t="shared" ref="E20:AD20" si="8">10000*10*LOG(1+10^(-$C$20/10))</f>
        <v>0.21766230451665489</v>
      </c>
      <c r="F20" s="215">
        <f t="shared" si="8"/>
        <v>0.21766230451665489</v>
      </c>
      <c r="G20" s="215">
        <f t="shared" si="8"/>
        <v>0.21766230451665489</v>
      </c>
      <c r="H20" s="215">
        <f t="shared" si="8"/>
        <v>0.21766230451665489</v>
      </c>
      <c r="I20" s="215">
        <f t="shared" si="8"/>
        <v>0.21766230451665489</v>
      </c>
      <c r="J20" s="215">
        <f t="shared" si="8"/>
        <v>0.21766230451665489</v>
      </c>
      <c r="K20" s="215">
        <f t="shared" si="8"/>
        <v>0.21766230451665489</v>
      </c>
      <c r="L20" s="215">
        <f t="shared" si="8"/>
        <v>0.21766230451665489</v>
      </c>
      <c r="M20" s="215">
        <f t="shared" si="8"/>
        <v>0.21766230451665489</v>
      </c>
      <c r="N20" s="215">
        <f t="shared" si="8"/>
        <v>0.21766230451665489</v>
      </c>
      <c r="O20" s="215">
        <f t="shared" si="8"/>
        <v>0.21766230451665489</v>
      </c>
      <c r="P20" s="215">
        <f t="shared" si="8"/>
        <v>0.21766230451665489</v>
      </c>
      <c r="Q20" s="215">
        <f t="shared" si="8"/>
        <v>0.21766230451665489</v>
      </c>
      <c r="R20" s="215">
        <f t="shared" si="8"/>
        <v>0.21766230451665489</v>
      </c>
      <c r="S20" s="215">
        <f t="shared" si="8"/>
        <v>0.21766230451665489</v>
      </c>
      <c r="T20" s="215">
        <f t="shared" si="8"/>
        <v>0.21766230451665489</v>
      </c>
      <c r="U20" s="215">
        <f t="shared" si="8"/>
        <v>0.21766230451665489</v>
      </c>
      <c r="V20" s="215">
        <f t="shared" si="8"/>
        <v>0.21766230451665489</v>
      </c>
      <c r="W20" s="215">
        <f t="shared" si="8"/>
        <v>0.21766230451665489</v>
      </c>
      <c r="X20" s="215">
        <f t="shared" si="8"/>
        <v>0.21766230451665489</v>
      </c>
      <c r="Y20" s="215">
        <f t="shared" si="8"/>
        <v>0.21766230451665489</v>
      </c>
      <c r="Z20" s="215">
        <f t="shared" si="8"/>
        <v>0.21766230451665489</v>
      </c>
      <c r="AA20" s="215">
        <f t="shared" si="8"/>
        <v>0.21766230451665489</v>
      </c>
      <c r="AB20" s="215">
        <f t="shared" si="8"/>
        <v>0.21766230451665489</v>
      </c>
      <c r="AC20" s="215">
        <f t="shared" si="8"/>
        <v>0.21766230451665489</v>
      </c>
      <c r="AD20" s="215">
        <f t="shared" si="8"/>
        <v>0.21766230451665489</v>
      </c>
    </row>
    <row r="21" spans="1:36">
      <c r="A21" s="218" t="s">
        <v>1173</v>
      </c>
      <c r="B21" s="280"/>
      <c r="C21" s="281"/>
      <c r="D21" s="281"/>
      <c r="E21" s="281"/>
      <c r="F21" s="281"/>
      <c r="G21" s="281"/>
      <c r="H21" s="281"/>
      <c r="I21" s="281"/>
      <c r="J21" s="281"/>
      <c r="K21" s="281"/>
      <c r="L21" s="281"/>
      <c r="M21" s="281"/>
      <c r="N21" s="281"/>
      <c r="O21" s="281"/>
      <c r="P21" s="281"/>
      <c r="Q21" s="281"/>
      <c r="R21" s="281"/>
      <c r="S21" s="281"/>
      <c r="T21" s="281"/>
      <c r="U21" s="281"/>
      <c r="V21" s="281"/>
      <c r="W21" s="281"/>
      <c r="X21" s="281"/>
      <c r="Y21" s="281"/>
      <c r="Z21" s="281"/>
      <c r="AA21" s="281"/>
      <c r="AB21" s="281"/>
      <c r="AC21" s="281"/>
      <c r="AD21" s="281"/>
      <c r="AE21" s="260"/>
      <c r="AF21" s="261"/>
      <c r="AG21" s="261"/>
      <c r="AH21" s="261"/>
      <c r="AI21" s="261"/>
    </row>
    <row r="22" spans="1:36" s="213" customFormat="1">
      <c r="A22" s="213" t="s">
        <v>1174</v>
      </c>
      <c r="B22" s="214" t="s">
        <v>1154</v>
      </c>
      <c r="C22" s="214">
        <v>0.1</v>
      </c>
      <c r="D22" s="214" t="s">
        <v>761</v>
      </c>
      <c r="E22" s="215">
        <v>7.4772039943648512</v>
      </c>
      <c r="F22" s="215">
        <v>7.4441677469670688</v>
      </c>
      <c r="G22" s="215">
        <v>7.4331556645011405</v>
      </c>
      <c r="H22" s="215">
        <v>7.4001194171033582</v>
      </c>
      <c r="I22" s="215">
        <v>7.4001194171033582</v>
      </c>
      <c r="J22" s="215">
        <v>7.3780952521715024</v>
      </c>
      <c r="K22" s="215">
        <v>7.367083169705575</v>
      </c>
      <c r="L22" s="215">
        <v>7.367083169705575</v>
      </c>
      <c r="M22" s="215">
        <v>7.3560710872396475</v>
      </c>
      <c r="N22" s="215">
        <v>7.3560710872396475</v>
      </c>
      <c r="O22" s="215">
        <v>7.3340469223077926</v>
      </c>
      <c r="P22" s="215">
        <v>7.3340469223077926</v>
      </c>
      <c r="Q22" s="215">
        <v>7.3560710872396475</v>
      </c>
      <c r="R22" s="215">
        <v>7.3780952521715024</v>
      </c>
      <c r="S22" s="215">
        <v>7.4111314995692856</v>
      </c>
      <c r="T22" s="215">
        <v>7.4882160768307786</v>
      </c>
      <c r="U22" s="215">
        <v>7.5873248190241274</v>
      </c>
      <c r="V22" s="215">
        <v>7.7745302209448965</v>
      </c>
      <c r="W22" s="215">
        <v>8.0278081176612321</v>
      </c>
      <c r="X22" s="215">
        <v>8.446267251366482</v>
      </c>
      <c r="Y22" s="215">
        <v>9.1620526116517773</v>
      </c>
      <c r="Z22" s="215">
        <v>10.318321270574176</v>
      </c>
      <c r="AA22" s="215">
        <v>11.849000733338116</v>
      </c>
      <c r="AB22" s="215">
        <v>12.873124402669383</v>
      </c>
      <c r="AC22" s="215">
        <v>10.819371022773883</v>
      </c>
      <c r="AD22" s="215">
        <v>4.2671819555469508</v>
      </c>
      <c r="AE22" s="255"/>
      <c r="AF22" s="255"/>
      <c r="AG22" s="255"/>
      <c r="AH22" s="255"/>
      <c r="AI22" s="255"/>
      <c r="AJ22" s="255"/>
    </row>
    <row r="23" spans="1:36">
      <c r="A23" s="213" t="s">
        <v>1175</v>
      </c>
      <c r="B23" s="214" t="s">
        <v>1154</v>
      </c>
      <c r="C23" s="214">
        <v>0.3</v>
      </c>
      <c r="D23" s="214" t="s">
        <v>1176</v>
      </c>
      <c r="E23" s="220">
        <v>2.0592594211284641</v>
      </c>
      <c r="F23" s="220">
        <v>2.0372352561966092</v>
      </c>
      <c r="G23" s="220">
        <v>2.0152110912647538</v>
      </c>
      <c r="H23" s="220">
        <v>1.9711627614010432</v>
      </c>
      <c r="I23" s="220">
        <v>1.9601506789351157</v>
      </c>
      <c r="J23" s="221">
        <v>1.9491385964691881</v>
      </c>
      <c r="K23" s="221">
        <v>1.9381265140032604</v>
      </c>
      <c r="L23" s="221">
        <v>1.9381265140032604</v>
      </c>
      <c r="M23" s="221">
        <v>1.9381265140032604</v>
      </c>
      <c r="N23" s="221">
        <v>1.9381265140032604</v>
      </c>
      <c r="O23" s="221">
        <v>1.9491385964691881</v>
      </c>
      <c r="P23" s="221">
        <v>1.9601506789351157</v>
      </c>
      <c r="Q23" s="221">
        <v>2.0482473386625366</v>
      </c>
      <c r="R23" s="221">
        <v>2.1803923282536681</v>
      </c>
      <c r="S23" s="221">
        <v>2.3565856477085099</v>
      </c>
      <c r="T23" s="221">
        <v>2.6208756268907725</v>
      </c>
      <c r="U23" s="221">
        <v>2.9622501833345289</v>
      </c>
      <c r="V23" s="221">
        <v>3.4688059767671993</v>
      </c>
      <c r="W23" s="221">
        <v>4.2066155019843494</v>
      </c>
      <c r="X23" s="221">
        <v>5.4619929031000973</v>
      </c>
      <c r="Y23" s="221">
        <v>7.7304818910811868</v>
      </c>
      <c r="Z23" s="221">
        <v>11.617747001553635</v>
      </c>
      <c r="AA23" s="221">
        <v>17.465162790961198</v>
      </c>
      <c r="AB23" s="221">
        <v>24.920342620394194</v>
      </c>
      <c r="AC23" s="221">
        <v>18.918757676463645</v>
      </c>
      <c r="AD23" s="221">
        <v>11.331432857439516</v>
      </c>
    </row>
    <row r="24" spans="1:36">
      <c r="A24" s="213" t="s">
        <v>1177</v>
      </c>
      <c r="B24" s="214" t="s">
        <v>1154</v>
      </c>
      <c r="C24" s="214">
        <v>1</v>
      </c>
      <c r="D24" s="214" t="s">
        <v>1178</v>
      </c>
      <c r="E24" s="215">
        <v>0.17619331945484185</v>
      </c>
      <c r="F24" s="215">
        <v>0.17619331945484185</v>
      </c>
      <c r="G24" s="215">
        <v>0.17619331945484185</v>
      </c>
      <c r="H24" s="215">
        <v>0.17619331945484185</v>
      </c>
      <c r="I24" s="215">
        <v>0.17619331945484185</v>
      </c>
      <c r="J24" s="215">
        <v>0.17619331945484185</v>
      </c>
      <c r="K24" s="215">
        <v>0.17619331945484185</v>
      </c>
      <c r="L24" s="215">
        <v>0.17619331945484185</v>
      </c>
      <c r="M24" s="215">
        <v>0.17619331945484185</v>
      </c>
      <c r="N24" s="215">
        <v>0.17619331945484185</v>
      </c>
      <c r="O24" s="215">
        <v>0.17619331945484185</v>
      </c>
      <c r="P24" s="215">
        <v>0.17619331945484185</v>
      </c>
      <c r="Q24" s="215">
        <v>0.17619331945484185</v>
      </c>
      <c r="R24" s="215">
        <v>0.17619331945484185</v>
      </c>
      <c r="S24" s="215">
        <v>0.18720540192076948</v>
      </c>
      <c r="T24" s="215">
        <v>0.19821748438669709</v>
      </c>
      <c r="U24" s="215">
        <v>0.19821748438669709</v>
      </c>
      <c r="V24" s="215">
        <v>0.2147356080855885</v>
      </c>
      <c r="W24" s="215">
        <v>0.24226581425040755</v>
      </c>
      <c r="X24" s="215">
        <v>0.28631414411411804</v>
      </c>
      <c r="Y24" s="215">
        <v>0.36339872137561136</v>
      </c>
      <c r="Z24" s="215">
        <v>0.4845316285008151</v>
      </c>
      <c r="AA24" s="215">
        <v>0.72679744275122271</v>
      </c>
      <c r="AB24" s="215">
        <v>1.1782928238542549</v>
      </c>
      <c r="AC24" s="215">
        <v>0.84793034987642646</v>
      </c>
      <c r="AD24" s="215">
        <v>1.3544861433090967</v>
      </c>
    </row>
    <row r="25" spans="1:36">
      <c r="A25" s="218" t="s">
        <v>1179</v>
      </c>
      <c r="B25" s="222"/>
      <c r="C25" s="223"/>
      <c r="D25" s="223"/>
      <c r="E25" s="224"/>
      <c r="F25" s="224"/>
      <c r="G25" s="224"/>
      <c r="H25" s="224"/>
      <c r="I25" s="224"/>
      <c r="J25" s="224"/>
      <c r="K25" s="224"/>
      <c r="L25" s="224"/>
      <c r="M25" s="224"/>
      <c r="N25" s="224"/>
      <c r="O25" s="224"/>
      <c r="P25" s="224"/>
      <c r="Q25" s="224"/>
      <c r="R25" s="224"/>
      <c r="S25" s="224"/>
      <c r="T25" s="224"/>
      <c r="U25" s="224"/>
      <c r="V25" s="224"/>
      <c r="W25" s="224"/>
      <c r="X25" s="224"/>
      <c r="Y25" s="224"/>
      <c r="Z25" s="224"/>
      <c r="AA25" s="224"/>
      <c r="AB25" s="224"/>
      <c r="AC25" s="224"/>
      <c r="AD25" s="224"/>
    </row>
    <row r="26" spans="1:36">
      <c r="A26" s="213" t="s">
        <v>1180</v>
      </c>
      <c r="B26" s="214" t="s">
        <v>1154</v>
      </c>
      <c r="C26" s="214">
        <v>1</v>
      </c>
      <c r="D26" s="214" t="s">
        <v>1181</v>
      </c>
      <c r="E26" s="215">
        <v>1.1976367469629621</v>
      </c>
      <c r="F26" s="215">
        <v>1.1964844240861008</v>
      </c>
      <c r="G26" s="215">
        <v>1.1976367469629621</v>
      </c>
      <c r="H26" s="215">
        <v>1.2022980339781952</v>
      </c>
      <c r="I26" s="215">
        <v>1.199382113133334</v>
      </c>
      <c r="J26" s="215">
        <v>1.199382113133334</v>
      </c>
      <c r="K26" s="215">
        <v>1.1976367469629621</v>
      </c>
      <c r="L26" s="215">
        <v>1.2040618219660097</v>
      </c>
      <c r="M26" s="215">
        <v>1.1964844240861008</v>
      </c>
      <c r="N26" s="215">
        <v>1.1964844240861008</v>
      </c>
      <c r="O26" s="215">
        <v>1.1964844240861008</v>
      </c>
      <c r="P26" s="215">
        <v>1.1964844240861008</v>
      </c>
      <c r="Q26" s="215">
        <v>1.1918003995002022</v>
      </c>
      <c r="R26" s="215">
        <v>1.1889097312266503</v>
      </c>
      <c r="S26" s="215">
        <v>1.1860375789755269</v>
      </c>
      <c r="T26" s="215">
        <v>1.1662024097647792</v>
      </c>
      <c r="U26" s="215">
        <v>1.15579661617608</v>
      </c>
      <c r="V26" s="215">
        <v>1.1248102416124777</v>
      </c>
      <c r="W26" s="215">
        <v>1.0792402642926784</v>
      </c>
      <c r="X26" s="215">
        <v>1.0095743636735541</v>
      </c>
      <c r="Y26" s="215">
        <v>0.90691034579131258</v>
      </c>
      <c r="Z26" s="215">
        <v>0.74954999417997259</v>
      </c>
      <c r="AA26" s="215">
        <v>0.61888491289305092</v>
      </c>
      <c r="AB26" s="215">
        <v>1.1431899463639363</v>
      </c>
      <c r="AC26" s="215">
        <v>0.2092295668526247</v>
      </c>
      <c r="AD26" s="215">
        <v>1.2003169887861103</v>
      </c>
    </row>
    <row r="27" spans="1:36">
      <c r="A27" s="213" t="s">
        <v>1182</v>
      </c>
      <c r="B27" s="214" t="s">
        <v>1154</v>
      </c>
      <c r="C27" s="214" t="s">
        <v>1216</v>
      </c>
      <c r="D27" s="214" t="s">
        <v>1181</v>
      </c>
      <c r="E27" s="215">
        <v>11.477110172562472</v>
      </c>
      <c r="F27" s="215">
        <v>11.449660165087877</v>
      </c>
      <c r="G27" s="215">
        <v>11.428127810320897</v>
      </c>
      <c r="H27" s="215">
        <v>11.424774184296183</v>
      </c>
      <c r="I27" s="215">
        <v>11.409564384850261</v>
      </c>
      <c r="J27" s="215">
        <v>11.400287292495351</v>
      </c>
      <c r="K27" s="215">
        <v>11.388044067943236</v>
      </c>
      <c r="L27" s="215">
        <v>11.383407018926333</v>
      </c>
      <c r="M27" s="215">
        <v>11.375800991591925</v>
      </c>
      <c r="N27" s="215">
        <v>11.371164282138757</v>
      </c>
      <c r="O27" s="215">
        <v>11.369500523408867</v>
      </c>
      <c r="P27" s="215">
        <v>11.372474587402529</v>
      </c>
      <c r="Q27" s="215">
        <v>11.381742386206401</v>
      </c>
      <c r="R27" s="215">
        <v>11.399932273859578</v>
      </c>
      <c r="S27" s="215">
        <v>11.422758616628505</v>
      </c>
      <c r="T27" s="215">
        <v>11.468417751592334</v>
      </c>
      <c r="U27" s="215">
        <v>11.547817271926352</v>
      </c>
      <c r="V27" s="215">
        <v>11.674240974326063</v>
      </c>
      <c r="W27" s="215">
        <v>11.877114203076749</v>
      </c>
      <c r="X27" s="215">
        <v>12.214182954160586</v>
      </c>
      <c r="Y27" s="215">
        <v>12.768140407604173</v>
      </c>
      <c r="Z27" s="215">
        <v>13.686250965079534</v>
      </c>
      <c r="AA27" s="215">
        <v>15.245053944189667</v>
      </c>
      <c r="AB27" s="215">
        <v>18.078834644810922</v>
      </c>
      <c r="AC27" s="215">
        <v>16.760389513141831</v>
      </c>
      <c r="AD27" s="215">
        <v>21.363439983899575</v>
      </c>
    </row>
    <row r="28" spans="1:36">
      <c r="A28" s="213" t="s">
        <v>1183</v>
      </c>
      <c r="B28" s="214" t="s">
        <v>1154</v>
      </c>
      <c r="C28" s="225"/>
      <c r="D28" s="225"/>
      <c r="E28" s="215">
        <v>0.40419743310476008</v>
      </c>
      <c r="F28" s="215">
        <v>0.36004626298949605</v>
      </c>
      <c r="G28" s="215">
        <v>0.32105461560446669</v>
      </c>
      <c r="H28" s="215">
        <v>0.22921273366114753</v>
      </c>
      <c r="I28" s="215">
        <v>0.20245467285271526</v>
      </c>
      <c r="J28" s="215">
        <v>0.18002313149474802</v>
      </c>
      <c r="K28" s="215">
        <v>0.16773104296713409</v>
      </c>
      <c r="L28" s="215">
        <v>0.14536365973375545</v>
      </c>
      <c r="M28" s="215">
        <v>0.13305949870081807</v>
      </c>
      <c r="N28" s="215">
        <v>0.12075691167972934</v>
      </c>
      <c r="O28" s="215">
        <v>0.10845643430857328</v>
      </c>
      <c r="P28" s="215">
        <v>9.6158876179085889E-2</v>
      </c>
      <c r="Q28" s="215">
        <v>8.3865521483567046E-2</v>
      </c>
      <c r="R28" s="215">
        <v>7.6690280162905494E-2</v>
      </c>
      <c r="S28" s="215">
        <v>7.157853602852951E-2</v>
      </c>
      <c r="T28" s="215">
        <v>6.155941241911915E-2</v>
      </c>
      <c r="U28" s="215">
        <v>5.9301878948776345E-2</v>
      </c>
      <c r="V28" s="215">
        <v>4.9247529935295326E-2</v>
      </c>
      <c r="W28" s="215">
        <v>4.7043636916315537E-2</v>
      </c>
      <c r="X28" s="215">
        <v>3.6935647451471494E-2</v>
      </c>
      <c r="Y28" s="215">
        <v>3.6935647451471494E-2</v>
      </c>
      <c r="Z28" s="215">
        <v>3.4823262373934814E-2</v>
      </c>
      <c r="AA28" s="215">
        <v>2.9650939474388172E-2</v>
      </c>
      <c r="AB28" s="215">
        <v>2.4623764967647663E-2</v>
      </c>
      <c r="AC28" s="215">
        <v>2.2024164931855231E-2</v>
      </c>
      <c r="AD28" s="215">
        <v>2.2024164931855231E-2</v>
      </c>
    </row>
    <row r="29" spans="1:36">
      <c r="A29" s="213" t="s">
        <v>1184</v>
      </c>
      <c r="B29" s="214" t="s">
        <v>1154</v>
      </c>
      <c r="C29" s="225"/>
      <c r="D29" s="225"/>
      <c r="E29" s="215">
        <v>0.46056973515799537</v>
      </c>
      <c r="F29" s="215">
        <v>0.40647862283529984</v>
      </c>
      <c r="G29" s="215">
        <v>0.36473107679401318</v>
      </c>
      <c r="H29" s="215">
        <v>0.26105836445678471</v>
      </c>
      <c r="I29" s="215">
        <v>0.23643943763462136</v>
      </c>
      <c r="J29" s="215">
        <v>0.2069714967175551</v>
      </c>
      <c r="K29" s="215">
        <v>0.18720540192076948</v>
      </c>
      <c r="L29" s="215">
        <v>0.16259144913411994</v>
      </c>
      <c r="M29" s="215">
        <v>0.15028567827317318</v>
      </c>
      <c r="N29" s="215">
        <v>0.13798099781170339</v>
      </c>
      <c r="O29" s="215">
        <v>0.1231188248382383</v>
      </c>
      <c r="P29" s="215">
        <v>0.10388777820821249</v>
      </c>
      <c r="Q29" s="215">
        <v>9.8495059870590651E-2</v>
      </c>
      <c r="R29" s="215">
        <v>8.6183177386766813E-2</v>
      </c>
      <c r="S29" s="215">
        <v>7.6492369432550847E-2</v>
      </c>
      <c r="T29" s="215">
        <v>6.8990498905851697E-2</v>
      </c>
      <c r="U29" s="215">
        <v>6.421092312089334E-2</v>
      </c>
      <c r="V29" s="215">
        <v>5.6688164075619413E-2</v>
      </c>
      <c r="W29" s="215">
        <v>4.9247529935295326E-2</v>
      </c>
      <c r="X29" s="215">
        <v>4.9247529935295326E-2</v>
      </c>
      <c r="Y29" s="215">
        <v>3.9704627980539947E-2</v>
      </c>
      <c r="Z29" s="215">
        <v>3.9704627980539947E-2</v>
      </c>
      <c r="AA29" s="215">
        <v>3.4823262373934814E-2</v>
      </c>
      <c r="AB29" s="215">
        <v>3.4823262373934814E-2</v>
      </c>
      <c r="AC29" s="215">
        <v>2.2024164931855231E-2</v>
      </c>
      <c r="AD29" s="215">
        <v>2.2024164931855231E-2</v>
      </c>
    </row>
    <row r="30" spans="1:36">
      <c r="A30" s="218" t="s">
        <v>1185</v>
      </c>
      <c r="B30" s="222"/>
      <c r="C30" s="223"/>
      <c r="D30" s="223"/>
      <c r="E30" s="224"/>
      <c r="F30" s="224"/>
      <c r="G30" s="224"/>
      <c r="H30" s="224"/>
      <c r="I30" s="224"/>
      <c r="J30" s="224"/>
      <c r="K30" s="224"/>
      <c r="L30" s="224"/>
      <c r="M30" s="224"/>
      <c r="N30" s="224"/>
      <c r="O30" s="224"/>
      <c r="P30" s="224"/>
      <c r="Q30" s="224"/>
      <c r="R30" s="224"/>
      <c r="S30" s="224"/>
      <c r="T30" s="224"/>
      <c r="U30" s="224"/>
      <c r="V30" s="224"/>
      <c r="W30" s="224"/>
      <c r="X30" s="224"/>
      <c r="Y30" s="224"/>
      <c r="Z30" s="224"/>
      <c r="AA30" s="224"/>
      <c r="AB30" s="224"/>
      <c r="AC30" s="224"/>
      <c r="AD30" s="224"/>
    </row>
    <row r="31" spans="1:36">
      <c r="A31" s="213" t="s">
        <v>1186</v>
      </c>
      <c r="B31" s="214" t="s">
        <v>1154</v>
      </c>
      <c r="C31" s="214"/>
      <c r="D31" s="214"/>
      <c r="E31" s="215">
        <f t="shared" ref="E31:AD31" si="9">10000*0.0005/(SQRT(3))</f>
        <v>2.8867513459481291</v>
      </c>
      <c r="F31" s="215">
        <f t="shared" si="9"/>
        <v>2.8867513459481291</v>
      </c>
      <c r="G31" s="215">
        <f t="shared" si="9"/>
        <v>2.8867513459481291</v>
      </c>
      <c r="H31" s="215">
        <f t="shared" si="9"/>
        <v>2.8867513459481291</v>
      </c>
      <c r="I31" s="215">
        <f t="shared" si="9"/>
        <v>2.8867513459481291</v>
      </c>
      <c r="J31" s="215">
        <f t="shared" si="9"/>
        <v>2.8867513459481291</v>
      </c>
      <c r="K31" s="215">
        <f t="shared" si="9"/>
        <v>2.8867513459481291</v>
      </c>
      <c r="L31" s="215">
        <f t="shared" si="9"/>
        <v>2.8867513459481291</v>
      </c>
      <c r="M31" s="215">
        <f t="shared" si="9"/>
        <v>2.8867513459481291</v>
      </c>
      <c r="N31" s="215">
        <f t="shared" si="9"/>
        <v>2.8867513459481291</v>
      </c>
      <c r="O31" s="215">
        <f t="shared" si="9"/>
        <v>2.8867513459481291</v>
      </c>
      <c r="P31" s="215">
        <f t="shared" si="9"/>
        <v>2.8867513459481291</v>
      </c>
      <c r="Q31" s="215">
        <f t="shared" si="9"/>
        <v>2.8867513459481291</v>
      </c>
      <c r="R31" s="215">
        <f t="shared" si="9"/>
        <v>2.8867513459481291</v>
      </c>
      <c r="S31" s="215">
        <f t="shared" si="9"/>
        <v>2.8867513459481291</v>
      </c>
      <c r="T31" s="215">
        <f t="shared" si="9"/>
        <v>2.8867513459481291</v>
      </c>
      <c r="U31" s="215">
        <f t="shared" si="9"/>
        <v>2.8867513459481291</v>
      </c>
      <c r="V31" s="215">
        <f t="shared" si="9"/>
        <v>2.8867513459481291</v>
      </c>
      <c r="W31" s="215">
        <f t="shared" si="9"/>
        <v>2.8867513459481291</v>
      </c>
      <c r="X31" s="215">
        <f t="shared" si="9"/>
        <v>2.8867513459481291</v>
      </c>
      <c r="Y31" s="215">
        <f t="shared" si="9"/>
        <v>2.8867513459481291</v>
      </c>
      <c r="Z31" s="215">
        <f t="shared" si="9"/>
        <v>2.8867513459481291</v>
      </c>
      <c r="AA31" s="215">
        <f t="shared" si="9"/>
        <v>2.8867513459481291</v>
      </c>
      <c r="AB31" s="215">
        <f t="shared" si="9"/>
        <v>2.8867513459481291</v>
      </c>
      <c r="AC31" s="215">
        <f t="shared" si="9"/>
        <v>2.8867513459481291</v>
      </c>
      <c r="AD31" s="215">
        <f t="shared" si="9"/>
        <v>2.8867513459481291</v>
      </c>
    </row>
    <row r="32" spans="1:36" s="262" customFormat="1">
      <c r="A32" s="226" t="s">
        <v>1187</v>
      </c>
      <c r="B32" s="227" t="s">
        <v>1142</v>
      </c>
      <c r="C32" s="227"/>
      <c r="D32" s="227"/>
      <c r="E32" s="215">
        <v>100</v>
      </c>
      <c r="F32" s="215">
        <v>100</v>
      </c>
      <c r="G32" s="215">
        <v>50</v>
      </c>
      <c r="H32" s="215">
        <v>50</v>
      </c>
      <c r="I32" s="215">
        <v>50</v>
      </c>
      <c r="J32" s="215">
        <v>50</v>
      </c>
      <c r="K32" s="215">
        <v>50</v>
      </c>
      <c r="L32" s="215">
        <v>50</v>
      </c>
      <c r="M32" s="215">
        <v>50</v>
      </c>
      <c r="N32" s="215">
        <v>50</v>
      </c>
      <c r="O32" s="215">
        <v>50</v>
      </c>
      <c r="P32" s="215">
        <v>50</v>
      </c>
      <c r="Q32" s="215">
        <v>50</v>
      </c>
      <c r="R32" s="215">
        <v>50</v>
      </c>
      <c r="S32" s="215">
        <v>50</v>
      </c>
      <c r="T32" s="215">
        <v>50</v>
      </c>
      <c r="U32" s="215">
        <v>50</v>
      </c>
      <c r="V32" s="215">
        <v>50</v>
      </c>
      <c r="W32" s="215">
        <v>100</v>
      </c>
      <c r="X32" s="215">
        <v>100</v>
      </c>
      <c r="Y32" s="215">
        <v>150</v>
      </c>
      <c r="Z32" s="215">
        <v>150</v>
      </c>
      <c r="AA32" s="215">
        <v>200</v>
      </c>
      <c r="AB32" s="215">
        <v>200</v>
      </c>
      <c r="AC32" s="215">
        <v>250</v>
      </c>
      <c r="AD32" s="215">
        <v>250</v>
      </c>
      <c r="AF32" s="263"/>
      <c r="AG32" s="263"/>
      <c r="AH32" s="263"/>
      <c r="AI32" s="263"/>
      <c r="AJ32" s="263"/>
    </row>
    <row r="33" spans="1:30">
      <c r="A33" s="213" t="s">
        <v>1188</v>
      </c>
      <c r="B33" s="227" t="s">
        <v>1142</v>
      </c>
      <c r="C33" s="214"/>
      <c r="D33" s="214"/>
      <c r="E33" s="228">
        <f t="shared" ref="E33:AD33" si="10">SQRT(E5^2+E6^2+E7^2+E8^2+E9^2+E10^2+E11^2+E12^2+E14^2+E15^2+E16^2+E17^2+E18^2+E19^2+E20^2+E22^2+E23^2+E24^2+E26^2+E27^2+E28^2+E29^2+E31^2+E32^2)</f>
        <v>199.17967361343835</v>
      </c>
      <c r="F33" s="228">
        <f t="shared" si="10"/>
        <v>199.80894594814598</v>
      </c>
      <c r="G33" s="228">
        <f t="shared" si="10"/>
        <v>180.70911974497929</v>
      </c>
      <c r="H33" s="228">
        <f t="shared" si="10"/>
        <v>184.03442086106838</v>
      </c>
      <c r="I33" s="228">
        <f t="shared" si="10"/>
        <v>184.43188910749296</v>
      </c>
      <c r="J33" s="228">
        <f t="shared" si="10"/>
        <v>184.79284809935194</v>
      </c>
      <c r="K33" s="228">
        <f t="shared" si="10"/>
        <v>185.106061045291</v>
      </c>
      <c r="L33" s="228">
        <f t="shared" si="10"/>
        <v>185.36402888771036</v>
      </c>
      <c r="M33" s="228">
        <f t="shared" si="10"/>
        <v>185.58506538727084</v>
      </c>
      <c r="N33" s="228">
        <f t="shared" si="10"/>
        <v>185.72836393813583</v>
      </c>
      <c r="O33" s="228">
        <f t="shared" si="10"/>
        <v>185.81045115168646</v>
      </c>
      <c r="P33" s="228">
        <f t="shared" si="10"/>
        <v>185.78181776920479</v>
      </c>
      <c r="Q33" s="228">
        <f t="shared" si="10"/>
        <v>185.61630293591915</v>
      </c>
      <c r="R33" s="228">
        <f t="shared" si="10"/>
        <v>185.21733700307141</v>
      </c>
      <c r="S33" s="228">
        <f t="shared" si="10"/>
        <v>184.50147499902695</v>
      </c>
      <c r="T33" s="228">
        <f t="shared" si="10"/>
        <v>183.25371451428225</v>
      </c>
      <c r="U33" s="228">
        <f t="shared" si="10"/>
        <v>181.1930108841392</v>
      </c>
      <c r="V33" s="228">
        <f t="shared" si="10"/>
        <v>177.84994863211543</v>
      </c>
      <c r="W33" s="228">
        <f t="shared" si="10"/>
        <v>192.94736905912364</v>
      </c>
      <c r="X33" s="228">
        <f t="shared" si="10"/>
        <v>185.20674670685571</v>
      </c>
      <c r="Y33" s="228">
        <f t="shared" si="10"/>
        <v>205.96778323798779</v>
      </c>
      <c r="Z33" s="228">
        <f t="shared" si="10"/>
        <v>190.42348711490325</v>
      </c>
      <c r="AA33" s="228">
        <f t="shared" si="10"/>
        <v>216.57676966908019</v>
      </c>
      <c r="AB33" s="228">
        <f t="shared" si="10"/>
        <v>235.12782230631228</v>
      </c>
      <c r="AC33" s="228">
        <f t="shared" si="10"/>
        <v>262.1538878820121</v>
      </c>
      <c r="AD33" s="228">
        <f t="shared" si="10"/>
        <v>323.27795502323801</v>
      </c>
    </row>
    <row r="34" spans="1:30">
      <c r="A34" s="213" t="s">
        <v>1189</v>
      </c>
      <c r="B34" s="227" t="s">
        <v>1142</v>
      </c>
      <c r="C34" s="214"/>
      <c r="D34" s="214"/>
      <c r="E34" s="215">
        <f t="shared" ref="E34:AD34" si="11">2*E33</f>
        <v>398.35934722687671</v>
      </c>
      <c r="F34" s="215">
        <f t="shared" si="11"/>
        <v>399.61789189629195</v>
      </c>
      <c r="G34" s="215">
        <f t="shared" si="11"/>
        <v>361.41823948995858</v>
      </c>
      <c r="H34" s="215">
        <f t="shared" si="11"/>
        <v>368.06884172213677</v>
      </c>
      <c r="I34" s="215">
        <f t="shared" si="11"/>
        <v>368.86377821498593</v>
      </c>
      <c r="J34" s="215">
        <f t="shared" si="11"/>
        <v>369.58569619870389</v>
      </c>
      <c r="K34" s="215">
        <f t="shared" si="11"/>
        <v>370.212122090582</v>
      </c>
      <c r="L34" s="215">
        <f t="shared" si="11"/>
        <v>370.72805777542072</v>
      </c>
      <c r="M34" s="215">
        <f t="shared" si="11"/>
        <v>371.17013077454169</v>
      </c>
      <c r="N34" s="215">
        <f t="shared" si="11"/>
        <v>371.45672787627166</v>
      </c>
      <c r="O34" s="215">
        <f t="shared" si="11"/>
        <v>371.62090230337293</v>
      </c>
      <c r="P34" s="215">
        <f t="shared" si="11"/>
        <v>371.56363553840959</v>
      </c>
      <c r="Q34" s="215">
        <f t="shared" si="11"/>
        <v>371.2326058718383</v>
      </c>
      <c r="R34" s="215">
        <f t="shared" si="11"/>
        <v>370.43467400614281</v>
      </c>
      <c r="S34" s="215">
        <f t="shared" si="11"/>
        <v>369.00294999805391</v>
      </c>
      <c r="T34" s="215">
        <f t="shared" si="11"/>
        <v>366.5074290285645</v>
      </c>
      <c r="U34" s="215">
        <f t="shared" si="11"/>
        <v>362.3860217682784</v>
      </c>
      <c r="V34" s="215">
        <f t="shared" si="11"/>
        <v>355.69989726423086</v>
      </c>
      <c r="W34" s="215">
        <f t="shared" si="11"/>
        <v>385.89473811824729</v>
      </c>
      <c r="X34" s="215">
        <f t="shared" si="11"/>
        <v>370.41349341371142</v>
      </c>
      <c r="Y34" s="215">
        <f t="shared" si="11"/>
        <v>411.93556647597558</v>
      </c>
      <c r="Z34" s="215">
        <f t="shared" si="11"/>
        <v>380.84697422980651</v>
      </c>
      <c r="AA34" s="215">
        <f t="shared" si="11"/>
        <v>433.15353933816039</v>
      </c>
      <c r="AB34" s="215">
        <f t="shared" si="11"/>
        <v>470.25564461262456</v>
      </c>
      <c r="AC34" s="215">
        <f t="shared" si="11"/>
        <v>524.3077757640242</v>
      </c>
      <c r="AD34" s="215">
        <f t="shared" si="11"/>
        <v>646.55591004647601</v>
      </c>
    </row>
    <row r="35" spans="1:30">
      <c r="A35" s="212" t="s">
        <v>1190</v>
      </c>
      <c r="B35" s="214"/>
      <c r="C35" s="214"/>
      <c r="D35" s="214"/>
      <c r="E35" s="229">
        <f t="shared" ref="E35:AD35" si="12">E34/10000</f>
        <v>3.983593472268767E-2</v>
      </c>
      <c r="F35" s="229">
        <f t="shared" si="12"/>
        <v>3.9961789189629192E-2</v>
      </c>
      <c r="G35" s="229">
        <f t="shared" si="12"/>
        <v>3.6141823948995858E-2</v>
      </c>
      <c r="H35" s="229">
        <f t="shared" si="12"/>
        <v>3.6806884172213679E-2</v>
      </c>
      <c r="I35" s="229">
        <f t="shared" si="12"/>
        <v>3.6886377821498589E-2</v>
      </c>
      <c r="J35" s="229">
        <f t="shared" si="12"/>
        <v>3.6958569619870388E-2</v>
      </c>
      <c r="K35" s="229">
        <f t="shared" si="12"/>
        <v>3.7021212209058199E-2</v>
      </c>
      <c r="L35" s="229">
        <f t="shared" si="12"/>
        <v>3.7072805777542073E-2</v>
      </c>
      <c r="M35" s="229">
        <f t="shared" si="12"/>
        <v>3.7117013077454172E-2</v>
      </c>
      <c r="N35" s="229">
        <f t="shared" si="12"/>
        <v>3.7145672787627163E-2</v>
      </c>
      <c r="O35" s="229">
        <f t="shared" si="12"/>
        <v>3.7162090230337293E-2</v>
      </c>
      <c r="P35" s="229">
        <f t="shared" si="12"/>
        <v>3.7156363553840957E-2</v>
      </c>
      <c r="Q35" s="229">
        <f t="shared" si="12"/>
        <v>3.7123260587183828E-2</v>
      </c>
      <c r="R35" s="229">
        <f t="shared" si="12"/>
        <v>3.7043467400614281E-2</v>
      </c>
      <c r="S35" s="229">
        <f t="shared" si="12"/>
        <v>3.6900294999805391E-2</v>
      </c>
      <c r="T35" s="229">
        <f t="shared" si="12"/>
        <v>3.6650742902856449E-2</v>
      </c>
      <c r="U35" s="229">
        <f t="shared" si="12"/>
        <v>3.6238602176827839E-2</v>
      </c>
      <c r="V35" s="229">
        <f t="shared" si="12"/>
        <v>3.5569989726423085E-2</v>
      </c>
      <c r="W35" s="229">
        <f t="shared" si="12"/>
        <v>3.8589473811824732E-2</v>
      </c>
      <c r="X35" s="229">
        <f t="shared" si="12"/>
        <v>3.7041349341371141E-2</v>
      </c>
      <c r="Y35" s="229">
        <f t="shared" si="12"/>
        <v>4.1193556647597558E-2</v>
      </c>
      <c r="Z35" s="229">
        <f t="shared" si="12"/>
        <v>3.8084697422980651E-2</v>
      </c>
      <c r="AA35" s="229">
        <f t="shared" si="12"/>
        <v>4.3315353933816039E-2</v>
      </c>
      <c r="AB35" s="229">
        <f t="shared" si="12"/>
        <v>4.7025564461262458E-2</v>
      </c>
      <c r="AC35" s="229">
        <f t="shared" si="12"/>
        <v>5.2430777576402417E-2</v>
      </c>
      <c r="AD35" s="229">
        <f t="shared" si="12"/>
        <v>6.46555910046476E-2</v>
      </c>
    </row>
  </sheetData>
  <mergeCells count="9">
    <mergeCell ref="B21:AD21"/>
    <mergeCell ref="E3:AD3"/>
    <mergeCell ref="A2:A4"/>
    <mergeCell ref="B2:B4"/>
    <mergeCell ref="C2:C4"/>
    <mergeCell ref="D2:D4"/>
    <mergeCell ref="E2:AD2"/>
    <mergeCell ref="B5:AD5"/>
    <mergeCell ref="B13:AD1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7"/>
  <sheetViews>
    <sheetView workbookViewId="0">
      <selection activeCell="M34" sqref="M34"/>
    </sheetView>
  </sheetViews>
  <sheetFormatPr defaultRowHeight="15"/>
  <cols>
    <col min="1" max="1" width="34.5703125" customWidth="1"/>
  </cols>
  <sheetData>
    <row r="1" spans="1:30" ht="26.25">
      <c r="A1" s="62" t="s">
        <v>939</v>
      </c>
      <c r="B1" s="62" t="s">
        <v>767</v>
      </c>
      <c r="C1" s="146"/>
      <c r="D1" s="146"/>
      <c r="E1" s="146"/>
      <c r="F1" s="146"/>
      <c r="G1" s="146"/>
      <c r="H1" s="146"/>
      <c r="I1" s="146"/>
      <c r="J1" s="146"/>
      <c r="K1" s="146"/>
      <c r="L1" s="146"/>
      <c r="M1" s="146"/>
      <c r="N1" s="146"/>
      <c r="O1" s="146"/>
      <c r="P1" s="146"/>
      <c r="Q1" s="146"/>
      <c r="R1" s="146"/>
      <c r="S1" s="146"/>
      <c r="T1" s="146"/>
      <c r="U1" s="146"/>
      <c r="V1" s="146"/>
      <c r="W1" s="146"/>
      <c r="X1" s="146"/>
      <c r="Y1" s="146"/>
      <c r="Z1" s="146"/>
      <c r="AA1" s="146"/>
      <c r="AB1" s="146"/>
      <c r="AC1" s="146"/>
      <c r="AD1" s="146"/>
    </row>
    <row r="2" spans="1:30" ht="26.25">
      <c r="A2" s="62"/>
      <c r="B2" s="62"/>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row>
    <row r="3" spans="1:30">
      <c r="A3" s="147" t="s">
        <v>1206</v>
      </c>
      <c r="B3" s="147"/>
      <c r="C3" s="147"/>
      <c r="D3" s="147"/>
      <c r="E3" s="147"/>
      <c r="F3" s="147"/>
      <c r="G3" s="147"/>
      <c r="H3" s="147"/>
      <c r="I3" s="147"/>
      <c r="J3" s="147"/>
      <c r="K3" s="147"/>
      <c r="L3" s="147"/>
      <c r="M3" s="147"/>
      <c r="N3" s="148"/>
      <c r="O3" s="148"/>
      <c r="P3" s="148"/>
      <c r="Q3" s="148"/>
      <c r="R3" s="148"/>
      <c r="S3" s="148"/>
      <c r="T3" s="148"/>
      <c r="U3" s="148"/>
      <c r="V3" s="148"/>
      <c r="W3" s="148"/>
      <c r="X3" s="148"/>
      <c r="Y3" s="148"/>
      <c r="Z3" s="148"/>
      <c r="AA3" s="148"/>
      <c r="AB3" s="148"/>
      <c r="AC3" s="148"/>
      <c r="AD3" s="148"/>
    </row>
    <row r="4" spans="1:30">
      <c r="A4" s="149" t="s">
        <v>869</v>
      </c>
      <c r="B4" s="149" t="s">
        <v>870</v>
      </c>
      <c r="C4" s="150" t="s">
        <v>871</v>
      </c>
      <c r="D4" s="150" t="s">
        <v>872</v>
      </c>
      <c r="E4" s="150" t="s">
        <v>873</v>
      </c>
      <c r="F4" s="150" t="s">
        <v>874</v>
      </c>
      <c r="G4" s="150" t="s">
        <v>875</v>
      </c>
      <c r="H4" s="150" t="s">
        <v>876</v>
      </c>
      <c r="I4" s="150" t="s">
        <v>877</v>
      </c>
      <c r="J4" s="150" t="s">
        <v>878</v>
      </c>
      <c r="K4" s="150" t="s">
        <v>879</v>
      </c>
      <c r="L4" s="150" t="s">
        <v>880</v>
      </c>
      <c r="M4" s="150" t="s">
        <v>881</v>
      </c>
      <c r="N4" s="150" t="s">
        <v>882</v>
      </c>
      <c r="O4" s="150" t="s">
        <v>883</v>
      </c>
      <c r="P4" s="150" t="s">
        <v>884</v>
      </c>
      <c r="Q4" s="150" t="s">
        <v>885</v>
      </c>
      <c r="R4" s="150" t="s">
        <v>886</v>
      </c>
      <c r="S4" s="150" t="s">
        <v>887</v>
      </c>
      <c r="T4" s="150" t="s">
        <v>888</v>
      </c>
      <c r="U4" s="150" t="s">
        <v>889</v>
      </c>
      <c r="V4" s="150" t="s">
        <v>890</v>
      </c>
      <c r="W4" s="150" t="s">
        <v>891</v>
      </c>
      <c r="X4" s="150" t="s">
        <v>892</v>
      </c>
      <c r="Y4" s="150" t="s">
        <v>893</v>
      </c>
      <c r="Z4" s="150" t="s">
        <v>894</v>
      </c>
      <c r="AA4" s="150" t="s">
        <v>895</v>
      </c>
      <c r="AB4" s="150" t="s">
        <v>896</v>
      </c>
      <c r="AC4" s="150" t="s">
        <v>897</v>
      </c>
      <c r="AD4" s="150" t="s">
        <v>898</v>
      </c>
    </row>
    <row r="5" spans="1:30">
      <c r="A5" s="239" t="s">
        <v>899</v>
      </c>
      <c r="B5" s="239" t="s">
        <v>900</v>
      </c>
      <c r="C5" s="239">
        <v>1.4E-2</v>
      </c>
      <c r="D5" s="239">
        <v>1.4E-2</v>
      </c>
      <c r="E5" s="239">
        <v>1.4E-2</v>
      </c>
      <c r="F5" s="239">
        <v>1.4E-2</v>
      </c>
      <c r="G5" s="239">
        <v>1.4E-2</v>
      </c>
      <c r="H5" s="239">
        <v>1.4E-2</v>
      </c>
      <c r="I5" s="239">
        <v>1.4E-2</v>
      </c>
      <c r="J5" s="239">
        <v>1.4E-2</v>
      </c>
      <c r="K5" s="239">
        <v>1.4E-2</v>
      </c>
      <c r="L5" s="239">
        <v>1.4E-2</v>
      </c>
      <c r="M5" s="239">
        <v>1.4E-2</v>
      </c>
      <c r="N5" s="239">
        <v>1.4E-2</v>
      </c>
      <c r="O5" s="239">
        <v>1.4E-2</v>
      </c>
      <c r="P5" s="239">
        <v>1.4E-2</v>
      </c>
      <c r="Q5" s="239">
        <v>1.4E-2</v>
      </c>
      <c r="R5" s="239">
        <v>1.4E-2</v>
      </c>
      <c r="S5" s="239">
        <v>1.4E-2</v>
      </c>
      <c r="T5" s="239">
        <v>1.4E-2</v>
      </c>
      <c r="U5" s="239">
        <v>1.4E-2</v>
      </c>
      <c r="V5" s="239">
        <v>1.4E-2</v>
      </c>
      <c r="W5" s="239">
        <v>1.4E-2</v>
      </c>
      <c r="X5" s="239">
        <v>1.4E-2</v>
      </c>
      <c r="Y5" s="239">
        <v>1.4999999999999999E-2</v>
      </c>
      <c r="Z5" s="239">
        <v>1.4999999999999999E-2</v>
      </c>
      <c r="AA5" s="239">
        <v>1.6E-2</v>
      </c>
      <c r="AB5" s="239">
        <v>1.7000000000000001E-2</v>
      </c>
      <c r="AC5" s="239">
        <v>1.7000000000000001E-2</v>
      </c>
      <c r="AD5" s="239">
        <v>1.7999999999999999E-2</v>
      </c>
    </row>
    <row r="6" spans="1:30">
      <c r="A6" s="240" t="s">
        <v>901</v>
      </c>
      <c r="B6" s="240" t="s">
        <v>902</v>
      </c>
      <c r="C6" s="240">
        <v>2.0000000000000001E-4</v>
      </c>
      <c r="D6" s="240">
        <v>2.0000000000000001E-4</v>
      </c>
      <c r="E6" s="240">
        <v>2.0000000000000001E-4</v>
      </c>
      <c r="F6" s="240">
        <v>2.0000000000000001E-4</v>
      </c>
      <c r="G6" s="240">
        <v>2.0000000000000001E-4</v>
      </c>
      <c r="H6" s="240">
        <v>1E-4</v>
      </c>
      <c r="I6" s="240">
        <v>0</v>
      </c>
      <c r="J6" s="240">
        <v>0</v>
      </c>
      <c r="K6" s="240">
        <v>0</v>
      </c>
      <c r="L6" s="240">
        <v>0</v>
      </c>
      <c r="M6" s="240">
        <v>0</v>
      </c>
      <c r="N6" s="240">
        <v>0</v>
      </c>
      <c r="O6" s="240">
        <v>0</v>
      </c>
      <c r="P6" s="240">
        <v>0</v>
      </c>
      <c r="Q6" s="240">
        <v>0</v>
      </c>
      <c r="R6" s="240">
        <v>1E-4</v>
      </c>
      <c r="S6" s="240">
        <v>1E-4</v>
      </c>
      <c r="T6" s="240">
        <v>1E-4</v>
      </c>
      <c r="U6" s="240">
        <v>1E-4</v>
      </c>
      <c r="V6" s="240">
        <v>2.0000000000000001E-4</v>
      </c>
      <c r="W6" s="240">
        <v>2.9999999999999997E-4</v>
      </c>
      <c r="X6" s="240">
        <v>8.9999999999999998E-4</v>
      </c>
      <c r="Y6" s="240">
        <v>1.1999999999999999E-3</v>
      </c>
      <c r="Z6" s="240">
        <v>1.6999999999999999E-3</v>
      </c>
      <c r="AA6" s="240">
        <v>2.8E-3</v>
      </c>
      <c r="AB6" s="240">
        <v>4.3E-3</v>
      </c>
      <c r="AC6" s="240">
        <v>6.4999999999999997E-3</v>
      </c>
      <c r="AD6" s="240">
        <v>1.17E-2</v>
      </c>
    </row>
    <row r="7" spans="1:30">
      <c r="A7" s="241" t="s">
        <v>903</v>
      </c>
      <c r="B7" s="241" t="s">
        <v>904</v>
      </c>
      <c r="C7" s="241">
        <v>2.9999999999999997E-4</v>
      </c>
      <c r="D7" s="241">
        <v>2.9999999999999997E-4</v>
      </c>
      <c r="E7" s="241">
        <v>2.9999999999999997E-4</v>
      </c>
      <c r="F7" s="241">
        <v>2.9999999999999997E-4</v>
      </c>
      <c r="G7" s="241">
        <v>2.9999999999999997E-4</v>
      </c>
      <c r="H7" s="241">
        <v>2.9999999999999997E-4</v>
      </c>
      <c r="I7" s="241">
        <v>2.9999999999999997E-4</v>
      </c>
      <c r="J7" s="241">
        <v>2.9999999999999997E-4</v>
      </c>
      <c r="K7" s="241">
        <v>2.9999999999999997E-4</v>
      </c>
      <c r="L7" s="241">
        <v>2.9999999999999997E-4</v>
      </c>
      <c r="M7" s="241">
        <v>2.9999999999999997E-4</v>
      </c>
      <c r="N7" s="241">
        <v>2.9999999999999997E-4</v>
      </c>
      <c r="O7" s="241">
        <v>2.9999999999999997E-4</v>
      </c>
      <c r="P7" s="241">
        <v>2.9999999999999997E-4</v>
      </c>
      <c r="Q7" s="241">
        <v>2.9999999999999997E-4</v>
      </c>
      <c r="R7" s="241">
        <v>2.9999999999999997E-4</v>
      </c>
      <c r="S7" s="241">
        <v>2.9999999999999997E-4</v>
      </c>
      <c r="T7" s="241">
        <v>2.9999999999999997E-4</v>
      </c>
      <c r="U7" s="241">
        <v>2.9999999999999997E-4</v>
      </c>
      <c r="V7" s="241">
        <v>2.9999999999999997E-4</v>
      </c>
      <c r="W7" s="241">
        <v>2.9999999999999997E-4</v>
      </c>
      <c r="X7" s="241">
        <v>2.9999999999999997E-4</v>
      </c>
      <c r="Y7" s="241">
        <v>4.0000000000000002E-4</v>
      </c>
      <c r="Z7" s="241">
        <v>5.0000000000000001E-4</v>
      </c>
      <c r="AA7" s="241">
        <v>6.9999999999999999E-4</v>
      </c>
      <c r="AB7" s="241">
        <v>8.9999999999999998E-4</v>
      </c>
      <c r="AC7" s="241">
        <v>1.1999999999999999E-3</v>
      </c>
      <c r="AD7" s="241">
        <v>1.8E-3</v>
      </c>
    </row>
    <row r="8" spans="1:30">
      <c r="A8" s="151" t="s">
        <v>905</v>
      </c>
      <c r="B8" s="152"/>
      <c r="C8" s="242">
        <f t="shared" ref="C8:AD8" si="0">SUMSQ(C5:C7)^(1/2)</f>
        <v>1.4004642087536549E-2</v>
      </c>
      <c r="D8" s="242">
        <f t="shared" si="0"/>
        <v>1.4004642087536549E-2</v>
      </c>
      <c r="E8" s="242">
        <f t="shared" si="0"/>
        <v>1.4004642087536549E-2</v>
      </c>
      <c r="F8" s="242">
        <f t="shared" si="0"/>
        <v>1.4004642087536549E-2</v>
      </c>
      <c r="G8" s="242">
        <f t="shared" si="0"/>
        <v>1.4004642087536549E-2</v>
      </c>
      <c r="H8" s="242">
        <f t="shared" si="0"/>
        <v>1.4003570973148242E-2</v>
      </c>
      <c r="I8" s="242">
        <f t="shared" si="0"/>
        <v>1.4003213916812099E-2</v>
      </c>
      <c r="J8" s="242">
        <f t="shared" si="0"/>
        <v>1.4003213916812099E-2</v>
      </c>
      <c r="K8" s="242">
        <f t="shared" si="0"/>
        <v>1.4003213916812099E-2</v>
      </c>
      <c r="L8" s="242">
        <f t="shared" si="0"/>
        <v>1.4003213916812099E-2</v>
      </c>
      <c r="M8" s="242">
        <f t="shared" si="0"/>
        <v>1.4003213916812099E-2</v>
      </c>
      <c r="N8" s="242">
        <f t="shared" si="0"/>
        <v>1.4003213916812099E-2</v>
      </c>
      <c r="O8" s="242">
        <f t="shared" si="0"/>
        <v>1.4003213916812099E-2</v>
      </c>
      <c r="P8" s="242">
        <f t="shared" si="0"/>
        <v>1.4003213916812099E-2</v>
      </c>
      <c r="Q8" s="242">
        <f t="shared" si="0"/>
        <v>1.4003213916812099E-2</v>
      </c>
      <c r="R8" s="242">
        <f t="shared" si="0"/>
        <v>1.4003570973148242E-2</v>
      </c>
      <c r="S8" s="242">
        <f t="shared" si="0"/>
        <v>1.4003570973148242E-2</v>
      </c>
      <c r="T8" s="242">
        <f t="shared" si="0"/>
        <v>1.4003570973148242E-2</v>
      </c>
      <c r="U8" s="242">
        <f t="shared" si="0"/>
        <v>1.4003570973148242E-2</v>
      </c>
      <c r="V8" s="242">
        <f t="shared" si="0"/>
        <v>1.4004642087536549E-2</v>
      </c>
      <c r="W8" s="242">
        <f t="shared" si="0"/>
        <v>1.4006427096158394E-2</v>
      </c>
      <c r="X8" s="242">
        <f t="shared" si="0"/>
        <v>1.4032106042928838E-2</v>
      </c>
      <c r="Y8" s="242">
        <f t="shared" si="0"/>
        <v>1.505323885414697E-2</v>
      </c>
      <c r="Z8" s="242">
        <f t="shared" si="0"/>
        <v>1.5104304022363957E-2</v>
      </c>
      <c r="AA8" s="242">
        <f t="shared" si="0"/>
        <v>1.6258228685807074E-2</v>
      </c>
      <c r="AB8" s="242">
        <f t="shared" si="0"/>
        <v>1.7558473737771176E-2</v>
      </c>
      <c r="AC8" s="242">
        <f t="shared" si="0"/>
        <v>1.8239791665476887E-2</v>
      </c>
      <c r="AD8" s="242">
        <f t="shared" si="0"/>
        <v>2.1543676566454482E-2</v>
      </c>
    </row>
    <row r="9" spans="1:30">
      <c r="A9" s="239" t="s">
        <v>906</v>
      </c>
      <c r="B9" s="239" t="s">
        <v>907</v>
      </c>
      <c r="C9" s="239">
        <v>1E-4</v>
      </c>
      <c r="D9" s="239">
        <v>1E-4</v>
      </c>
      <c r="E9" s="239">
        <v>1E-4</v>
      </c>
      <c r="F9" s="239">
        <v>1E-4</v>
      </c>
      <c r="G9" s="239">
        <v>1E-4</v>
      </c>
      <c r="H9" s="239">
        <v>1E-4</v>
      </c>
      <c r="I9" s="239">
        <v>0</v>
      </c>
      <c r="J9" s="239">
        <v>0</v>
      </c>
      <c r="K9" s="239">
        <v>0</v>
      </c>
      <c r="L9" s="239">
        <v>0</v>
      </c>
      <c r="M9" s="239">
        <v>0</v>
      </c>
      <c r="N9" s="239">
        <v>0</v>
      </c>
      <c r="O9" s="239">
        <v>0</v>
      </c>
      <c r="P9" s="239">
        <v>0</v>
      </c>
      <c r="Q9" s="239">
        <v>0</v>
      </c>
      <c r="R9" s="239">
        <v>0</v>
      </c>
      <c r="S9" s="239">
        <v>0</v>
      </c>
      <c r="T9" s="239">
        <v>0</v>
      </c>
      <c r="U9" s="239">
        <v>0</v>
      </c>
      <c r="V9" s="239">
        <v>1E-4</v>
      </c>
      <c r="W9" s="239">
        <v>2.0000000000000001E-4</v>
      </c>
      <c r="X9" s="239">
        <v>2.0000000000000001E-4</v>
      </c>
      <c r="Y9" s="239">
        <v>2.9999999999999997E-4</v>
      </c>
      <c r="Z9" s="239">
        <v>4.0000000000000002E-4</v>
      </c>
      <c r="AA9" s="239">
        <v>6.9999999999999999E-4</v>
      </c>
      <c r="AB9" s="239">
        <v>1.1000000000000001E-3</v>
      </c>
      <c r="AC9" s="239">
        <v>1.6000000000000001E-3</v>
      </c>
      <c r="AD9" s="239">
        <v>3.0000000000000001E-3</v>
      </c>
    </row>
    <row r="10" spans="1:30">
      <c r="A10" s="240" t="s">
        <v>908</v>
      </c>
      <c r="B10" s="240" t="s">
        <v>909</v>
      </c>
      <c r="C10" s="240">
        <v>0</v>
      </c>
      <c r="D10" s="240">
        <v>0</v>
      </c>
      <c r="E10" s="240">
        <v>0</v>
      </c>
      <c r="F10" s="240">
        <v>0</v>
      </c>
      <c r="G10" s="240">
        <v>0</v>
      </c>
      <c r="H10" s="240">
        <v>0</v>
      </c>
      <c r="I10" s="240">
        <v>0</v>
      </c>
      <c r="J10" s="240">
        <v>0</v>
      </c>
      <c r="K10" s="240">
        <v>0</v>
      </c>
      <c r="L10" s="240">
        <v>0</v>
      </c>
      <c r="M10" s="240">
        <v>0</v>
      </c>
      <c r="N10" s="240">
        <v>0</v>
      </c>
      <c r="O10" s="240">
        <v>0</v>
      </c>
      <c r="P10" s="240">
        <v>0</v>
      </c>
      <c r="Q10" s="240">
        <v>0</v>
      </c>
      <c r="R10" s="240">
        <v>0</v>
      </c>
      <c r="S10" s="240">
        <v>0</v>
      </c>
      <c r="T10" s="240">
        <v>0</v>
      </c>
      <c r="U10" s="240">
        <v>0</v>
      </c>
      <c r="V10" s="240">
        <v>0</v>
      </c>
      <c r="W10" s="240">
        <v>0</v>
      </c>
      <c r="X10" s="240">
        <v>0</v>
      </c>
      <c r="Y10" s="240">
        <v>0</v>
      </c>
      <c r="Z10" s="240">
        <v>0</v>
      </c>
      <c r="AA10" s="240">
        <v>0</v>
      </c>
      <c r="AB10" s="240">
        <v>0</v>
      </c>
      <c r="AC10" s="240">
        <v>0</v>
      </c>
      <c r="AD10" s="240">
        <v>0</v>
      </c>
    </row>
    <row r="11" spans="1:30">
      <c r="A11" s="240" t="s">
        <v>910</v>
      </c>
      <c r="B11" s="240" t="s">
        <v>911</v>
      </c>
      <c r="C11" s="240">
        <v>2E-3</v>
      </c>
      <c r="D11" s="240">
        <v>2E-3</v>
      </c>
      <c r="E11" s="240">
        <v>2E-3</v>
      </c>
      <c r="F11" s="240">
        <v>2E-3</v>
      </c>
      <c r="G11" s="240">
        <v>2E-3</v>
      </c>
      <c r="H11" s="240">
        <v>2E-3</v>
      </c>
      <c r="I11" s="240">
        <v>2E-3</v>
      </c>
      <c r="J11" s="240">
        <v>2E-3</v>
      </c>
      <c r="K11" s="240">
        <v>2E-3</v>
      </c>
      <c r="L11" s="240">
        <v>2E-3</v>
      </c>
      <c r="M11" s="240">
        <v>2E-3</v>
      </c>
      <c r="N11" s="240">
        <v>2E-3</v>
      </c>
      <c r="O11" s="240">
        <v>2E-3</v>
      </c>
      <c r="P11" s="240">
        <v>2E-3</v>
      </c>
      <c r="Q11" s="240">
        <v>2E-3</v>
      </c>
      <c r="R11" s="240">
        <v>2E-3</v>
      </c>
      <c r="S11" s="240">
        <v>2E-3</v>
      </c>
      <c r="T11" s="240">
        <v>2E-3</v>
      </c>
      <c r="U11" s="240">
        <v>2E-3</v>
      </c>
      <c r="V11" s="240">
        <v>2E-3</v>
      </c>
      <c r="W11" s="240">
        <v>2E-3</v>
      </c>
      <c r="X11" s="240">
        <v>2E-3</v>
      </c>
      <c r="Y11" s="240">
        <v>2E-3</v>
      </c>
      <c r="Z11" s="240">
        <v>2E-3</v>
      </c>
      <c r="AA11" s="240">
        <v>2.2000000000000001E-3</v>
      </c>
      <c r="AB11" s="240">
        <v>2.2000000000000001E-3</v>
      </c>
      <c r="AC11" s="240">
        <v>2.2000000000000001E-3</v>
      </c>
      <c r="AD11" s="240">
        <v>2.0999999999999999E-3</v>
      </c>
    </row>
    <row r="12" spans="1:30">
      <c r="A12" s="240" t="s">
        <v>912</v>
      </c>
      <c r="B12" s="240" t="s">
        <v>913</v>
      </c>
      <c r="C12" s="240">
        <v>0</v>
      </c>
      <c r="D12" s="240">
        <v>0</v>
      </c>
      <c r="E12" s="240">
        <v>0</v>
      </c>
      <c r="F12" s="240">
        <v>0</v>
      </c>
      <c r="G12" s="240">
        <v>0</v>
      </c>
      <c r="H12" s="240">
        <v>0</v>
      </c>
      <c r="I12" s="240">
        <v>0</v>
      </c>
      <c r="J12" s="240">
        <v>0</v>
      </c>
      <c r="K12" s="240">
        <v>0</v>
      </c>
      <c r="L12" s="240">
        <v>0</v>
      </c>
      <c r="M12" s="240">
        <v>0</v>
      </c>
      <c r="N12" s="240">
        <v>0</v>
      </c>
      <c r="O12" s="240">
        <v>0</v>
      </c>
      <c r="P12" s="240">
        <v>0</v>
      </c>
      <c r="Q12" s="240">
        <v>0</v>
      </c>
      <c r="R12" s="240">
        <v>0</v>
      </c>
      <c r="S12" s="240">
        <v>0</v>
      </c>
      <c r="T12" s="240">
        <v>0</v>
      </c>
      <c r="U12" s="240">
        <v>0</v>
      </c>
      <c r="V12" s="240">
        <v>0</v>
      </c>
      <c r="W12" s="240">
        <v>0</v>
      </c>
      <c r="X12" s="240">
        <v>0</v>
      </c>
      <c r="Y12" s="240">
        <v>0</v>
      </c>
      <c r="Z12" s="240">
        <v>0</v>
      </c>
      <c r="AA12" s="240">
        <v>0</v>
      </c>
      <c r="AB12" s="240">
        <v>0</v>
      </c>
      <c r="AC12" s="240">
        <v>0</v>
      </c>
      <c r="AD12" s="240">
        <v>0</v>
      </c>
    </row>
    <row r="13" spans="1:30">
      <c r="A13" s="241" t="s">
        <v>914</v>
      </c>
      <c r="B13" s="241"/>
      <c r="C13" s="241">
        <v>1.7000000000000001E-2</v>
      </c>
      <c r="D13" s="241">
        <v>9.4999999999999998E-3</v>
      </c>
      <c r="E13" s="241">
        <v>7.3000000000000001E-3</v>
      </c>
      <c r="F13" s="241">
        <v>4.1000000000000003E-3</v>
      </c>
      <c r="G13" s="241">
        <v>3.8999999999999998E-3</v>
      </c>
      <c r="H13" s="241">
        <v>3.7000000000000002E-3</v>
      </c>
      <c r="I13" s="241">
        <v>2.5000000000000001E-3</v>
      </c>
      <c r="J13" s="241">
        <v>1E-3</v>
      </c>
      <c r="K13" s="241">
        <v>2.9999999999999997E-4</v>
      </c>
      <c r="L13" s="241">
        <v>2.9999999999999997E-4</v>
      </c>
      <c r="M13" s="241">
        <v>2.0000000000000001E-4</v>
      </c>
      <c r="N13" s="241">
        <v>1E-4</v>
      </c>
      <c r="O13" s="241">
        <v>0</v>
      </c>
      <c r="P13" s="241">
        <v>0</v>
      </c>
      <c r="Q13" s="241">
        <v>0</v>
      </c>
      <c r="R13" s="241">
        <v>0</v>
      </c>
      <c r="S13" s="241">
        <v>0</v>
      </c>
      <c r="T13" s="241">
        <v>0</v>
      </c>
      <c r="U13" s="241">
        <v>0</v>
      </c>
      <c r="V13" s="241">
        <v>0</v>
      </c>
      <c r="W13" s="241">
        <v>0</v>
      </c>
      <c r="X13" s="241">
        <v>0</v>
      </c>
      <c r="Y13" s="241">
        <v>0</v>
      </c>
      <c r="Z13" s="241">
        <v>0</v>
      </c>
      <c r="AA13" s="241">
        <v>0</v>
      </c>
      <c r="AB13" s="241">
        <v>0</v>
      </c>
      <c r="AC13" s="241">
        <v>0</v>
      </c>
      <c r="AD13" s="241">
        <v>0</v>
      </c>
    </row>
    <row r="14" spans="1:30">
      <c r="A14" s="153" t="s">
        <v>915</v>
      </c>
      <c r="B14" s="152"/>
      <c r="C14" s="242">
        <f>SUMSQ(C9:C13)^(1/2)</f>
        <v>1.7117534869250304E-2</v>
      </c>
      <c r="D14" s="242">
        <f>SUMSQ(D9:D13)^(1/2)</f>
        <v>9.7087589320159762E-3</v>
      </c>
      <c r="E14" s="242">
        <f t="shared" ref="E14:AD14" si="1">SUMSQ(E9:E13)^(1/2)</f>
        <v>7.5696763471102251E-3</v>
      </c>
      <c r="F14" s="242">
        <f t="shared" si="1"/>
        <v>4.5628938186199341E-3</v>
      </c>
      <c r="G14" s="242">
        <f t="shared" si="1"/>
        <v>4.3840620433565946E-3</v>
      </c>
      <c r="H14" s="242">
        <f t="shared" si="1"/>
        <v>4.2071367935925261E-3</v>
      </c>
      <c r="I14" s="242">
        <f t="shared" si="1"/>
        <v>3.2015621187164245E-3</v>
      </c>
      <c r="J14" s="242">
        <f t="shared" si="1"/>
        <v>2.2360679774997894E-3</v>
      </c>
      <c r="K14" s="242">
        <f t="shared" si="1"/>
        <v>2.0223748416156682E-3</v>
      </c>
      <c r="L14" s="242">
        <f t="shared" si="1"/>
        <v>2.0223748416156682E-3</v>
      </c>
      <c r="M14" s="242">
        <f t="shared" si="1"/>
        <v>2.009975124224178E-3</v>
      </c>
      <c r="N14" s="242">
        <f t="shared" si="1"/>
        <v>2.0024984394500784E-3</v>
      </c>
      <c r="O14" s="242">
        <f t="shared" si="1"/>
        <v>2E-3</v>
      </c>
      <c r="P14" s="242">
        <f t="shared" si="1"/>
        <v>2E-3</v>
      </c>
      <c r="Q14" s="242">
        <f t="shared" si="1"/>
        <v>2E-3</v>
      </c>
      <c r="R14" s="242">
        <f t="shared" si="1"/>
        <v>2E-3</v>
      </c>
      <c r="S14" s="242">
        <f t="shared" si="1"/>
        <v>2E-3</v>
      </c>
      <c r="T14" s="242">
        <f t="shared" si="1"/>
        <v>2E-3</v>
      </c>
      <c r="U14" s="242">
        <f t="shared" si="1"/>
        <v>2E-3</v>
      </c>
      <c r="V14" s="242">
        <f t="shared" si="1"/>
        <v>2.0024984394500784E-3</v>
      </c>
      <c r="W14" s="242">
        <f t="shared" si="1"/>
        <v>2.009975124224178E-3</v>
      </c>
      <c r="X14" s="242">
        <f t="shared" si="1"/>
        <v>2.009975124224178E-3</v>
      </c>
      <c r="Y14" s="242">
        <f t="shared" si="1"/>
        <v>2.0223748416156682E-3</v>
      </c>
      <c r="Z14" s="242">
        <f t="shared" si="1"/>
        <v>2.0396078054371138E-3</v>
      </c>
      <c r="AA14" s="242">
        <f t="shared" si="1"/>
        <v>2.308679276123039E-3</v>
      </c>
      <c r="AB14" s="242">
        <f t="shared" si="1"/>
        <v>2.4596747752497687E-3</v>
      </c>
      <c r="AC14" s="242">
        <f t="shared" si="1"/>
        <v>2.7202941017470889E-3</v>
      </c>
      <c r="AD14" s="242">
        <f t="shared" si="1"/>
        <v>3.6619666847201109E-3</v>
      </c>
    </row>
    <row r="15" spans="1:30">
      <c r="A15" s="239" t="s">
        <v>916</v>
      </c>
      <c r="B15" s="239" t="s">
        <v>917</v>
      </c>
      <c r="C15" s="239">
        <v>2.0000000000000001E-4</v>
      </c>
      <c r="D15" s="239">
        <v>2.0000000000000001E-4</v>
      </c>
      <c r="E15" s="239">
        <v>2.0000000000000001E-4</v>
      </c>
      <c r="F15" s="239">
        <v>2.0000000000000001E-4</v>
      </c>
      <c r="G15" s="239">
        <v>2.0000000000000001E-4</v>
      </c>
      <c r="H15" s="239">
        <v>2.0000000000000001E-4</v>
      </c>
      <c r="I15" s="239">
        <v>2.0000000000000001E-4</v>
      </c>
      <c r="J15" s="239">
        <v>0</v>
      </c>
      <c r="K15" s="239">
        <v>0</v>
      </c>
      <c r="L15" s="239">
        <v>0</v>
      </c>
      <c r="M15" s="239">
        <v>0</v>
      </c>
      <c r="N15" s="239">
        <v>0</v>
      </c>
      <c r="O15" s="239">
        <v>0</v>
      </c>
      <c r="P15" s="239">
        <v>0</v>
      </c>
      <c r="Q15" s="239">
        <v>0</v>
      </c>
      <c r="R15" s="239">
        <v>2.0000000000000001E-4</v>
      </c>
      <c r="S15" s="239">
        <v>2.0000000000000001E-4</v>
      </c>
      <c r="T15" s="239">
        <v>2.0000000000000001E-4</v>
      </c>
      <c r="U15" s="239">
        <v>4.0000000000000002E-4</v>
      </c>
      <c r="V15" s="239">
        <v>5.0000000000000001E-4</v>
      </c>
      <c r="W15" s="239">
        <v>5.9999999999999995E-4</v>
      </c>
      <c r="X15" s="239">
        <v>1.1000000000000001E-3</v>
      </c>
      <c r="Y15" s="239">
        <v>1.5E-3</v>
      </c>
      <c r="Z15" s="239">
        <v>2E-3</v>
      </c>
      <c r="AA15" s="239">
        <v>4.0000000000000001E-3</v>
      </c>
      <c r="AB15" s="239">
        <v>6.0000000000000001E-3</v>
      </c>
      <c r="AC15" s="239">
        <v>8.0000000000000002E-3</v>
      </c>
      <c r="AD15" s="239">
        <v>1.46E-2</v>
      </c>
    </row>
    <row r="16" spans="1:30">
      <c r="A16" s="240" t="s">
        <v>918</v>
      </c>
      <c r="B16" s="243" t="s">
        <v>919</v>
      </c>
      <c r="C16" s="240">
        <v>3.3E-3</v>
      </c>
      <c r="D16" s="240">
        <v>2.8E-3</v>
      </c>
      <c r="E16" s="240">
        <v>2.3999999999999998E-3</v>
      </c>
      <c r="F16" s="240">
        <v>2.0999999999999999E-3</v>
      </c>
      <c r="G16" s="240">
        <v>1.8E-3</v>
      </c>
      <c r="H16" s="240">
        <v>1.5E-3</v>
      </c>
      <c r="I16" s="240">
        <v>1.1999999999999999E-3</v>
      </c>
      <c r="J16" s="240">
        <v>8.9999999999999998E-4</v>
      </c>
      <c r="K16" s="240">
        <v>8.0000000000000004E-4</v>
      </c>
      <c r="L16" s="240">
        <v>6.9999999999999999E-4</v>
      </c>
      <c r="M16" s="240">
        <v>5.0000000000000001E-4</v>
      </c>
      <c r="N16" s="240">
        <v>4.0000000000000002E-4</v>
      </c>
      <c r="O16" s="240">
        <v>2.9999999999999997E-4</v>
      </c>
      <c r="P16" s="240">
        <v>2.0000000000000001E-4</v>
      </c>
      <c r="Q16" s="240">
        <v>1E-4</v>
      </c>
      <c r="R16" s="240">
        <v>2.0000000000000001E-4</v>
      </c>
      <c r="S16" s="240">
        <v>2.9999999999999997E-4</v>
      </c>
      <c r="T16" s="240">
        <v>4.0000000000000002E-4</v>
      </c>
      <c r="U16" s="240">
        <v>4.0000000000000002E-4</v>
      </c>
      <c r="V16" s="240">
        <v>5.0000000000000001E-4</v>
      </c>
      <c r="W16" s="240">
        <v>5.0000000000000001E-4</v>
      </c>
      <c r="X16" s="240">
        <v>5.9999999999999995E-4</v>
      </c>
      <c r="Y16" s="240">
        <v>6.9999999999999999E-4</v>
      </c>
      <c r="Z16" s="240">
        <v>8.0000000000000004E-4</v>
      </c>
      <c r="AA16" s="240">
        <v>8.9999999999999998E-4</v>
      </c>
      <c r="AB16" s="240">
        <v>1E-3</v>
      </c>
      <c r="AC16" s="240">
        <v>1E-3</v>
      </c>
      <c r="AD16" s="240">
        <v>1E-3</v>
      </c>
    </row>
    <row r="17" spans="1:30">
      <c r="A17" s="240" t="s">
        <v>920</v>
      </c>
      <c r="B17" s="240" t="s">
        <v>921</v>
      </c>
      <c r="C17" s="240">
        <v>1.7999999999999999E-2</v>
      </c>
      <c r="D17" s="240">
        <v>1.7999999999999999E-2</v>
      </c>
      <c r="E17" s="240">
        <v>1.7999999999999999E-2</v>
      </c>
      <c r="F17" s="240">
        <v>1.7999999999999999E-2</v>
      </c>
      <c r="G17" s="240">
        <v>1.7999999999999999E-2</v>
      </c>
      <c r="H17" s="240">
        <v>1.7999999999999999E-2</v>
      </c>
      <c r="I17" s="240">
        <v>1.7999999999999999E-2</v>
      </c>
      <c r="J17" s="240">
        <v>1.7999999999999999E-2</v>
      </c>
      <c r="K17" s="240">
        <v>1.7999999999999999E-2</v>
      </c>
      <c r="L17" s="240">
        <v>1.7999999999999999E-2</v>
      </c>
      <c r="M17" s="240">
        <v>1.7999999999999999E-2</v>
      </c>
      <c r="N17" s="240">
        <v>1.7999999999999999E-2</v>
      </c>
      <c r="O17" s="240">
        <v>1.7999999999999999E-2</v>
      </c>
      <c r="P17" s="240">
        <v>1.7999999999999999E-2</v>
      </c>
      <c r="Q17" s="240">
        <v>1.7999999999999999E-2</v>
      </c>
      <c r="R17" s="240">
        <v>1.7999999999999999E-2</v>
      </c>
      <c r="S17" s="240">
        <v>1.7999999999999999E-2</v>
      </c>
      <c r="T17" s="240">
        <v>1.7999999999999999E-2</v>
      </c>
      <c r="U17" s="240">
        <v>1.7999999999999999E-2</v>
      </c>
      <c r="V17" s="240">
        <v>1.7999999999999999E-2</v>
      </c>
      <c r="W17" s="240">
        <v>1.4999999999999999E-2</v>
      </c>
      <c r="X17" s="240">
        <v>1.2E-2</v>
      </c>
      <c r="Y17" s="240">
        <v>1.0999999999999999E-2</v>
      </c>
      <c r="Z17" s="240">
        <v>0.01</v>
      </c>
      <c r="AA17" s="240">
        <v>0.01</v>
      </c>
      <c r="AB17" s="240">
        <v>4.28E-3</v>
      </c>
      <c r="AC17" s="240">
        <v>8.9999999999999993E-3</v>
      </c>
      <c r="AD17" s="240">
        <v>7.0000000000000001E-3</v>
      </c>
    </row>
    <row r="18" spans="1:30">
      <c r="A18" s="240" t="s">
        <v>922</v>
      </c>
      <c r="B18" s="240" t="s">
        <v>923</v>
      </c>
      <c r="C18" s="240">
        <v>0</v>
      </c>
      <c r="D18" s="240">
        <v>0</v>
      </c>
      <c r="E18" s="240">
        <v>0</v>
      </c>
      <c r="F18" s="240">
        <v>0</v>
      </c>
      <c r="G18" s="240">
        <v>0</v>
      </c>
      <c r="H18" s="240">
        <v>0</v>
      </c>
      <c r="I18" s="240">
        <v>0</v>
      </c>
      <c r="J18" s="240">
        <v>0</v>
      </c>
      <c r="K18" s="240">
        <v>0</v>
      </c>
      <c r="L18" s="240">
        <v>0</v>
      </c>
      <c r="M18" s="240">
        <v>0</v>
      </c>
      <c r="N18" s="240">
        <v>0</v>
      </c>
      <c r="O18" s="240">
        <v>0</v>
      </c>
      <c r="P18" s="240">
        <v>0</v>
      </c>
      <c r="Q18" s="240">
        <v>0</v>
      </c>
      <c r="R18" s="240">
        <v>0</v>
      </c>
      <c r="S18" s="240">
        <v>0</v>
      </c>
      <c r="T18" s="240">
        <v>0</v>
      </c>
      <c r="U18" s="240">
        <v>2.0000000000000001E-4</v>
      </c>
      <c r="V18" s="240">
        <v>2.9999999999999997E-4</v>
      </c>
      <c r="W18" s="240">
        <v>4.0000000000000002E-4</v>
      </c>
      <c r="X18" s="240">
        <v>1E-3</v>
      </c>
      <c r="Y18" s="240">
        <v>3.0000000000000001E-3</v>
      </c>
      <c r="Z18" s="240">
        <v>5.5999999999999999E-3</v>
      </c>
      <c r="AA18" s="240">
        <v>8.6999999999999994E-3</v>
      </c>
      <c r="AB18" s="240">
        <v>1.4E-2</v>
      </c>
      <c r="AC18" s="240">
        <v>1.7000000000000001E-2</v>
      </c>
      <c r="AD18" s="240">
        <v>1.7999999999999999E-2</v>
      </c>
    </row>
    <row r="19" spans="1:30">
      <c r="A19" s="241" t="s">
        <v>924</v>
      </c>
      <c r="B19" s="244">
        <v>9.4E-2</v>
      </c>
      <c r="C19" s="241">
        <v>0</v>
      </c>
      <c r="D19" s="241">
        <v>0</v>
      </c>
      <c r="E19" s="241">
        <v>0</v>
      </c>
      <c r="F19" s="241">
        <v>0</v>
      </c>
      <c r="G19" s="241">
        <v>0</v>
      </c>
      <c r="H19" s="241">
        <v>0</v>
      </c>
      <c r="I19" s="241">
        <v>0</v>
      </c>
      <c r="J19" s="241">
        <v>0</v>
      </c>
      <c r="K19" s="241">
        <v>0</v>
      </c>
      <c r="L19" s="241">
        <v>0</v>
      </c>
      <c r="M19" s="241">
        <v>0</v>
      </c>
      <c r="N19" s="241">
        <v>0</v>
      </c>
      <c r="O19" s="241">
        <v>1E-4</v>
      </c>
      <c r="P19" s="241">
        <v>1E-4</v>
      </c>
      <c r="Q19" s="241">
        <v>2.0000000000000001E-4</v>
      </c>
      <c r="R19" s="241">
        <v>5.0000000000000001E-4</v>
      </c>
      <c r="S19" s="241">
        <v>8.0000000000000004E-4</v>
      </c>
      <c r="T19" s="241">
        <v>1E-3</v>
      </c>
      <c r="U19" s="241">
        <v>1.5E-3</v>
      </c>
      <c r="V19" s="241">
        <v>2.3999999999999998E-3</v>
      </c>
      <c r="W19" s="241">
        <v>3.5999999999999999E-3</v>
      </c>
      <c r="X19" s="241">
        <v>4.1999999999999997E-3</v>
      </c>
      <c r="Y19" s="241">
        <v>5.4999999999999997E-3</v>
      </c>
      <c r="Z19" s="241">
        <v>1.24E-2</v>
      </c>
      <c r="AA19" s="241">
        <v>1.52E-2</v>
      </c>
      <c r="AB19" s="241">
        <v>1.6400000000000001E-2</v>
      </c>
      <c r="AC19" s="241">
        <v>4.0000000000000001E-3</v>
      </c>
      <c r="AD19" s="241">
        <v>0.02</v>
      </c>
    </row>
    <row r="20" spans="1:30">
      <c r="A20" s="153" t="s">
        <v>925</v>
      </c>
      <c r="B20" s="152"/>
      <c r="C20" s="242">
        <f>SUMSQ(C15:C19)^(1/2)</f>
        <v>1.8301092863542329E-2</v>
      </c>
      <c r="D20" s="242">
        <f>SUMSQ(D15:D19)^(1/2)</f>
        <v>1.8217573932881401E-2</v>
      </c>
      <c r="E20" s="242">
        <f t="shared" ref="E20:AD20" si="2">SUMSQ(E15:E19)^(1/2)</f>
        <v>1.8160396471443015E-2</v>
      </c>
      <c r="F20" s="242">
        <f t="shared" si="2"/>
        <v>1.8123189564753769E-2</v>
      </c>
      <c r="G20" s="242">
        <f t="shared" si="2"/>
        <v>1.809088168111217E-2</v>
      </c>
      <c r="H20" s="242">
        <f t="shared" si="2"/>
        <v>1.8063499107315834E-2</v>
      </c>
      <c r="I20" s="242">
        <f t="shared" si="2"/>
        <v>1.8041064270158787E-2</v>
      </c>
      <c r="J20" s="242">
        <f t="shared" si="2"/>
        <v>1.8022485955050706E-2</v>
      </c>
      <c r="K20" s="242">
        <f t="shared" si="2"/>
        <v>1.8017769007288333E-2</v>
      </c>
      <c r="L20" s="242">
        <f t="shared" si="2"/>
        <v>1.8013605968822566E-2</v>
      </c>
      <c r="M20" s="242">
        <f t="shared" si="2"/>
        <v>1.8006943105369103E-2</v>
      </c>
      <c r="N20" s="242">
        <f t="shared" si="2"/>
        <v>1.8004443895883036E-2</v>
      </c>
      <c r="O20" s="242">
        <f t="shared" si="2"/>
        <v>1.8002777563476142E-2</v>
      </c>
      <c r="P20" s="242">
        <f t="shared" si="2"/>
        <v>1.8001388835309346E-2</v>
      </c>
      <c r="Q20" s="242">
        <f t="shared" si="2"/>
        <v>1.8001388835309346E-2</v>
      </c>
      <c r="R20" s="242">
        <f t="shared" si="2"/>
        <v>1.8009164333749637E-2</v>
      </c>
      <c r="S20" s="242">
        <f t="shared" si="2"/>
        <v>1.8021376196062273E-2</v>
      </c>
      <c r="T20" s="242">
        <f t="shared" si="2"/>
        <v>1.8033302526159759E-2</v>
      </c>
      <c r="U20" s="242">
        <f t="shared" si="2"/>
        <v>1.8072354578194838E-2</v>
      </c>
      <c r="V20" s="242">
        <f t="shared" si="2"/>
        <v>1.8175533004564131E-2</v>
      </c>
      <c r="W20" s="242">
        <f t="shared" si="2"/>
        <v>1.5450889942006578E-2</v>
      </c>
      <c r="X20" s="242">
        <f t="shared" si="2"/>
        <v>1.2814444974324874E-2</v>
      </c>
      <c r="Y20" s="242">
        <f t="shared" si="2"/>
        <v>1.2766753698571926E-2</v>
      </c>
      <c r="Z20" s="242">
        <f t="shared" si="2"/>
        <v>1.7022338264762571E-2</v>
      </c>
      <c r="AA20" s="242">
        <f t="shared" si="2"/>
        <v>2.0580087463370995E-2</v>
      </c>
      <c r="AB20" s="242">
        <f t="shared" si="2"/>
        <v>2.2809612008975515E-2</v>
      </c>
      <c r="AC20" s="242">
        <f t="shared" si="2"/>
        <v>2.12367605815953E-2</v>
      </c>
      <c r="AD20" s="242">
        <f t="shared" si="2"/>
        <v>3.141910246967599E-2</v>
      </c>
    </row>
    <row r="21" spans="1:30">
      <c r="A21" s="239" t="s">
        <v>926</v>
      </c>
      <c r="B21" s="239" t="s">
        <v>927</v>
      </c>
      <c r="C21" s="239">
        <v>4.5999999999999999E-3</v>
      </c>
      <c r="D21" s="239">
        <v>3.8999999999999998E-3</v>
      </c>
      <c r="E21" s="239">
        <v>3.2000000000000002E-3</v>
      </c>
      <c r="F21" s="239">
        <v>3.2000000000000002E-3</v>
      </c>
      <c r="G21" s="239">
        <v>3.2000000000000002E-3</v>
      </c>
      <c r="H21" s="239">
        <v>1.6999999999999999E-3</v>
      </c>
      <c r="I21" s="239">
        <v>1.5E-3</v>
      </c>
      <c r="J21" s="239">
        <v>1.5E-3</v>
      </c>
      <c r="K21" s="239">
        <v>1.5E-3</v>
      </c>
      <c r="L21" s="239">
        <v>1.4E-3</v>
      </c>
      <c r="M21" s="239">
        <v>1.2999999999999999E-3</v>
      </c>
      <c r="N21" s="239">
        <v>1.1999999999999999E-3</v>
      </c>
      <c r="O21" s="239">
        <v>1.2999999999999999E-3</v>
      </c>
      <c r="P21" s="239">
        <v>1.2999999999999999E-3</v>
      </c>
      <c r="Q21" s="239">
        <v>1.2999999999999999E-3</v>
      </c>
      <c r="R21" s="239">
        <v>1.2999999999999999E-3</v>
      </c>
      <c r="S21" s="239">
        <v>1.2999999999999999E-3</v>
      </c>
      <c r="T21" s="239">
        <v>1.2999999999999999E-3</v>
      </c>
      <c r="U21" s="239">
        <v>1.4E-3</v>
      </c>
      <c r="V21" s="239">
        <v>1.5E-3</v>
      </c>
      <c r="W21" s="239">
        <v>1.6999999999999999E-3</v>
      </c>
      <c r="X21" s="239">
        <v>1.9E-3</v>
      </c>
      <c r="Y21" s="239">
        <v>2.0999999999999999E-3</v>
      </c>
      <c r="Z21" s="239">
        <v>2.2000000000000001E-3</v>
      </c>
      <c r="AA21" s="239">
        <v>2.3E-3</v>
      </c>
      <c r="AB21" s="239">
        <v>2.5000000000000001E-3</v>
      </c>
      <c r="AC21" s="239">
        <v>2.5999999999999999E-3</v>
      </c>
      <c r="AD21" s="239">
        <v>2.7000000000000001E-3</v>
      </c>
    </row>
    <row r="22" spans="1:30">
      <c r="A22" s="240" t="s">
        <v>928</v>
      </c>
      <c r="B22" s="240"/>
      <c r="C22" s="240">
        <v>1.5E-3</v>
      </c>
      <c r="D22" s="240">
        <v>1.5E-3</v>
      </c>
      <c r="E22" s="240">
        <v>1.5E-3</v>
      </c>
      <c r="F22" s="240">
        <v>1.5E-3</v>
      </c>
      <c r="G22" s="240">
        <v>1.5E-3</v>
      </c>
      <c r="H22" s="240">
        <v>1.1999999999999999E-3</v>
      </c>
      <c r="I22" s="240">
        <v>1.1999999999999999E-3</v>
      </c>
      <c r="J22" s="240">
        <v>1.1999999999999999E-3</v>
      </c>
      <c r="K22" s="240">
        <v>1.1999999999999999E-3</v>
      </c>
      <c r="L22" s="240">
        <v>1.1999999999999999E-3</v>
      </c>
      <c r="M22" s="240">
        <v>1.1999999999999999E-3</v>
      </c>
      <c r="N22" s="240">
        <v>8.0000000000000004E-4</v>
      </c>
      <c r="O22" s="240">
        <v>8.0000000000000004E-4</v>
      </c>
      <c r="P22" s="240">
        <v>8.0000000000000004E-4</v>
      </c>
      <c r="Q22" s="240">
        <v>8.0000000000000004E-4</v>
      </c>
      <c r="R22" s="240">
        <v>8.0000000000000004E-4</v>
      </c>
      <c r="S22" s="240">
        <v>8.0000000000000004E-4</v>
      </c>
      <c r="T22" s="240">
        <v>8.0000000000000004E-4</v>
      </c>
      <c r="U22" s="240">
        <v>8.0000000000000004E-4</v>
      </c>
      <c r="V22" s="240">
        <v>8.0000000000000004E-4</v>
      </c>
      <c r="W22" s="240">
        <v>8.0000000000000004E-4</v>
      </c>
      <c r="X22" s="240">
        <v>8.9999999999999998E-4</v>
      </c>
      <c r="Y22" s="240">
        <v>1E-3</v>
      </c>
      <c r="Z22" s="240">
        <v>1.1999999999999999E-3</v>
      </c>
      <c r="AA22" s="240">
        <v>1.1999999999999999E-3</v>
      </c>
      <c r="AB22" s="240">
        <v>1.1999999999999999E-3</v>
      </c>
      <c r="AC22" s="240">
        <v>1.1999999999999999E-3</v>
      </c>
      <c r="AD22" s="240">
        <v>1.1999999999999999E-3</v>
      </c>
    </row>
    <row r="23" spans="1:30">
      <c r="A23" s="240" t="s">
        <v>929</v>
      </c>
      <c r="B23" s="240" t="s">
        <v>930</v>
      </c>
      <c r="C23" s="240">
        <v>2.5000000000000001E-3</v>
      </c>
      <c r="D23" s="240">
        <v>2.5000000000000001E-3</v>
      </c>
      <c r="E23" s="240">
        <v>2.5000000000000001E-3</v>
      </c>
      <c r="F23" s="240">
        <v>2.5000000000000001E-3</v>
      </c>
      <c r="G23" s="240">
        <v>2.5000000000000001E-3</v>
      </c>
      <c r="H23" s="240">
        <v>2.5000000000000001E-3</v>
      </c>
      <c r="I23" s="240">
        <v>2.5000000000000001E-3</v>
      </c>
      <c r="J23" s="240">
        <v>2.5000000000000001E-3</v>
      </c>
      <c r="K23" s="240">
        <v>2.5000000000000001E-3</v>
      </c>
      <c r="L23" s="240">
        <v>2.5000000000000001E-3</v>
      </c>
      <c r="M23" s="240">
        <v>2.5000000000000001E-3</v>
      </c>
      <c r="N23" s="240">
        <v>2.5000000000000001E-3</v>
      </c>
      <c r="O23" s="240">
        <v>2.5000000000000001E-3</v>
      </c>
      <c r="P23" s="240">
        <v>2.5000000000000001E-3</v>
      </c>
      <c r="Q23" s="240">
        <v>2.5000000000000001E-3</v>
      </c>
      <c r="R23" s="240">
        <v>2.5000000000000001E-3</v>
      </c>
      <c r="S23" s="240">
        <v>2.5000000000000001E-3</v>
      </c>
      <c r="T23" s="240">
        <v>2.5000000000000001E-3</v>
      </c>
      <c r="U23" s="240">
        <v>2.5000000000000001E-3</v>
      </c>
      <c r="V23" s="240">
        <v>2.5000000000000001E-3</v>
      </c>
      <c r="W23" s="240">
        <v>2.5000000000000001E-3</v>
      </c>
      <c r="X23" s="240">
        <v>2.5000000000000001E-3</v>
      </c>
      <c r="Y23" s="240">
        <v>2.5000000000000001E-3</v>
      </c>
      <c r="Z23" s="240">
        <v>2.5000000000000001E-3</v>
      </c>
      <c r="AA23" s="240">
        <v>2.5000000000000001E-3</v>
      </c>
      <c r="AB23" s="240">
        <v>2.5000000000000001E-3</v>
      </c>
      <c r="AC23" s="240">
        <v>2.5000000000000001E-3</v>
      </c>
      <c r="AD23" s="240">
        <v>2.5000000000000001E-3</v>
      </c>
    </row>
    <row r="24" spans="1:30">
      <c r="A24" s="240" t="s">
        <v>931</v>
      </c>
      <c r="B24" s="240" t="s">
        <v>932</v>
      </c>
      <c r="C24" s="240">
        <v>1E-4</v>
      </c>
      <c r="D24" s="240">
        <v>1E-4</v>
      </c>
      <c r="E24" s="240">
        <v>1E-4</v>
      </c>
      <c r="F24" s="240">
        <v>1E-4</v>
      </c>
      <c r="G24" s="240">
        <v>1E-4</v>
      </c>
      <c r="H24" s="240">
        <v>1E-4</v>
      </c>
      <c r="I24" s="240">
        <v>1E-4</v>
      </c>
      <c r="J24" s="240">
        <v>1E-4</v>
      </c>
      <c r="K24" s="240">
        <v>1E-4</v>
      </c>
      <c r="L24" s="240">
        <v>1E-4</v>
      </c>
      <c r="M24" s="240">
        <v>1E-4</v>
      </c>
      <c r="N24" s="240">
        <v>1E-4</v>
      </c>
      <c r="O24" s="240">
        <v>1E-4</v>
      </c>
      <c r="P24" s="240">
        <v>1E-4</v>
      </c>
      <c r="Q24" s="240">
        <v>1E-4</v>
      </c>
      <c r="R24" s="240">
        <v>1E-4</v>
      </c>
      <c r="S24" s="240">
        <v>1E-4</v>
      </c>
      <c r="T24" s="240">
        <v>1E-4</v>
      </c>
      <c r="U24" s="240">
        <v>1E-4</v>
      </c>
      <c r="V24" s="240">
        <v>1E-4</v>
      </c>
      <c r="W24" s="240">
        <v>1E-4</v>
      </c>
      <c r="X24" s="240">
        <v>1E-4</v>
      </c>
      <c r="Y24" s="240">
        <v>1E-4</v>
      </c>
      <c r="Z24" s="240">
        <v>1E-4</v>
      </c>
      <c r="AA24" s="240">
        <v>1E-4</v>
      </c>
      <c r="AB24" s="240">
        <v>1E-4</v>
      </c>
      <c r="AC24" s="240">
        <v>1E-4</v>
      </c>
      <c r="AD24" s="240">
        <v>1E-4</v>
      </c>
    </row>
    <row r="25" spans="1:30">
      <c r="A25" s="240" t="s">
        <v>933</v>
      </c>
      <c r="B25" s="240" t="s">
        <v>932</v>
      </c>
      <c r="C25" s="240">
        <v>1E-4</v>
      </c>
      <c r="D25" s="240">
        <v>1E-4</v>
      </c>
      <c r="E25" s="240">
        <v>1E-4</v>
      </c>
      <c r="F25" s="240">
        <v>1E-4</v>
      </c>
      <c r="G25" s="240">
        <v>1E-4</v>
      </c>
      <c r="H25" s="240">
        <v>1E-4</v>
      </c>
      <c r="I25" s="240">
        <v>1E-4</v>
      </c>
      <c r="J25" s="240">
        <v>1E-4</v>
      </c>
      <c r="K25" s="240">
        <v>1E-4</v>
      </c>
      <c r="L25" s="240">
        <v>1E-4</v>
      </c>
      <c r="M25" s="240">
        <v>1E-4</v>
      </c>
      <c r="N25" s="240">
        <v>1E-4</v>
      </c>
      <c r="O25" s="240">
        <v>1E-4</v>
      </c>
      <c r="P25" s="240">
        <v>1E-4</v>
      </c>
      <c r="Q25" s="240">
        <v>1E-4</v>
      </c>
      <c r="R25" s="240">
        <v>1E-4</v>
      </c>
      <c r="S25" s="240">
        <v>1E-4</v>
      </c>
      <c r="T25" s="240">
        <v>1E-4</v>
      </c>
      <c r="U25" s="240">
        <v>1E-4</v>
      </c>
      <c r="V25" s="240">
        <v>1E-4</v>
      </c>
      <c r="W25" s="240">
        <v>1E-4</v>
      </c>
      <c r="X25" s="240">
        <v>1E-4</v>
      </c>
      <c r="Y25" s="240">
        <v>1E-4</v>
      </c>
      <c r="Z25" s="240">
        <v>1E-4</v>
      </c>
      <c r="AA25" s="240">
        <v>1E-4</v>
      </c>
      <c r="AB25" s="240">
        <v>1E-4</v>
      </c>
      <c r="AC25" s="240">
        <v>1E-4</v>
      </c>
      <c r="AD25" s="240">
        <v>1E-4</v>
      </c>
    </row>
    <row r="26" spans="1:30">
      <c r="A26" s="240" t="s">
        <v>934</v>
      </c>
      <c r="B26" s="240" t="s">
        <v>935</v>
      </c>
      <c r="C26" s="240">
        <v>0</v>
      </c>
      <c r="D26" s="240">
        <v>0</v>
      </c>
      <c r="E26" s="240">
        <v>0</v>
      </c>
      <c r="F26" s="240">
        <v>0</v>
      </c>
      <c r="G26" s="240">
        <v>0</v>
      </c>
      <c r="H26" s="240">
        <v>0</v>
      </c>
      <c r="I26" s="240">
        <v>0</v>
      </c>
      <c r="J26" s="240">
        <v>0</v>
      </c>
      <c r="K26" s="240">
        <v>0</v>
      </c>
      <c r="L26" s="240">
        <v>0</v>
      </c>
      <c r="M26" s="240">
        <v>0</v>
      </c>
      <c r="N26" s="240">
        <v>0</v>
      </c>
      <c r="O26" s="240">
        <v>0</v>
      </c>
      <c r="P26" s="240">
        <v>0</v>
      </c>
      <c r="Q26" s="240">
        <v>0</v>
      </c>
      <c r="R26" s="240">
        <v>0</v>
      </c>
      <c r="S26" s="240">
        <v>0</v>
      </c>
      <c r="T26" s="240">
        <v>0</v>
      </c>
      <c r="U26" s="240">
        <v>0</v>
      </c>
      <c r="V26" s="240">
        <v>0</v>
      </c>
      <c r="W26" s="240">
        <v>0</v>
      </c>
      <c r="X26" s="240">
        <v>0</v>
      </c>
      <c r="Y26" s="240">
        <v>0</v>
      </c>
      <c r="Z26" s="240">
        <v>0</v>
      </c>
      <c r="AA26" s="240">
        <v>1E-4</v>
      </c>
      <c r="AB26" s="240">
        <v>1E-4</v>
      </c>
      <c r="AC26" s="240">
        <v>1E-4</v>
      </c>
      <c r="AD26" s="240">
        <v>2.0000000000000001E-4</v>
      </c>
    </row>
    <row r="27" spans="1:30">
      <c r="A27" s="241" t="s">
        <v>936</v>
      </c>
      <c r="B27" s="241" t="s">
        <v>937</v>
      </c>
      <c r="C27" s="241">
        <v>4.1999999999999997E-3</v>
      </c>
      <c r="D27" s="241">
        <v>4.1999999999999997E-3</v>
      </c>
      <c r="E27" s="241">
        <v>4.1999999999999997E-3</v>
      </c>
      <c r="F27" s="241">
        <v>4.1999999999999997E-3</v>
      </c>
      <c r="G27" s="241">
        <v>4.1999999999999997E-3</v>
      </c>
      <c r="H27" s="241">
        <v>4.1999999999999997E-3</v>
      </c>
      <c r="I27" s="241">
        <v>4.1999999999999997E-3</v>
      </c>
      <c r="J27" s="241">
        <v>4.1999999999999997E-3</v>
      </c>
      <c r="K27" s="241">
        <v>4.1999999999999997E-3</v>
      </c>
      <c r="L27" s="241">
        <v>4.1999999999999997E-3</v>
      </c>
      <c r="M27" s="241">
        <v>4.1999999999999997E-3</v>
      </c>
      <c r="N27" s="241">
        <v>4.1999999999999997E-3</v>
      </c>
      <c r="O27" s="241">
        <v>4.1999999999999997E-3</v>
      </c>
      <c r="P27" s="241">
        <v>4.1999999999999997E-3</v>
      </c>
      <c r="Q27" s="241">
        <v>4.1999999999999997E-3</v>
      </c>
      <c r="R27" s="241">
        <v>4.1999999999999997E-3</v>
      </c>
      <c r="S27" s="241">
        <v>4.1999999999999997E-3</v>
      </c>
      <c r="T27" s="241">
        <v>4.1999999999999997E-3</v>
      </c>
      <c r="U27" s="241">
        <v>4.1999999999999997E-3</v>
      </c>
      <c r="V27" s="241">
        <v>4.1999999999999997E-3</v>
      </c>
      <c r="W27" s="241">
        <v>4.1999999999999997E-3</v>
      </c>
      <c r="X27" s="241">
        <v>4.1999999999999997E-3</v>
      </c>
      <c r="Y27" s="241">
        <v>4.1999999999999997E-3</v>
      </c>
      <c r="Z27" s="241">
        <v>4.1999999999999997E-3</v>
      </c>
      <c r="AA27" s="241">
        <v>4.1999999999999997E-3</v>
      </c>
      <c r="AB27" s="241">
        <v>4.1999999999999997E-3</v>
      </c>
      <c r="AC27" s="241">
        <v>4.1999999999999997E-3</v>
      </c>
      <c r="AD27" s="241">
        <v>4.1999999999999997E-3</v>
      </c>
    </row>
    <row r="28" spans="1:30">
      <c r="A28" s="151" t="s">
        <v>938</v>
      </c>
      <c r="B28" s="152"/>
      <c r="C28" s="242">
        <f>SUMSQ(C21:C27)^(1/2)</f>
        <v>6.8789534087679354E-3</v>
      </c>
      <c r="D28" s="242">
        <f>SUMSQ(D21:D27)^(1/2)</f>
        <v>6.4319514923544003E-3</v>
      </c>
      <c r="E28" s="242">
        <f t="shared" ref="E28:AD28" si="3">SUMSQ(E21:E27)^(1/2)</f>
        <v>6.0332412515993429E-3</v>
      </c>
      <c r="F28" s="242">
        <f t="shared" si="3"/>
        <v>6.0332412515993429E-3</v>
      </c>
      <c r="G28" s="242">
        <f t="shared" si="3"/>
        <v>6.0332412515993429E-3</v>
      </c>
      <c r="H28" s="242">
        <f t="shared" si="3"/>
        <v>5.314132102234569E-3</v>
      </c>
      <c r="I28" s="242">
        <f t="shared" si="3"/>
        <v>5.2535702146254788E-3</v>
      </c>
      <c r="J28" s="242">
        <f t="shared" si="3"/>
        <v>5.2535702146254788E-3</v>
      </c>
      <c r="K28" s="242">
        <f t="shared" si="3"/>
        <v>5.2535702146254788E-3</v>
      </c>
      <c r="L28" s="242">
        <f t="shared" si="3"/>
        <v>5.2258970521815674E-3</v>
      </c>
      <c r="M28" s="242">
        <f t="shared" si="3"/>
        <v>5.1999999999999998E-3</v>
      </c>
      <c r="N28" s="242">
        <f t="shared" si="3"/>
        <v>5.0980388386123541E-3</v>
      </c>
      <c r="O28" s="242">
        <f t="shared" si="3"/>
        <v>5.1224993899462784E-3</v>
      </c>
      <c r="P28" s="242">
        <f t="shared" si="3"/>
        <v>5.1224993899462784E-3</v>
      </c>
      <c r="Q28" s="242">
        <f t="shared" si="3"/>
        <v>5.1224993899462784E-3</v>
      </c>
      <c r="R28" s="242">
        <f t="shared" si="3"/>
        <v>5.1224993899462784E-3</v>
      </c>
      <c r="S28" s="242">
        <f t="shared" si="3"/>
        <v>5.1224993899462784E-3</v>
      </c>
      <c r="T28" s="242">
        <f t="shared" si="3"/>
        <v>5.1224993899462784E-3</v>
      </c>
      <c r="U28" s="242">
        <f t="shared" si="3"/>
        <v>5.1487862647423997E-3</v>
      </c>
      <c r="V28" s="242">
        <f t="shared" si="3"/>
        <v>5.1768716422179138E-3</v>
      </c>
      <c r="W28" s="242">
        <f t="shared" si="3"/>
        <v>5.238320341483518E-3</v>
      </c>
      <c r="X28" s="242">
        <f t="shared" si="3"/>
        <v>5.3225933528685057E-3</v>
      </c>
      <c r="Y28" s="242">
        <f t="shared" si="3"/>
        <v>5.4147945482723534E-3</v>
      </c>
      <c r="Z28" s="242">
        <f t="shared" si="3"/>
        <v>5.4945427471264612E-3</v>
      </c>
      <c r="AA28" s="242">
        <f t="shared" si="3"/>
        <v>5.5362442142665638E-3</v>
      </c>
      <c r="AB28" s="242">
        <f t="shared" si="3"/>
        <v>5.6222771187482388E-3</v>
      </c>
      <c r="AC28" s="242">
        <f t="shared" si="3"/>
        <v>5.6674509261219015E-3</v>
      </c>
      <c r="AD28" s="242">
        <f t="shared" si="3"/>
        <v>5.7166423711825804E-3</v>
      </c>
    </row>
    <row r="29" spans="1:30">
      <c r="A29" s="245"/>
      <c r="B29" s="245"/>
      <c r="C29" s="245"/>
      <c r="D29" s="245"/>
      <c r="E29" s="245"/>
      <c r="F29" s="245"/>
      <c r="G29" s="245"/>
      <c r="H29" s="245"/>
      <c r="I29" s="245"/>
      <c r="J29" s="245"/>
      <c r="K29" s="245"/>
      <c r="L29" s="245"/>
      <c r="M29" s="245"/>
      <c r="N29" s="245"/>
      <c r="O29" s="245"/>
      <c r="P29" s="245"/>
      <c r="Q29" s="245"/>
      <c r="R29" s="245"/>
      <c r="S29" s="245"/>
      <c r="T29" s="245"/>
      <c r="U29" s="245"/>
      <c r="V29" s="245"/>
      <c r="W29" s="245"/>
      <c r="X29" s="245"/>
      <c r="Y29" s="245"/>
      <c r="Z29" s="245"/>
      <c r="AA29" s="245"/>
      <c r="AB29" s="245"/>
      <c r="AC29" s="245"/>
      <c r="AD29" s="245"/>
    </row>
    <row r="30" spans="1:30">
      <c r="A30" s="153" t="s">
        <v>1207</v>
      </c>
      <c r="B30" s="242" t="s">
        <v>63</v>
      </c>
      <c r="C30" s="242">
        <v>1.23E-2</v>
      </c>
      <c r="D30" s="242">
        <v>1.15E-2</v>
      </c>
      <c r="E30" s="242">
        <v>0.01</v>
      </c>
      <c r="F30" s="242">
        <v>5.3E-3</v>
      </c>
      <c r="G30" s="242">
        <v>5.3E-3</v>
      </c>
      <c r="H30" s="242">
        <v>5.3E-3</v>
      </c>
      <c r="I30" s="242">
        <v>5.3E-3</v>
      </c>
      <c r="J30" s="242">
        <v>5.3E-3</v>
      </c>
      <c r="K30" s="242">
        <v>5.3E-3</v>
      </c>
      <c r="L30" s="242">
        <v>5.3E-3</v>
      </c>
      <c r="M30" s="242">
        <v>5.3E-3</v>
      </c>
      <c r="N30" s="242">
        <v>5.3E-3</v>
      </c>
      <c r="O30" s="242">
        <v>5.3E-3</v>
      </c>
      <c r="P30" s="242">
        <v>5.3E-3</v>
      </c>
      <c r="Q30" s="242">
        <v>5.3E-3</v>
      </c>
      <c r="R30" s="242">
        <v>5.3E-3</v>
      </c>
      <c r="S30" s="242">
        <v>5.3E-3</v>
      </c>
      <c r="T30" s="242">
        <v>5.3E-3</v>
      </c>
      <c r="U30" s="242">
        <v>5.3E-3</v>
      </c>
      <c r="V30" s="242">
        <v>5.3E-3</v>
      </c>
      <c r="W30" s="242">
        <v>5.3E-3</v>
      </c>
      <c r="X30" s="242">
        <v>5.7999999999999996E-3</v>
      </c>
      <c r="Y30" s="242">
        <v>6.7999999999999996E-3</v>
      </c>
      <c r="Z30" s="242">
        <v>8.0000000000000002E-3</v>
      </c>
      <c r="AA30" s="242">
        <v>8.9999999999999993E-3</v>
      </c>
      <c r="AB30" s="242">
        <v>1.0999999999999999E-2</v>
      </c>
      <c r="AC30" s="242">
        <v>1.2E-2</v>
      </c>
      <c r="AD30" s="242">
        <v>2.8000000000000001E-2</v>
      </c>
    </row>
    <row r="31" spans="1:30">
      <c r="A31" s="151" t="s">
        <v>1208</v>
      </c>
      <c r="B31" s="242" t="s">
        <v>1209</v>
      </c>
      <c r="C31" s="242">
        <v>5.9999999999999995E-4</v>
      </c>
      <c r="D31" s="242">
        <v>5.9999999999999995E-4</v>
      </c>
      <c r="E31" s="242">
        <v>5.9999999999999995E-4</v>
      </c>
      <c r="F31" s="242">
        <v>5.9999999999999995E-4</v>
      </c>
      <c r="G31" s="242">
        <v>5.9999999999999995E-4</v>
      </c>
      <c r="H31" s="242">
        <v>5.9999999999999995E-4</v>
      </c>
      <c r="I31" s="242">
        <v>5.9999999999999995E-4</v>
      </c>
      <c r="J31" s="242">
        <v>5.9999999999999995E-4</v>
      </c>
      <c r="K31" s="242">
        <v>5.9999999999999995E-4</v>
      </c>
      <c r="L31" s="242">
        <v>5.9999999999999995E-4</v>
      </c>
      <c r="M31" s="242">
        <v>5.9999999999999995E-4</v>
      </c>
      <c r="N31" s="242">
        <v>5.9999999999999995E-4</v>
      </c>
      <c r="O31" s="242">
        <v>5.9999999999999995E-4</v>
      </c>
      <c r="P31" s="242">
        <v>5.9999999999999995E-4</v>
      </c>
      <c r="Q31" s="242">
        <v>5.9999999999999995E-4</v>
      </c>
      <c r="R31" s="242">
        <v>5.9999999999999995E-4</v>
      </c>
      <c r="S31" s="242">
        <v>5.9999999999999995E-4</v>
      </c>
      <c r="T31" s="242">
        <v>5.9999999999999995E-4</v>
      </c>
      <c r="U31" s="242">
        <v>5.9999999999999995E-4</v>
      </c>
      <c r="V31" s="242">
        <v>5.9999999999999995E-4</v>
      </c>
      <c r="W31" s="242">
        <v>5.9999999999999995E-4</v>
      </c>
      <c r="X31" s="242">
        <v>5.9999999999999995E-4</v>
      </c>
      <c r="Y31" s="242">
        <v>5.9999999999999995E-4</v>
      </c>
      <c r="Z31" s="242">
        <v>5.9999999999999995E-4</v>
      </c>
      <c r="AA31" s="242">
        <v>5.9999999999999995E-4</v>
      </c>
      <c r="AB31" s="242">
        <v>5.9999999999999995E-4</v>
      </c>
      <c r="AC31" s="242">
        <v>5.9999999999999995E-4</v>
      </c>
      <c r="AD31" s="242">
        <v>5.9999999999999995E-4</v>
      </c>
    </row>
    <row r="32" spans="1:30">
      <c r="A32" s="245"/>
      <c r="B32" s="245"/>
      <c r="C32" s="245"/>
      <c r="D32" s="245"/>
      <c r="E32" s="245"/>
      <c r="F32" s="245"/>
      <c r="G32" s="245"/>
      <c r="H32" s="245"/>
      <c r="I32" s="245"/>
      <c r="J32" s="245"/>
      <c r="K32" s="245"/>
      <c r="L32" s="245"/>
      <c r="M32" s="245"/>
      <c r="N32" s="245"/>
      <c r="O32" s="245"/>
      <c r="P32" s="245"/>
      <c r="Q32" s="245"/>
      <c r="R32" s="245"/>
      <c r="S32" s="245"/>
      <c r="T32" s="245"/>
      <c r="U32" s="245"/>
      <c r="V32" s="245"/>
      <c r="W32" s="245"/>
      <c r="X32" s="245"/>
      <c r="Y32" s="245"/>
      <c r="Z32" s="245"/>
      <c r="AA32" s="245"/>
      <c r="AB32" s="245"/>
      <c r="AC32" s="245"/>
      <c r="AD32" s="245"/>
    </row>
    <row r="33" spans="1:30">
      <c r="A33" s="246" t="s">
        <v>1210</v>
      </c>
      <c r="B33" s="247"/>
      <c r="C33" s="248">
        <f t="shared" ref="C33:AD33" si="4">SUMSQ(C8,C14,C20,C28,C30,C31)^(1/2)</f>
        <v>3.198499648272609E-2</v>
      </c>
      <c r="D33" s="248">
        <f t="shared" si="4"/>
        <v>2.8217902119044926E-2</v>
      </c>
      <c r="E33" s="248">
        <f t="shared" si="4"/>
        <v>2.6832629390352337E-2</v>
      </c>
      <c r="F33" s="248">
        <f t="shared" si="4"/>
        <v>2.4703238654071254E-2</v>
      </c>
      <c r="G33" s="248">
        <f t="shared" si="4"/>
        <v>2.464710936398019E-2</v>
      </c>
      <c r="H33" s="248">
        <f t="shared" si="4"/>
        <v>2.4429081030607761E-2</v>
      </c>
      <c r="I33" s="248">
        <f t="shared" si="4"/>
        <v>2.4246030602966751E-2</v>
      </c>
      <c r="J33" s="248">
        <f t="shared" si="4"/>
        <v>2.4123639858031377E-2</v>
      </c>
      <c r="K33" s="248">
        <f t="shared" si="4"/>
        <v>2.4101244781131122E-2</v>
      </c>
      <c r="L33" s="248">
        <f t="shared" si="4"/>
        <v>2.4092114892636556E-2</v>
      </c>
      <c r="M33" s="248">
        <f t="shared" si="4"/>
        <v>2.4080490028236552E-2</v>
      </c>
      <c r="N33" s="248">
        <f t="shared" si="4"/>
        <v>2.4056184236075348E-2</v>
      </c>
      <c r="O33" s="248">
        <f t="shared" si="4"/>
        <v>2.4059925186916107E-2</v>
      </c>
      <c r="P33" s="248">
        <f t="shared" si="4"/>
        <v>2.4058886092252901E-2</v>
      </c>
      <c r="Q33" s="248">
        <f t="shared" si="4"/>
        <v>2.4058886092252901E-2</v>
      </c>
      <c r="R33" s="248">
        <f t="shared" si="4"/>
        <v>2.4064912216752422E-2</v>
      </c>
      <c r="S33" s="248">
        <f t="shared" si="4"/>
        <v>2.4074052421642681E-2</v>
      </c>
      <c r="T33" s="248">
        <f t="shared" si="4"/>
        <v>2.4082981542990062E-2</v>
      </c>
      <c r="U33" s="248">
        <f t="shared" si="4"/>
        <v>2.4117835723795781E-2</v>
      </c>
      <c r="V33" s="248">
        <f t="shared" si="4"/>
        <v>2.420206602751096E-2</v>
      </c>
      <c r="W33" s="248">
        <f t="shared" si="4"/>
        <v>2.2244999438075966E-2</v>
      </c>
      <c r="X33" s="248">
        <f t="shared" si="4"/>
        <v>2.0675589471645058E-2</v>
      </c>
      <c r="Y33" s="248">
        <f t="shared" si="4"/>
        <v>2.1670256112930459E-2</v>
      </c>
      <c r="Z33" s="248">
        <f t="shared" si="4"/>
        <v>2.4831633051412467E-2</v>
      </c>
      <c r="AA33" s="248">
        <f t="shared" si="4"/>
        <v>2.8376222440627999E-2</v>
      </c>
      <c r="AB33" s="248">
        <f t="shared" si="4"/>
        <v>3.1426078342675849E-2</v>
      </c>
      <c r="AC33" s="248">
        <f t="shared" si="4"/>
        <v>3.1105787242890995E-2</v>
      </c>
      <c r="AD33" s="248">
        <f t="shared" si="4"/>
        <v>4.7767562215377916E-2</v>
      </c>
    </row>
    <row r="34" spans="1:30">
      <c r="A34" s="249" t="s">
        <v>1211</v>
      </c>
      <c r="B34" s="249"/>
      <c r="C34" s="239">
        <v>4.4999999999999997E-3</v>
      </c>
      <c r="D34" s="239">
        <v>4.4999999999999997E-3</v>
      </c>
      <c r="E34" s="239">
        <v>4.4999999999999997E-3</v>
      </c>
      <c r="F34" s="239">
        <v>4.4999999999999997E-3</v>
      </c>
      <c r="G34" s="239">
        <v>4.4999999999999997E-3</v>
      </c>
      <c r="H34" s="239">
        <v>4.4999999999999997E-3</v>
      </c>
      <c r="I34" s="239">
        <v>4.4999999999999997E-3</v>
      </c>
      <c r="J34" s="239">
        <v>4.4999999999999997E-3</v>
      </c>
      <c r="K34" s="239">
        <v>4.4999999999999997E-3</v>
      </c>
      <c r="L34" s="239">
        <v>4.4999999999999997E-3</v>
      </c>
      <c r="M34" s="239">
        <v>4.4999999999999997E-3</v>
      </c>
      <c r="N34" s="239">
        <v>4.4999999999999997E-3</v>
      </c>
      <c r="O34" s="239">
        <v>4.4999999999999997E-3</v>
      </c>
      <c r="P34" s="239">
        <v>4.4999999999999997E-3</v>
      </c>
      <c r="Q34" s="239">
        <v>4.4999999999999997E-3</v>
      </c>
      <c r="R34" s="239">
        <v>5.4000000000000003E-3</v>
      </c>
      <c r="S34" s="239">
        <v>6.1000000000000004E-3</v>
      </c>
      <c r="T34" s="239">
        <v>7.0000000000000001E-3</v>
      </c>
      <c r="U34" s="239">
        <v>8.0000000000000002E-3</v>
      </c>
      <c r="V34" s="239">
        <v>0.01</v>
      </c>
      <c r="W34" s="239">
        <v>1.0999999999999999E-2</v>
      </c>
      <c r="X34" s="239">
        <v>1.2E-2</v>
      </c>
      <c r="Y34" s="239">
        <v>1.4E-2</v>
      </c>
      <c r="Z34" s="239">
        <v>1.9E-2</v>
      </c>
      <c r="AA34" s="239">
        <v>2.1000000000000001E-2</v>
      </c>
      <c r="AB34" s="239">
        <v>2.4E-2</v>
      </c>
      <c r="AC34" s="239">
        <v>2.7E-2</v>
      </c>
      <c r="AD34" s="239">
        <v>3.1E-2</v>
      </c>
    </row>
    <row r="35" spans="1:30">
      <c r="A35" s="241" t="s">
        <v>1212</v>
      </c>
      <c r="B35" s="241"/>
      <c r="C35" s="241">
        <v>3.5999999999999999E-3</v>
      </c>
      <c r="D35" s="241">
        <v>3.5999999999999999E-3</v>
      </c>
      <c r="E35" s="241">
        <v>3.5999999999999999E-3</v>
      </c>
      <c r="F35" s="241">
        <v>3.5999999999999999E-3</v>
      </c>
      <c r="G35" s="241">
        <v>3.5999999999999999E-3</v>
      </c>
      <c r="H35" s="241">
        <v>3.5999999999999999E-3</v>
      </c>
      <c r="I35" s="241">
        <v>3.5999999999999999E-3</v>
      </c>
      <c r="J35" s="241">
        <v>3.5999999999999999E-3</v>
      </c>
      <c r="K35" s="241">
        <v>3.5999999999999999E-3</v>
      </c>
      <c r="L35" s="241">
        <v>3.5999999999999999E-3</v>
      </c>
      <c r="M35" s="241">
        <v>3.5999999999999999E-3</v>
      </c>
      <c r="N35" s="241">
        <v>3.5999999999999999E-3</v>
      </c>
      <c r="O35" s="241">
        <v>3.5999999999999999E-3</v>
      </c>
      <c r="P35" s="241">
        <v>3.5999999999999999E-3</v>
      </c>
      <c r="Q35" s="241">
        <v>3.5999999999999999E-3</v>
      </c>
      <c r="R35" s="241">
        <v>3.5999999999999999E-3</v>
      </c>
      <c r="S35" s="241">
        <v>3.5999999999999999E-3</v>
      </c>
      <c r="T35" s="241">
        <v>3.5999999999999999E-3</v>
      </c>
      <c r="U35" s="241">
        <v>3.5999999999999999E-3</v>
      </c>
      <c r="V35" s="241">
        <v>3.5999999999999999E-3</v>
      </c>
      <c r="W35" s="241">
        <v>3.5999999999999999E-3</v>
      </c>
      <c r="X35" s="241">
        <v>3.5999999999999999E-3</v>
      </c>
      <c r="Y35" s="241">
        <v>3.8999999999999998E-3</v>
      </c>
      <c r="Z35" s="241">
        <v>3.8999999999999998E-3</v>
      </c>
      <c r="AA35" s="241">
        <v>4.1999999999999997E-3</v>
      </c>
      <c r="AB35" s="241">
        <v>4.5999999999999999E-3</v>
      </c>
      <c r="AC35" s="241">
        <v>5.3E-3</v>
      </c>
      <c r="AD35" s="241">
        <v>9.7000000000000003E-3</v>
      </c>
    </row>
    <row r="36" spans="1:30">
      <c r="A36" s="246" t="s">
        <v>1213</v>
      </c>
      <c r="B36" s="247"/>
      <c r="C36" s="248">
        <f>SUMSQ(C33:C35)^(1/2)</f>
        <v>3.2500000000000008E-2</v>
      </c>
      <c r="D36" s="248">
        <f>SUMSQ(D33:D35)^(1/2)</f>
        <v>2.8800347220129138E-2</v>
      </c>
      <c r="E36" s="248">
        <f t="shared" ref="E36:AD36" si="5">SUMSQ(E33:E35)^(1/2)</f>
        <v>2.744448942866309E-2</v>
      </c>
      <c r="F36" s="248">
        <f t="shared" si="5"/>
        <v>2.5366513359151275E-2</v>
      </c>
      <c r="G36" s="248">
        <f t="shared" si="5"/>
        <v>2.5311854930052044E-2</v>
      </c>
      <c r="H36" s="248">
        <f t="shared" si="5"/>
        <v>2.5099601590463542E-2</v>
      </c>
      <c r="I36" s="248">
        <f t="shared" si="5"/>
        <v>2.4921476681769885E-2</v>
      </c>
      <c r="J36" s="248">
        <f t="shared" si="5"/>
        <v>2.4802419236840588E-2</v>
      </c>
      <c r="K36" s="248">
        <f t="shared" si="5"/>
        <v>2.4780637602773666E-2</v>
      </c>
      <c r="L36" s="248">
        <f t="shared" si="5"/>
        <v>2.4771758112818721E-2</v>
      </c>
      <c r="M36" s="248">
        <f t="shared" si="5"/>
        <v>2.4760452338356019E-2</v>
      </c>
      <c r="N36" s="248">
        <f t="shared" si="5"/>
        <v>2.473681466963764E-2</v>
      </c>
      <c r="O36" s="248">
        <f t="shared" si="5"/>
        <v>2.474045270402302E-2</v>
      </c>
      <c r="P36" s="248">
        <f t="shared" si="5"/>
        <v>2.4739442192579852E-2</v>
      </c>
      <c r="Q36" s="248">
        <f t="shared" si="5"/>
        <v>2.4739442192579852E-2</v>
      </c>
      <c r="R36" s="248">
        <f t="shared" si="5"/>
        <v>2.4924686557708204E-2</v>
      </c>
      <c r="S36" s="248">
        <f t="shared" si="5"/>
        <v>2.5094421690885802E-2</v>
      </c>
      <c r="T36" s="248">
        <f t="shared" si="5"/>
        <v>2.5336732228130765E-2</v>
      </c>
      <c r="U36" s="248">
        <f t="shared" si="5"/>
        <v>2.5663787717326528E-2</v>
      </c>
      <c r="V36" s="248">
        <f t="shared" si="5"/>
        <v>2.6432934002868471E-2</v>
      </c>
      <c r="W36" s="248">
        <f t="shared" si="5"/>
        <v>2.5075884829851968E-2</v>
      </c>
      <c r="X36" s="248">
        <f t="shared" si="5"/>
        <v>2.4175193897878047E-2</v>
      </c>
      <c r="Y36" s="248">
        <f t="shared" si="5"/>
        <v>2.6092336039534671E-2</v>
      </c>
      <c r="Z36" s="248">
        <f t="shared" si="5"/>
        <v>3.1509046320064973E-2</v>
      </c>
      <c r="AA36" s="248">
        <f t="shared" si="5"/>
        <v>3.5550668066859165E-2</v>
      </c>
      <c r="AB36" s="248">
        <f t="shared" si="5"/>
        <v>3.9809024102582573E-2</v>
      </c>
      <c r="AC36" s="248">
        <f t="shared" si="5"/>
        <v>4.152902599387566E-2</v>
      </c>
      <c r="AD36" s="248">
        <f t="shared" si="5"/>
        <v>5.7765301003283968E-2</v>
      </c>
    </row>
    <row r="37" spans="1:30">
      <c r="A37" s="250" t="s">
        <v>1214</v>
      </c>
      <c r="B37" s="251"/>
      <c r="C37" s="252">
        <f>C36*2</f>
        <v>6.5000000000000016E-2</v>
      </c>
      <c r="D37" s="252">
        <f>D36*2</f>
        <v>5.7600694440258275E-2</v>
      </c>
      <c r="E37" s="252">
        <f t="shared" ref="E37:AD37" si="6">E36*2</f>
        <v>5.488897885732618E-2</v>
      </c>
      <c r="F37" s="252">
        <f t="shared" si="6"/>
        <v>5.073302671830255E-2</v>
      </c>
      <c r="G37" s="252">
        <f t="shared" si="6"/>
        <v>5.0623709860104088E-2</v>
      </c>
      <c r="H37" s="252">
        <f t="shared" si="6"/>
        <v>5.0199203180927084E-2</v>
      </c>
      <c r="I37" s="252">
        <f t="shared" si="6"/>
        <v>4.984295336353977E-2</v>
      </c>
      <c r="J37" s="252">
        <f t="shared" si="6"/>
        <v>4.9604838473681176E-2</v>
      </c>
      <c r="K37" s="252">
        <f t="shared" si="6"/>
        <v>4.9561275205547331E-2</v>
      </c>
      <c r="L37" s="252">
        <f t="shared" si="6"/>
        <v>4.9543516225637442E-2</v>
      </c>
      <c r="M37" s="252">
        <f t="shared" si="6"/>
        <v>4.9520904676712038E-2</v>
      </c>
      <c r="N37" s="252">
        <f t="shared" si="6"/>
        <v>4.947362933927528E-2</v>
      </c>
      <c r="O37" s="252">
        <f t="shared" si="6"/>
        <v>4.948090540804604E-2</v>
      </c>
      <c r="P37" s="252">
        <f t="shared" si="6"/>
        <v>4.9478884385159703E-2</v>
      </c>
      <c r="Q37" s="252">
        <f t="shared" si="6"/>
        <v>4.9478884385159703E-2</v>
      </c>
      <c r="R37" s="252">
        <f t="shared" si="6"/>
        <v>4.9849373115416408E-2</v>
      </c>
      <c r="S37" s="252">
        <f t="shared" si="6"/>
        <v>5.0188843381771604E-2</v>
      </c>
      <c r="T37" s="252">
        <f t="shared" si="6"/>
        <v>5.067346445626153E-2</v>
      </c>
      <c r="U37" s="252">
        <f t="shared" si="6"/>
        <v>5.1327575434653057E-2</v>
      </c>
      <c r="V37" s="252">
        <f t="shared" si="6"/>
        <v>5.2865868005736942E-2</v>
      </c>
      <c r="W37" s="252">
        <f t="shared" si="6"/>
        <v>5.0151769659703936E-2</v>
      </c>
      <c r="X37" s="252">
        <f t="shared" si="6"/>
        <v>4.8350387795756095E-2</v>
      </c>
      <c r="Y37" s="252">
        <f t="shared" si="6"/>
        <v>5.2184672079069343E-2</v>
      </c>
      <c r="Z37" s="252">
        <f t="shared" si="6"/>
        <v>6.3018092640129947E-2</v>
      </c>
      <c r="AA37" s="252">
        <f t="shared" si="6"/>
        <v>7.1101336133718329E-2</v>
      </c>
      <c r="AB37" s="252">
        <f t="shared" si="6"/>
        <v>7.9618048205165146E-2</v>
      </c>
      <c r="AC37" s="252">
        <f t="shared" si="6"/>
        <v>8.3058051987751319E-2</v>
      </c>
      <c r="AD37" s="252">
        <f t="shared" si="6"/>
        <v>0.11553060200656794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5"/>
  <sheetViews>
    <sheetView workbookViewId="0">
      <selection activeCell="G20" sqref="G20:G21"/>
    </sheetView>
  </sheetViews>
  <sheetFormatPr defaultRowHeight="15"/>
  <cols>
    <col min="1" max="1" width="12.5703125" bestFit="1" customWidth="1"/>
  </cols>
  <sheetData>
    <row r="1" spans="1:20" ht="26.25">
      <c r="A1" s="62" t="s">
        <v>819</v>
      </c>
      <c r="B1" s="62" t="s">
        <v>767</v>
      </c>
    </row>
    <row r="3" spans="1:20" ht="15.75" thickBot="1"/>
    <row r="4" spans="1:20">
      <c r="B4" s="142" t="s">
        <v>820</v>
      </c>
      <c r="C4" s="292" t="s">
        <v>821</v>
      </c>
      <c r="D4" s="292" t="s">
        <v>62</v>
      </c>
      <c r="E4" s="298" t="s">
        <v>822</v>
      </c>
      <c r="F4" s="299"/>
      <c r="G4" s="292" t="s">
        <v>823</v>
      </c>
      <c r="H4" s="292" t="s">
        <v>824</v>
      </c>
      <c r="I4" s="292" t="s">
        <v>825</v>
      </c>
      <c r="J4" s="292" t="s">
        <v>826</v>
      </c>
      <c r="K4" s="292" t="s">
        <v>827</v>
      </c>
      <c r="L4" s="292" t="s">
        <v>828</v>
      </c>
      <c r="M4" s="292" t="s">
        <v>829</v>
      </c>
      <c r="N4" s="143">
        <v>3.15</v>
      </c>
      <c r="O4" s="292" t="s">
        <v>830</v>
      </c>
      <c r="P4" s="292" t="s">
        <v>831</v>
      </c>
      <c r="Q4" s="143">
        <v>6.3</v>
      </c>
      <c r="R4" s="292" t="s">
        <v>832</v>
      </c>
      <c r="S4" s="292" t="s">
        <v>833</v>
      </c>
      <c r="T4" s="143">
        <v>12.5</v>
      </c>
    </row>
    <row r="5" spans="1:20" ht="15.75" thickBot="1">
      <c r="B5" s="144" t="s">
        <v>834</v>
      </c>
      <c r="C5" s="293"/>
      <c r="D5" s="293"/>
      <c r="E5" s="300"/>
      <c r="F5" s="301"/>
      <c r="G5" s="293"/>
      <c r="H5" s="293"/>
      <c r="I5" s="293"/>
      <c r="J5" s="293"/>
      <c r="K5" s="293"/>
      <c r="L5" s="293"/>
      <c r="M5" s="293"/>
      <c r="N5" s="40" t="s">
        <v>763</v>
      </c>
      <c r="O5" s="293"/>
      <c r="P5" s="293"/>
      <c r="Q5" s="40" t="s">
        <v>763</v>
      </c>
      <c r="R5" s="293"/>
      <c r="S5" s="293"/>
      <c r="T5" s="40" t="s">
        <v>763</v>
      </c>
    </row>
    <row r="6" spans="1:20">
      <c r="B6" s="294" t="s">
        <v>835</v>
      </c>
      <c r="C6" s="292" t="s">
        <v>836</v>
      </c>
      <c r="D6" s="292" t="s">
        <v>63</v>
      </c>
      <c r="E6" s="145" t="s">
        <v>772</v>
      </c>
      <c r="F6" s="145" t="s">
        <v>771</v>
      </c>
      <c r="G6" s="296">
        <v>2.0999999999999999E-3</v>
      </c>
      <c r="H6" s="296">
        <v>2.0999999999999999E-3</v>
      </c>
      <c r="I6" s="296">
        <v>2.0999999999999999E-3</v>
      </c>
      <c r="J6" s="296">
        <v>1.6999999999999999E-3</v>
      </c>
      <c r="K6" s="296">
        <v>1.6999999999999999E-3</v>
      </c>
      <c r="L6" s="296">
        <v>1.6999999999999999E-3</v>
      </c>
      <c r="M6" s="296">
        <v>1.6999999999999999E-3</v>
      </c>
      <c r="N6" s="296">
        <v>2E-3</v>
      </c>
      <c r="O6" s="296">
        <v>2E-3</v>
      </c>
      <c r="P6" s="296">
        <v>2E-3</v>
      </c>
      <c r="Q6" s="296">
        <v>2E-3</v>
      </c>
      <c r="R6" s="296">
        <v>2E-3</v>
      </c>
      <c r="S6" s="296">
        <v>2E-3</v>
      </c>
      <c r="T6" s="296">
        <v>2.3E-3</v>
      </c>
    </row>
    <row r="7" spans="1:20" ht="15.75" thickBot="1">
      <c r="B7" s="295"/>
      <c r="C7" s="293"/>
      <c r="D7" s="293"/>
      <c r="E7" s="40" t="s">
        <v>837</v>
      </c>
      <c r="F7" s="40">
        <v>1.6999999999999999E-3</v>
      </c>
      <c r="G7" s="297"/>
      <c r="H7" s="297"/>
      <c r="I7" s="297"/>
      <c r="J7" s="297"/>
      <c r="K7" s="297"/>
      <c r="L7" s="297"/>
      <c r="M7" s="297"/>
      <c r="N7" s="297"/>
      <c r="O7" s="297"/>
      <c r="P7" s="297"/>
      <c r="Q7" s="297"/>
      <c r="R7" s="297"/>
      <c r="S7" s="297"/>
      <c r="T7" s="297"/>
    </row>
    <row r="8" spans="1:20">
      <c r="B8" s="294" t="s">
        <v>71</v>
      </c>
      <c r="C8" s="292" t="s">
        <v>838</v>
      </c>
      <c r="D8" s="292" t="s">
        <v>72</v>
      </c>
      <c r="E8" s="298" t="s">
        <v>839</v>
      </c>
      <c r="F8" s="299"/>
      <c r="G8" s="296">
        <v>0</v>
      </c>
      <c r="H8" s="296">
        <v>0</v>
      </c>
      <c r="I8" s="296">
        <v>0</v>
      </c>
      <c r="J8" s="296">
        <v>0</v>
      </c>
      <c r="K8" s="296">
        <v>0</v>
      </c>
      <c r="L8" s="296">
        <v>0</v>
      </c>
      <c r="M8" s="296">
        <v>0</v>
      </c>
      <c r="N8" s="296">
        <v>0</v>
      </c>
      <c r="O8" s="296">
        <v>0</v>
      </c>
      <c r="P8" s="296">
        <v>0</v>
      </c>
      <c r="Q8" s="296">
        <v>0</v>
      </c>
      <c r="R8" s="296">
        <v>0</v>
      </c>
      <c r="S8" s="296">
        <v>0</v>
      </c>
      <c r="T8" s="296">
        <v>0</v>
      </c>
    </row>
    <row r="9" spans="1:20" ht="15.75" thickBot="1">
      <c r="B9" s="295"/>
      <c r="C9" s="293"/>
      <c r="D9" s="293"/>
      <c r="E9" s="300" t="s">
        <v>840</v>
      </c>
      <c r="F9" s="301"/>
      <c r="G9" s="297"/>
      <c r="H9" s="297"/>
      <c r="I9" s="297"/>
      <c r="J9" s="297"/>
      <c r="K9" s="297"/>
      <c r="L9" s="297"/>
      <c r="M9" s="297"/>
      <c r="N9" s="297"/>
      <c r="O9" s="297"/>
      <c r="P9" s="297"/>
      <c r="Q9" s="297"/>
      <c r="R9" s="297"/>
      <c r="S9" s="297"/>
      <c r="T9" s="297"/>
    </row>
    <row r="10" spans="1:20">
      <c r="B10" s="294" t="s">
        <v>841</v>
      </c>
      <c r="C10" s="292" t="s">
        <v>842</v>
      </c>
      <c r="D10" s="292" t="s">
        <v>843</v>
      </c>
      <c r="E10" s="298" t="s">
        <v>844</v>
      </c>
      <c r="F10" s="299"/>
      <c r="G10" s="296">
        <v>3.7000000000000002E-3</v>
      </c>
      <c r="H10" s="296">
        <v>3.7000000000000002E-3</v>
      </c>
      <c r="I10" s="296">
        <v>3.7000000000000002E-3</v>
      </c>
      <c r="J10" s="296">
        <v>3.7000000000000002E-3</v>
      </c>
      <c r="K10" s="296">
        <v>3.7000000000000002E-3</v>
      </c>
      <c r="L10" s="296">
        <v>3.7000000000000002E-3</v>
      </c>
      <c r="M10" s="296">
        <v>3.7000000000000002E-3</v>
      </c>
      <c r="N10" s="296">
        <v>3.7000000000000002E-3</v>
      </c>
      <c r="O10" s="296">
        <v>3.7000000000000002E-3</v>
      </c>
      <c r="P10" s="296">
        <v>3.7000000000000002E-3</v>
      </c>
      <c r="Q10" s="296">
        <v>3.7000000000000002E-3</v>
      </c>
      <c r="R10" s="296">
        <v>3.7000000000000002E-3</v>
      </c>
      <c r="S10" s="296">
        <v>3.7000000000000002E-3</v>
      </c>
      <c r="T10" s="296">
        <v>3.7000000000000002E-3</v>
      </c>
    </row>
    <row r="11" spans="1:20" ht="15.75" thickBot="1">
      <c r="B11" s="295"/>
      <c r="C11" s="293"/>
      <c r="D11" s="293"/>
      <c r="E11" s="300" t="s">
        <v>845</v>
      </c>
      <c r="F11" s="301"/>
      <c r="G11" s="297"/>
      <c r="H11" s="297"/>
      <c r="I11" s="297"/>
      <c r="J11" s="297"/>
      <c r="K11" s="297"/>
      <c r="L11" s="297"/>
      <c r="M11" s="297"/>
      <c r="N11" s="297"/>
      <c r="O11" s="297"/>
      <c r="P11" s="297"/>
      <c r="Q11" s="297"/>
      <c r="R11" s="297"/>
      <c r="S11" s="297"/>
      <c r="T11" s="297"/>
    </row>
    <row r="12" spans="1:20">
      <c r="B12" s="294" t="s">
        <v>846</v>
      </c>
      <c r="C12" s="292" t="s">
        <v>847</v>
      </c>
      <c r="D12" s="292" t="s">
        <v>761</v>
      </c>
      <c r="E12" s="298" t="s">
        <v>848</v>
      </c>
      <c r="F12" s="299"/>
      <c r="G12" s="296">
        <v>1.5E-3</v>
      </c>
      <c r="H12" s="296">
        <v>1.5E-3</v>
      </c>
      <c r="I12" s="296">
        <v>1.5E-3</v>
      </c>
      <c r="J12" s="296">
        <v>1.5E-3</v>
      </c>
      <c r="K12" s="296">
        <v>1.5E-3</v>
      </c>
      <c r="L12" s="296">
        <v>1.5E-3</v>
      </c>
      <c r="M12" s="296">
        <v>1.5E-3</v>
      </c>
      <c r="N12" s="296">
        <v>1.5E-3</v>
      </c>
      <c r="O12" s="296">
        <v>1.5E-3</v>
      </c>
      <c r="P12" s="296">
        <v>1.5E-3</v>
      </c>
      <c r="Q12" s="296">
        <v>1.5E-3</v>
      </c>
      <c r="R12" s="296">
        <v>1.5E-3</v>
      </c>
      <c r="S12" s="296">
        <v>1.5E-3</v>
      </c>
      <c r="T12" s="296">
        <v>1.5E-3</v>
      </c>
    </row>
    <row r="13" spans="1:20" ht="15.75" thickBot="1">
      <c r="B13" s="295"/>
      <c r="C13" s="293"/>
      <c r="D13" s="293"/>
      <c r="E13" s="300" t="s">
        <v>840</v>
      </c>
      <c r="F13" s="301"/>
      <c r="G13" s="297"/>
      <c r="H13" s="297"/>
      <c r="I13" s="297"/>
      <c r="J13" s="297"/>
      <c r="K13" s="297"/>
      <c r="L13" s="297"/>
      <c r="M13" s="297"/>
      <c r="N13" s="297"/>
      <c r="O13" s="297"/>
      <c r="P13" s="297"/>
      <c r="Q13" s="297"/>
      <c r="R13" s="297"/>
      <c r="S13" s="297"/>
      <c r="T13" s="297"/>
    </row>
    <row r="14" spans="1:20">
      <c r="B14" s="294" t="s">
        <v>849</v>
      </c>
      <c r="C14" s="292" t="s">
        <v>850</v>
      </c>
      <c r="D14" s="292" t="s">
        <v>759</v>
      </c>
      <c r="E14" s="298" t="s">
        <v>851</v>
      </c>
      <c r="F14" s="299"/>
      <c r="G14" s="296">
        <v>1.1000000000000001E-3</v>
      </c>
      <c r="H14" s="296">
        <v>1.1000000000000001E-3</v>
      </c>
      <c r="I14" s="296">
        <v>1.1000000000000001E-3</v>
      </c>
      <c r="J14" s="296">
        <v>1.1000000000000001E-3</v>
      </c>
      <c r="K14" s="296">
        <v>1.1000000000000001E-3</v>
      </c>
      <c r="L14" s="296">
        <v>1.1000000000000001E-3</v>
      </c>
      <c r="M14" s="296">
        <v>1.1000000000000001E-3</v>
      </c>
      <c r="N14" s="296">
        <v>1.1000000000000001E-3</v>
      </c>
      <c r="O14" s="296">
        <v>1.1000000000000001E-3</v>
      </c>
      <c r="P14" s="296">
        <v>1.1000000000000001E-3</v>
      </c>
      <c r="Q14" s="296">
        <v>1.1000000000000001E-3</v>
      </c>
      <c r="R14" s="296">
        <v>1.1000000000000001E-3</v>
      </c>
      <c r="S14" s="296">
        <v>1.1000000000000001E-3</v>
      </c>
      <c r="T14" s="296">
        <v>1.1000000000000001E-3</v>
      </c>
    </row>
    <row r="15" spans="1:20" ht="15.75" thickBot="1">
      <c r="B15" s="295"/>
      <c r="C15" s="293"/>
      <c r="D15" s="293"/>
      <c r="E15" s="300" t="s">
        <v>840</v>
      </c>
      <c r="F15" s="301"/>
      <c r="G15" s="297"/>
      <c r="H15" s="297"/>
      <c r="I15" s="297"/>
      <c r="J15" s="297"/>
      <c r="K15" s="297"/>
      <c r="L15" s="297"/>
      <c r="M15" s="297"/>
      <c r="N15" s="297"/>
      <c r="O15" s="297"/>
      <c r="P15" s="297"/>
      <c r="Q15" s="297"/>
      <c r="R15" s="297"/>
      <c r="S15" s="297"/>
      <c r="T15" s="297"/>
    </row>
    <row r="16" spans="1:20">
      <c r="B16" s="294" t="s">
        <v>852</v>
      </c>
      <c r="C16" s="292" t="s">
        <v>853</v>
      </c>
      <c r="D16" s="292" t="s">
        <v>843</v>
      </c>
      <c r="E16" s="298" t="s">
        <v>854</v>
      </c>
      <c r="F16" s="299"/>
      <c r="G16" s="296">
        <v>3.7400000000000003E-2</v>
      </c>
      <c r="H16" s="296">
        <v>3.7400000000000003E-2</v>
      </c>
      <c r="I16" s="296">
        <v>3.7400000000000003E-2</v>
      </c>
      <c r="J16" s="296">
        <v>3.7400000000000003E-2</v>
      </c>
      <c r="K16" s="296">
        <v>3.7400000000000003E-2</v>
      </c>
      <c r="L16" s="296">
        <v>3.7400000000000003E-2</v>
      </c>
      <c r="M16" s="296">
        <v>3.7400000000000003E-2</v>
      </c>
      <c r="N16" s="296">
        <v>3.7400000000000003E-2</v>
      </c>
      <c r="O16" s="296">
        <v>3.7400000000000003E-2</v>
      </c>
      <c r="P16" s="296">
        <v>3.7400000000000003E-2</v>
      </c>
      <c r="Q16" s="296">
        <v>3.7400000000000003E-2</v>
      </c>
      <c r="R16" s="296">
        <v>3.7400000000000003E-2</v>
      </c>
      <c r="S16" s="296">
        <v>3.7400000000000003E-2</v>
      </c>
      <c r="T16" s="296">
        <v>3.7400000000000003E-2</v>
      </c>
    </row>
    <row r="17" spans="2:20" ht="15.75" thickBot="1">
      <c r="B17" s="295"/>
      <c r="C17" s="293"/>
      <c r="D17" s="293"/>
      <c r="E17" s="300" t="s">
        <v>845</v>
      </c>
      <c r="F17" s="301"/>
      <c r="G17" s="297"/>
      <c r="H17" s="297"/>
      <c r="I17" s="297"/>
      <c r="J17" s="297"/>
      <c r="K17" s="297"/>
      <c r="L17" s="297"/>
      <c r="M17" s="297"/>
      <c r="N17" s="297"/>
      <c r="O17" s="297"/>
      <c r="P17" s="297"/>
      <c r="Q17" s="297"/>
      <c r="R17" s="297"/>
      <c r="S17" s="297"/>
      <c r="T17" s="297"/>
    </row>
    <row r="18" spans="2:20">
      <c r="B18" s="294" t="s">
        <v>846</v>
      </c>
      <c r="C18" s="292" t="s">
        <v>855</v>
      </c>
      <c r="D18" s="292" t="s">
        <v>761</v>
      </c>
      <c r="E18" s="298" t="s">
        <v>848</v>
      </c>
      <c r="F18" s="299"/>
      <c r="G18" s="296">
        <v>1E-4</v>
      </c>
      <c r="H18" s="296">
        <v>1E-4</v>
      </c>
      <c r="I18" s="296">
        <v>1E-4</v>
      </c>
      <c r="J18" s="296">
        <v>1E-4</v>
      </c>
      <c r="K18" s="296">
        <v>1E-4</v>
      </c>
      <c r="L18" s="296">
        <v>1E-4</v>
      </c>
      <c r="M18" s="296">
        <v>1E-4</v>
      </c>
      <c r="N18" s="296">
        <v>1E-4</v>
      </c>
      <c r="O18" s="296">
        <v>1E-4</v>
      </c>
      <c r="P18" s="296">
        <v>1E-4</v>
      </c>
      <c r="Q18" s="296">
        <v>0</v>
      </c>
      <c r="R18" s="296">
        <v>0</v>
      </c>
      <c r="S18" s="296">
        <v>0</v>
      </c>
      <c r="T18" s="296">
        <v>2.0000000000000001E-4</v>
      </c>
    </row>
    <row r="19" spans="2:20" ht="15.75" thickBot="1">
      <c r="B19" s="295"/>
      <c r="C19" s="293"/>
      <c r="D19" s="293"/>
      <c r="E19" s="300" t="s">
        <v>840</v>
      </c>
      <c r="F19" s="301"/>
      <c r="G19" s="297"/>
      <c r="H19" s="297"/>
      <c r="I19" s="297"/>
      <c r="J19" s="297"/>
      <c r="K19" s="297"/>
      <c r="L19" s="297"/>
      <c r="M19" s="297"/>
      <c r="N19" s="297"/>
      <c r="O19" s="297"/>
      <c r="P19" s="297"/>
      <c r="Q19" s="297"/>
      <c r="R19" s="297"/>
      <c r="S19" s="297"/>
      <c r="T19" s="297"/>
    </row>
    <row r="20" spans="2:20">
      <c r="B20" s="294" t="s">
        <v>765</v>
      </c>
      <c r="C20" s="292" t="s">
        <v>856</v>
      </c>
      <c r="D20" s="292" t="s">
        <v>479</v>
      </c>
      <c r="E20" s="298" t="s">
        <v>857</v>
      </c>
      <c r="F20" s="299"/>
      <c r="G20" s="296">
        <v>2.0000000000000001E-4</v>
      </c>
      <c r="H20" s="296">
        <v>1E-4</v>
      </c>
      <c r="I20" s="296">
        <v>1E-4</v>
      </c>
      <c r="J20" s="296">
        <v>1E-4</v>
      </c>
      <c r="K20" s="296">
        <v>1E-4</v>
      </c>
      <c r="L20" s="296">
        <v>2.0000000000000001E-4</v>
      </c>
      <c r="M20" s="296">
        <v>5.9999999999999995E-4</v>
      </c>
      <c r="N20" s="296">
        <v>1.6000000000000001E-3</v>
      </c>
      <c r="O20" s="296">
        <v>2.3E-3</v>
      </c>
      <c r="P20" s="296">
        <v>3.8999999999999998E-3</v>
      </c>
      <c r="Q20" s="296">
        <v>6.1000000000000004E-3</v>
      </c>
      <c r="R20" s="296">
        <v>9.7000000000000003E-3</v>
      </c>
      <c r="S20" s="296">
        <v>1.67E-2</v>
      </c>
      <c r="T20" s="296">
        <v>3.9300000000000002E-2</v>
      </c>
    </row>
    <row r="21" spans="2:20" ht="15.75" thickBot="1">
      <c r="B21" s="295"/>
      <c r="C21" s="293"/>
      <c r="D21" s="293"/>
      <c r="E21" s="300" t="s">
        <v>840</v>
      </c>
      <c r="F21" s="301"/>
      <c r="G21" s="297"/>
      <c r="H21" s="297"/>
      <c r="I21" s="297"/>
      <c r="J21" s="297"/>
      <c r="K21" s="297"/>
      <c r="L21" s="297"/>
      <c r="M21" s="297"/>
      <c r="N21" s="297"/>
      <c r="O21" s="297"/>
      <c r="P21" s="297"/>
      <c r="Q21" s="297"/>
      <c r="R21" s="297"/>
      <c r="S21" s="297"/>
      <c r="T21" s="297"/>
    </row>
    <row r="22" spans="2:20">
      <c r="B22" s="294" t="s">
        <v>858</v>
      </c>
      <c r="C22" s="292" t="s">
        <v>859</v>
      </c>
      <c r="D22" s="292" t="s">
        <v>762</v>
      </c>
      <c r="E22" s="302">
        <v>3.424E-2</v>
      </c>
      <c r="F22" s="303"/>
      <c r="G22" s="296">
        <v>2.0000000000000001E-4</v>
      </c>
      <c r="H22" s="296">
        <v>2.0000000000000001E-4</v>
      </c>
      <c r="I22" s="296">
        <v>2.0000000000000001E-4</v>
      </c>
      <c r="J22" s="296">
        <v>2.0000000000000001E-4</v>
      </c>
      <c r="K22" s="296">
        <v>2.0000000000000001E-4</v>
      </c>
      <c r="L22" s="296">
        <v>2.0000000000000001E-4</v>
      </c>
      <c r="M22" s="296">
        <v>2.0000000000000001E-4</v>
      </c>
      <c r="N22" s="296">
        <v>2.9999999999999997E-4</v>
      </c>
      <c r="O22" s="296">
        <v>4.0000000000000002E-4</v>
      </c>
      <c r="P22" s="296">
        <v>5.0000000000000001E-4</v>
      </c>
      <c r="Q22" s="296">
        <v>6.9999999999999999E-4</v>
      </c>
      <c r="R22" s="296">
        <v>1E-3</v>
      </c>
      <c r="S22" s="296">
        <v>1.5E-3</v>
      </c>
      <c r="T22" s="296">
        <v>3.3E-3</v>
      </c>
    </row>
    <row r="23" spans="2:20" ht="15.75" thickBot="1">
      <c r="B23" s="295"/>
      <c r="C23" s="293"/>
      <c r="D23" s="293"/>
      <c r="E23" s="300" t="s">
        <v>840</v>
      </c>
      <c r="F23" s="301"/>
      <c r="G23" s="297"/>
      <c r="H23" s="297"/>
      <c r="I23" s="297"/>
      <c r="J23" s="297"/>
      <c r="K23" s="297"/>
      <c r="L23" s="297"/>
      <c r="M23" s="297"/>
      <c r="N23" s="297"/>
      <c r="O23" s="297"/>
      <c r="P23" s="297"/>
      <c r="Q23" s="297"/>
      <c r="R23" s="297"/>
      <c r="S23" s="297"/>
      <c r="T23" s="297"/>
    </row>
    <row r="24" spans="2:20">
      <c r="B24" s="294" t="s">
        <v>860</v>
      </c>
      <c r="C24" s="292" t="s">
        <v>861</v>
      </c>
      <c r="D24" s="292" t="s">
        <v>760</v>
      </c>
      <c r="E24" s="298" t="s">
        <v>862</v>
      </c>
      <c r="F24" s="299"/>
      <c r="G24" s="296">
        <v>5.9999999999999995E-4</v>
      </c>
      <c r="H24" s="296">
        <v>4.0000000000000002E-4</v>
      </c>
      <c r="I24" s="296">
        <v>2.9999999999999997E-4</v>
      </c>
      <c r="J24" s="296">
        <v>2.0000000000000001E-4</v>
      </c>
      <c r="K24" s="296">
        <v>4.0000000000000002E-4</v>
      </c>
      <c r="L24" s="296">
        <v>8.9999999999999998E-4</v>
      </c>
      <c r="M24" s="296">
        <v>3.0000000000000001E-3</v>
      </c>
      <c r="N24" s="296">
        <v>7.6E-3</v>
      </c>
      <c r="O24" s="296">
        <v>1.2200000000000001E-2</v>
      </c>
      <c r="P24" s="296">
        <v>1.9599999999999999E-2</v>
      </c>
      <c r="Q24" s="296">
        <v>3.1099999999999999E-2</v>
      </c>
      <c r="R24" s="296">
        <v>4.9500000000000002E-2</v>
      </c>
      <c r="S24" s="296">
        <v>8.6400000000000005E-2</v>
      </c>
      <c r="T24" s="296">
        <v>0.20230000000000001</v>
      </c>
    </row>
    <row r="25" spans="2:20" ht="15.75" thickBot="1">
      <c r="B25" s="295"/>
      <c r="C25" s="293"/>
      <c r="D25" s="293"/>
      <c r="E25" s="300" t="s">
        <v>845</v>
      </c>
      <c r="F25" s="301"/>
      <c r="G25" s="297"/>
      <c r="H25" s="297"/>
      <c r="I25" s="297"/>
      <c r="J25" s="297"/>
      <c r="K25" s="297"/>
      <c r="L25" s="297"/>
      <c r="M25" s="297"/>
      <c r="N25" s="297"/>
      <c r="O25" s="297"/>
      <c r="P25" s="297"/>
      <c r="Q25" s="297"/>
      <c r="R25" s="297"/>
      <c r="S25" s="297"/>
      <c r="T25" s="297"/>
    </row>
    <row r="26" spans="2:20">
      <c r="B26" s="294" t="s">
        <v>74</v>
      </c>
      <c r="C26" s="292" t="s">
        <v>863</v>
      </c>
      <c r="D26" s="292" t="s">
        <v>63</v>
      </c>
      <c r="E26" s="298" t="s">
        <v>864</v>
      </c>
      <c r="F26" s="299"/>
      <c r="G26" s="296">
        <v>0.02</v>
      </c>
      <c r="H26" s="296">
        <v>0.01</v>
      </c>
      <c r="I26" s="296">
        <v>0.01</v>
      </c>
      <c r="J26" s="296">
        <v>0.01</v>
      </c>
      <c r="K26" s="296">
        <v>0.01</v>
      </c>
      <c r="L26" s="296">
        <v>0.01</v>
      </c>
      <c r="M26" s="296">
        <v>0.01</v>
      </c>
      <c r="N26" s="296">
        <v>0.01</v>
      </c>
      <c r="O26" s="296">
        <v>1.4999999999999999E-2</v>
      </c>
      <c r="P26" s="296">
        <v>1.4999999999999999E-2</v>
      </c>
      <c r="Q26" s="296">
        <v>1.4999999999999999E-2</v>
      </c>
      <c r="R26" s="296">
        <v>0.02</v>
      </c>
      <c r="S26" s="296">
        <v>2.5000000000000001E-2</v>
      </c>
      <c r="T26" s="296">
        <v>0.03</v>
      </c>
    </row>
    <row r="27" spans="2:20" ht="15.75" thickBot="1">
      <c r="B27" s="295"/>
      <c r="C27" s="293"/>
      <c r="D27" s="293"/>
      <c r="E27" s="300"/>
      <c r="F27" s="301"/>
      <c r="G27" s="297"/>
      <c r="H27" s="297"/>
      <c r="I27" s="297"/>
      <c r="J27" s="297"/>
      <c r="K27" s="297"/>
      <c r="L27" s="297"/>
      <c r="M27" s="297"/>
      <c r="N27" s="297"/>
      <c r="O27" s="297"/>
      <c r="P27" s="297"/>
      <c r="Q27" s="297"/>
      <c r="R27" s="297"/>
      <c r="S27" s="297"/>
      <c r="T27" s="297"/>
    </row>
    <row r="28" spans="2:20">
      <c r="B28" s="294" t="s">
        <v>865</v>
      </c>
      <c r="C28" s="292" t="s">
        <v>863</v>
      </c>
      <c r="D28" s="292" t="s">
        <v>63</v>
      </c>
      <c r="E28" s="298">
        <v>1E-3</v>
      </c>
      <c r="F28" s="299"/>
      <c r="G28" s="296">
        <v>5.9999999999999995E-4</v>
      </c>
      <c r="H28" s="296">
        <v>5.9999999999999995E-4</v>
      </c>
      <c r="I28" s="296">
        <v>5.9999999999999995E-4</v>
      </c>
      <c r="J28" s="296">
        <v>5.9999999999999995E-4</v>
      </c>
      <c r="K28" s="296">
        <v>5.9999999999999995E-4</v>
      </c>
      <c r="L28" s="296">
        <v>5.9999999999999995E-4</v>
      </c>
      <c r="M28" s="296">
        <v>5.9999999999999995E-4</v>
      </c>
      <c r="N28" s="296">
        <v>5.9999999999999995E-4</v>
      </c>
      <c r="O28" s="296">
        <v>5.9999999999999995E-4</v>
      </c>
      <c r="P28" s="296">
        <v>5.9999999999999995E-4</v>
      </c>
      <c r="Q28" s="296">
        <v>5.9999999999999995E-4</v>
      </c>
      <c r="R28" s="296">
        <v>5.9999999999999995E-4</v>
      </c>
      <c r="S28" s="296">
        <v>5.9999999999999995E-4</v>
      </c>
      <c r="T28" s="296">
        <v>5.9999999999999995E-4</v>
      </c>
    </row>
    <row r="29" spans="2:20" ht="15.75" thickBot="1">
      <c r="B29" s="295"/>
      <c r="C29" s="293"/>
      <c r="D29" s="293"/>
      <c r="E29" s="300" t="s">
        <v>845</v>
      </c>
      <c r="F29" s="301"/>
      <c r="G29" s="297"/>
      <c r="H29" s="297"/>
      <c r="I29" s="297"/>
      <c r="J29" s="297"/>
      <c r="K29" s="297"/>
      <c r="L29" s="297"/>
      <c r="M29" s="297"/>
      <c r="N29" s="297"/>
      <c r="O29" s="297"/>
      <c r="P29" s="297"/>
      <c r="Q29" s="297"/>
      <c r="R29" s="297"/>
      <c r="S29" s="297"/>
      <c r="T29" s="297"/>
    </row>
    <row r="30" spans="2:20">
      <c r="B30" s="298" t="s">
        <v>866</v>
      </c>
      <c r="C30" s="304"/>
      <c r="D30" s="304"/>
      <c r="E30" s="304"/>
      <c r="F30" s="299"/>
      <c r="G30" s="296">
        <v>4.2700000000000002E-2</v>
      </c>
      <c r="H30" s="296">
        <v>3.9E-2</v>
      </c>
      <c r="I30" s="296">
        <v>3.9E-2</v>
      </c>
      <c r="J30" s="296">
        <v>3.9E-2</v>
      </c>
      <c r="K30" s="296">
        <v>3.9E-2</v>
      </c>
      <c r="L30" s="296">
        <v>3.9E-2</v>
      </c>
      <c r="M30" s="296">
        <v>3.9100000000000003E-2</v>
      </c>
      <c r="N30" s="296">
        <v>3.9800000000000002E-2</v>
      </c>
      <c r="O30" s="296">
        <v>4.2500000000000003E-2</v>
      </c>
      <c r="P30" s="296">
        <v>4.5199999999999997E-2</v>
      </c>
      <c r="Q30" s="296">
        <v>5.1499999999999997E-2</v>
      </c>
      <c r="R30" s="296">
        <v>6.6100000000000006E-2</v>
      </c>
      <c r="S30" s="296">
        <v>9.9000000000000005E-2</v>
      </c>
      <c r="T30" s="296">
        <v>0.2117</v>
      </c>
    </row>
    <row r="31" spans="2:20" ht="15.75" thickBot="1">
      <c r="B31" s="300"/>
      <c r="C31" s="305"/>
      <c r="D31" s="305"/>
      <c r="E31" s="305"/>
      <c r="F31" s="301"/>
      <c r="G31" s="297"/>
      <c r="H31" s="297"/>
      <c r="I31" s="297"/>
      <c r="J31" s="297"/>
      <c r="K31" s="297"/>
      <c r="L31" s="297"/>
      <c r="M31" s="297"/>
      <c r="N31" s="297"/>
      <c r="O31" s="297"/>
      <c r="P31" s="297"/>
      <c r="Q31" s="297"/>
      <c r="R31" s="297"/>
      <c r="S31" s="297"/>
      <c r="T31" s="297"/>
    </row>
    <row r="32" spans="2:20">
      <c r="B32" s="298" t="s">
        <v>867</v>
      </c>
      <c r="C32" s="304"/>
      <c r="D32" s="304"/>
      <c r="E32" s="304"/>
      <c r="F32" s="299"/>
      <c r="G32" s="296">
        <v>8.5400000000000004E-2</v>
      </c>
      <c r="H32" s="296">
        <v>7.8E-2</v>
      </c>
      <c r="I32" s="296">
        <v>7.8E-2</v>
      </c>
      <c r="J32" s="296">
        <v>7.8E-2</v>
      </c>
      <c r="K32" s="296">
        <v>7.8E-2</v>
      </c>
      <c r="L32" s="296">
        <v>7.8E-2</v>
      </c>
      <c r="M32" s="296">
        <v>7.8200000000000006E-2</v>
      </c>
      <c r="N32" s="296">
        <v>7.9500000000000001E-2</v>
      </c>
      <c r="O32" s="296">
        <v>8.4900000000000003E-2</v>
      </c>
      <c r="P32" s="296">
        <v>9.0399999999999994E-2</v>
      </c>
      <c r="Q32" s="296">
        <v>0.10299999999999999</v>
      </c>
      <c r="R32" s="296">
        <v>0.1321</v>
      </c>
      <c r="S32" s="296">
        <v>0.19789999999999999</v>
      </c>
      <c r="T32" s="296">
        <v>0.42330000000000001</v>
      </c>
    </row>
    <row r="33" spans="2:20" ht="15.75" thickBot="1">
      <c r="B33" s="300"/>
      <c r="C33" s="305"/>
      <c r="D33" s="305"/>
      <c r="E33" s="305"/>
      <c r="F33" s="301"/>
      <c r="G33" s="297"/>
      <c r="H33" s="297"/>
      <c r="I33" s="297"/>
      <c r="J33" s="297"/>
      <c r="K33" s="297"/>
      <c r="L33" s="297"/>
      <c r="M33" s="297"/>
      <c r="N33" s="297"/>
      <c r="O33" s="297"/>
      <c r="P33" s="297"/>
      <c r="Q33" s="297"/>
      <c r="R33" s="297"/>
      <c r="S33" s="297"/>
      <c r="T33" s="297"/>
    </row>
    <row r="34" spans="2:20">
      <c r="B34" s="298" t="s">
        <v>868</v>
      </c>
      <c r="C34" s="304"/>
      <c r="D34" s="304"/>
      <c r="E34" s="304"/>
      <c r="F34" s="299"/>
      <c r="G34" s="306">
        <v>0.09</v>
      </c>
      <c r="H34" s="306">
        <v>0.08</v>
      </c>
      <c r="I34" s="306">
        <v>0.08</v>
      </c>
      <c r="J34" s="306">
        <v>0.08</v>
      </c>
      <c r="K34" s="306">
        <v>0.08</v>
      </c>
      <c r="L34" s="306">
        <v>0.08</v>
      </c>
      <c r="M34" s="306">
        <v>0.08</v>
      </c>
      <c r="N34" s="306">
        <v>0.08</v>
      </c>
      <c r="O34" s="306">
        <v>0.09</v>
      </c>
      <c r="P34" s="306">
        <v>0.1</v>
      </c>
      <c r="Q34" s="306">
        <v>0.11</v>
      </c>
      <c r="R34" s="306">
        <v>0.14000000000000001</v>
      </c>
      <c r="S34" s="306">
        <v>0.2</v>
      </c>
      <c r="T34" s="306">
        <v>0.43</v>
      </c>
    </row>
    <row r="35" spans="2:20" ht="15.75" thickBot="1">
      <c r="B35" s="300"/>
      <c r="C35" s="305"/>
      <c r="D35" s="305"/>
      <c r="E35" s="305"/>
      <c r="F35" s="301"/>
      <c r="G35" s="307"/>
      <c r="H35" s="307"/>
      <c r="I35" s="307"/>
      <c r="J35" s="307"/>
      <c r="K35" s="307"/>
      <c r="L35" s="307"/>
      <c r="M35" s="307"/>
      <c r="N35" s="307"/>
      <c r="O35" s="307"/>
      <c r="P35" s="307"/>
      <c r="Q35" s="307"/>
      <c r="R35" s="307"/>
      <c r="S35" s="307"/>
      <c r="T35" s="307"/>
    </row>
  </sheetData>
  <mergeCells count="284">
    <mergeCell ref="T34:T35"/>
    <mergeCell ref="N34:N35"/>
    <mergeCell ref="O34:O35"/>
    <mergeCell ref="P34:P35"/>
    <mergeCell ref="Q34:Q35"/>
    <mergeCell ref="R34:R35"/>
    <mergeCell ref="S34:S35"/>
    <mergeCell ref="S32:S33"/>
    <mergeCell ref="T32:T33"/>
    <mergeCell ref="N32:N33"/>
    <mergeCell ref="O32:O33"/>
    <mergeCell ref="P32:P33"/>
    <mergeCell ref="Q32:Q33"/>
    <mergeCell ref="R32:R33"/>
    <mergeCell ref="B34:F35"/>
    <mergeCell ref="G34:G35"/>
    <mergeCell ref="H34:H35"/>
    <mergeCell ref="I34:I35"/>
    <mergeCell ref="J34:J35"/>
    <mergeCell ref="K34:K35"/>
    <mergeCell ref="L34:L35"/>
    <mergeCell ref="M34:M35"/>
    <mergeCell ref="M32:M33"/>
    <mergeCell ref="R30:R31"/>
    <mergeCell ref="S30:S31"/>
    <mergeCell ref="T30:T31"/>
    <mergeCell ref="B32:F33"/>
    <mergeCell ref="G32:G33"/>
    <mergeCell ref="H32:H33"/>
    <mergeCell ref="I32:I33"/>
    <mergeCell ref="J32:J33"/>
    <mergeCell ref="K32:K33"/>
    <mergeCell ref="L32:L33"/>
    <mergeCell ref="L30:L31"/>
    <mergeCell ref="M30:M31"/>
    <mergeCell ref="N30:N31"/>
    <mergeCell ref="O30:O31"/>
    <mergeCell ref="P30:P31"/>
    <mergeCell ref="Q30:Q31"/>
    <mergeCell ref="B30:F31"/>
    <mergeCell ref="G30:G31"/>
    <mergeCell ref="H30:H31"/>
    <mergeCell ref="I30:I31"/>
    <mergeCell ref="J30:J31"/>
    <mergeCell ref="K30:K31"/>
    <mergeCell ref="Q28:Q29"/>
    <mergeCell ref="R28:R29"/>
    <mergeCell ref="S28:S29"/>
    <mergeCell ref="T28:T29"/>
    <mergeCell ref="I28:I29"/>
    <mergeCell ref="J28:J29"/>
    <mergeCell ref="K28:K29"/>
    <mergeCell ref="L28:L29"/>
    <mergeCell ref="M28:M29"/>
    <mergeCell ref="N28:N29"/>
    <mergeCell ref="B28:B29"/>
    <mergeCell ref="C28:C29"/>
    <mergeCell ref="D28:D29"/>
    <mergeCell ref="E28:F28"/>
    <mergeCell ref="G28:G29"/>
    <mergeCell ref="H28:H29"/>
    <mergeCell ref="E29:F29"/>
    <mergeCell ref="O26:O27"/>
    <mergeCell ref="P26:P27"/>
    <mergeCell ref="B26:B27"/>
    <mergeCell ref="C26:C27"/>
    <mergeCell ref="D26:D27"/>
    <mergeCell ref="E26:F27"/>
    <mergeCell ref="G26:G27"/>
    <mergeCell ref="H26:H27"/>
    <mergeCell ref="O28:O29"/>
    <mergeCell ref="P28:P29"/>
    <mergeCell ref="Q26:Q27"/>
    <mergeCell ref="R26:R27"/>
    <mergeCell ref="S26:S27"/>
    <mergeCell ref="T26:T27"/>
    <mergeCell ref="I26:I27"/>
    <mergeCell ref="J26:J27"/>
    <mergeCell ref="K26:K27"/>
    <mergeCell ref="L26:L27"/>
    <mergeCell ref="M26:M27"/>
    <mergeCell ref="N26:N27"/>
    <mergeCell ref="Q24:Q25"/>
    <mergeCell ref="R24:R25"/>
    <mergeCell ref="S24:S25"/>
    <mergeCell ref="T24:T25"/>
    <mergeCell ref="I24:I25"/>
    <mergeCell ref="J24:J25"/>
    <mergeCell ref="K24:K25"/>
    <mergeCell ref="L24:L25"/>
    <mergeCell ref="M24:M25"/>
    <mergeCell ref="N24:N25"/>
    <mergeCell ref="B24:B25"/>
    <mergeCell ref="C24:C25"/>
    <mergeCell ref="D24:D25"/>
    <mergeCell ref="E24:F24"/>
    <mergeCell ref="G24:G25"/>
    <mergeCell ref="H24:H25"/>
    <mergeCell ref="E25:F25"/>
    <mergeCell ref="O22:O23"/>
    <mergeCell ref="P22:P23"/>
    <mergeCell ref="B22:B23"/>
    <mergeCell ref="C22:C23"/>
    <mergeCell ref="D22:D23"/>
    <mergeCell ref="E22:F22"/>
    <mergeCell ref="G22:G23"/>
    <mergeCell ref="H22:H23"/>
    <mergeCell ref="E23:F23"/>
    <mergeCell ref="O24:O25"/>
    <mergeCell ref="P24:P25"/>
    <mergeCell ref="Q22:Q23"/>
    <mergeCell ref="R22:R23"/>
    <mergeCell ref="S22:S23"/>
    <mergeCell ref="T22:T23"/>
    <mergeCell ref="I22:I23"/>
    <mergeCell ref="J22:J23"/>
    <mergeCell ref="K22:K23"/>
    <mergeCell ref="L22:L23"/>
    <mergeCell ref="M22:M23"/>
    <mergeCell ref="N22:N23"/>
    <mergeCell ref="Q20:Q21"/>
    <mergeCell ref="R20:R21"/>
    <mergeCell ref="S20:S21"/>
    <mergeCell ref="T20:T21"/>
    <mergeCell ref="I20:I21"/>
    <mergeCell ref="J20:J21"/>
    <mergeCell ref="K20:K21"/>
    <mergeCell ref="L20:L21"/>
    <mergeCell ref="M20:M21"/>
    <mergeCell ref="N20:N21"/>
    <mergeCell ref="B20:B21"/>
    <mergeCell ref="C20:C21"/>
    <mergeCell ref="D20:D21"/>
    <mergeCell ref="E20:F20"/>
    <mergeCell ref="G20:G21"/>
    <mergeCell ref="H20:H21"/>
    <mergeCell ref="E21:F21"/>
    <mergeCell ref="O18:O19"/>
    <mergeCell ref="P18:P19"/>
    <mergeCell ref="B18:B19"/>
    <mergeCell ref="C18:C19"/>
    <mergeCell ref="D18:D19"/>
    <mergeCell ref="E18:F18"/>
    <mergeCell ref="G18:G19"/>
    <mergeCell ref="H18:H19"/>
    <mergeCell ref="E19:F19"/>
    <mergeCell ref="O20:O21"/>
    <mergeCell ref="P20:P21"/>
    <mergeCell ref="Q18:Q19"/>
    <mergeCell ref="R18:R19"/>
    <mergeCell ref="S18:S19"/>
    <mergeCell ref="T18:T19"/>
    <mergeCell ref="I18:I19"/>
    <mergeCell ref="J18:J19"/>
    <mergeCell ref="K18:K19"/>
    <mergeCell ref="L18:L19"/>
    <mergeCell ref="M18:M19"/>
    <mergeCell ref="N18:N19"/>
    <mergeCell ref="Q16:Q17"/>
    <mergeCell ref="R16:R17"/>
    <mergeCell ref="S16:S17"/>
    <mergeCell ref="T16:T17"/>
    <mergeCell ref="I16:I17"/>
    <mergeCell ref="J16:J17"/>
    <mergeCell ref="K16:K17"/>
    <mergeCell ref="L16:L17"/>
    <mergeCell ref="M16:M17"/>
    <mergeCell ref="N16:N17"/>
    <mergeCell ref="B16:B17"/>
    <mergeCell ref="C16:C17"/>
    <mergeCell ref="D16:D17"/>
    <mergeCell ref="E16:F16"/>
    <mergeCell ref="G16:G17"/>
    <mergeCell ref="H16:H17"/>
    <mergeCell ref="E17:F17"/>
    <mergeCell ref="O14:O15"/>
    <mergeCell ref="P14:P15"/>
    <mergeCell ref="B14:B15"/>
    <mergeCell ref="C14:C15"/>
    <mergeCell ref="D14:D15"/>
    <mergeCell ref="E14:F14"/>
    <mergeCell ref="G14:G15"/>
    <mergeCell ref="H14:H15"/>
    <mergeCell ref="E15:F15"/>
    <mergeCell ref="O16:O17"/>
    <mergeCell ref="P16:P17"/>
    <mergeCell ref="Q14:Q15"/>
    <mergeCell ref="R14:R15"/>
    <mergeCell ref="S14:S15"/>
    <mergeCell ref="T14:T15"/>
    <mergeCell ref="I14:I15"/>
    <mergeCell ref="J14:J15"/>
    <mergeCell ref="K14:K15"/>
    <mergeCell ref="L14:L15"/>
    <mergeCell ref="M14:M15"/>
    <mergeCell ref="N14:N15"/>
    <mergeCell ref="Q12:Q13"/>
    <mergeCell ref="R12:R13"/>
    <mergeCell ref="S12:S13"/>
    <mergeCell ref="T12:T13"/>
    <mergeCell ref="I12:I13"/>
    <mergeCell ref="J12:J13"/>
    <mergeCell ref="K12:K13"/>
    <mergeCell ref="L12:L13"/>
    <mergeCell ref="M12:M13"/>
    <mergeCell ref="N12:N13"/>
    <mergeCell ref="B12:B13"/>
    <mergeCell ref="C12:C13"/>
    <mergeCell ref="D12:D13"/>
    <mergeCell ref="E12:F12"/>
    <mergeCell ref="G12:G13"/>
    <mergeCell ref="H12:H13"/>
    <mergeCell ref="E13:F13"/>
    <mergeCell ref="O10:O11"/>
    <mergeCell ref="P10:P11"/>
    <mergeCell ref="B10:B11"/>
    <mergeCell ref="C10:C11"/>
    <mergeCell ref="D10:D11"/>
    <mergeCell ref="E10:F10"/>
    <mergeCell ref="G10:G11"/>
    <mergeCell ref="H10:H11"/>
    <mergeCell ref="E11:F11"/>
    <mergeCell ref="O12:O13"/>
    <mergeCell ref="P12:P13"/>
    <mergeCell ref="N8:N9"/>
    <mergeCell ref="O8:O9"/>
    <mergeCell ref="Q10:Q11"/>
    <mergeCell ref="R10:R11"/>
    <mergeCell ref="S10:S11"/>
    <mergeCell ref="T10:T11"/>
    <mergeCell ref="I10:I11"/>
    <mergeCell ref="J10:J11"/>
    <mergeCell ref="K10:K11"/>
    <mergeCell ref="L10:L11"/>
    <mergeCell ref="M10:M11"/>
    <mergeCell ref="N10:N11"/>
    <mergeCell ref="T6:T7"/>
    <mergeCell ref="B8:B9"/>
    <mergeCell ref="C8:C9"/>
    <mergeCell ref="D8:D9"/>
    <mergeCell ref="E8:F8"/>
    <mergeCell ref="G8:G9"/>
    <mergeCell ref="H8:H9"/>
    <mergeCell ref="I8:I9"/>
    <mergeCell ref="L6:L7"/>
    <mergeCell ref="M6:M7"/>
    <mergeCell ref="N6:N7"/>
    <mergeCell ref="O6:O7"/>
    <mergeCell ref="P6:P7"/>
    <mergeCell ref="Q6:Q7"/>
    <mergeCell ref="P8:P9"/>
    <mergeCell ref="Q8:Q9"/>
    <mergeCell ref="R8:R9"/>
    <mergeCell ref="S8:S9"/>
    <mergeCell ref="T8:T9"/>
    <mergeCell ref="E9:F9"/>
    <mergeCell ref="J8:J9"/>
    <mergeCell ref="K8:K9"/>
    <mergeCell ref="L8:L9"/>
    <mergeCell ref="M8:M9"/>
    <mergeCell ref="R4:R5"/>
    <mergeCell ref="S4:S5"/>
    <mergeCell ref="B6:B7"/>
    <mergeCell ref="C6:C7"/>
    <mergeCell ref="D6:D7"/>
    <mergeCell ref="G6:G7"/>
    <mergeCell ref="H6:H7"/>
    <mergeCell ref="I6:I7"/>
    <mergeCell ref="J6:J7"/>
    <mergeCell ref="K6:K7"/>
    <mergeCell ref="J4:J5"/>
    <mergeCell ref="K4:K5"/>
    <mergeCell ref="L4:L5"/>
    <mergeCell ref="M4:M5"/>
    <mergeCell ref="O4:O5"/>
    <mergeCell ref="P4:P5"/>
    <mergeCell ref="C4:C5"/>
    <mergeCell ref="D4:D5"/>
    <mergeCell ref="E4:F5"/>
    <mergeCell ref="G4:G5"/>
    <mergeCell ref="H4:H5"/>
    <mergeCell ref="I4:I5"/>
    <mergeCell ref="R6:R7"/>
    <mergeCell ref="S6:S7"/>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23"/>
  <sheetViews>
    <sheetView workbookViewId="0">
      <selection sqref="A1:B1"/>
    </sheetView>
  </sheetViews>
  <sheetFormatPr defaultColWidth="11.42578125" defaultRowHeight="15"/>
  <cols>
    <col min="1" max="1" width="13" bestFit="1" customWidth="1"/>
    <col min="2" max="2" width="11.42578125" customWidth="1"/>
  </cols>
  <sheetData>
    <row r="1" spans="1:30" ht="27" thickBot="1">
      <c r="A1" s="62" t="s">
        <v>966</v>
      </c>
      <c r="B1" s="62" t="s">
        <v>767</v>
      </c>
    </row>
    <row r="2" spans="1:30" ht="16.5" thickTop="1" thickBot="1">
      <c r="X2" s="154"/>
      <c r="Y2" s="308" t="s">
        <v>940</v>
      </c>
      <c r="Z2" s="309"/>
      <c r="AA2" s="308" t="s">
        <v>941</v>
      </c>
      <c r="AB2" s="309"/>
      <c r="AC2" s="308" t="s">
        <v>942</v>
      </c>
      <c r="AD2" s="309"/>
    </row>
    <row r="3" spans="1:30" ht="16.5" thickTop="1" thickBot="1">
      <c r="A3" t="s">
        <v>943</v>
      </c>
      <c r="B3" t="s">
        <v>944</v>
      </c>
      <c r="C3" t="s">
        <v>945</v>
      </c>
      <c r="D3" t="s">
        <v>946</v>
      </c>
      <c r="E3" t="s">
        <v>947</v>
      </c>
      <c r="F3" t="s">
        <v>948</v>
      </c>
      <c r="G3" t="s">
        <v>949</v>
      </c>
      <c r="H3" t="s">
        <v>950</v>
      </c>
      <c r="I3" t="s">
        <v>951</v>
      </c>
      <c r="J3" t="s">
        <v>952</v>
      </c>
      <c r="K3" t="s">
        <v>953</v>
      </c>
      <c r="L3" t="s">
        <v>954</v>
      </c>
      <c r="M3" t="s">
        <v>955</v>
      </c>
      <c r="N3" t="s">
        <v>956</v>
      </c>
      <c r="O3" t="s">
        <v>957</v>
      </c>
      <c r="P3" t="s">
        <v>958</v>
      </c>
      <c r="Q3" t="s">
        <v>959</v>
      </c>
      <c r="R3" t="s">
        <v>960</v>
      </c>
      <c r="S3" t="s">
        <v>961</v>
      </c>
      <c r="T3" t="s">
        <v>962</v>
      </c>
      <c r="U3" t="s">
        <v>944</v>
      </c>
      <c r="V3" t="s">
        <v>963</v>
      </c>
      <c r="W3" t="s">
        <v>964</v>
      </c>
      <c r="X3" s="155" t="s">
        <v>965</v>
      </c>
      <c r="Y3" s="155">
        <v>811014</v>
      </c>
      <c r="Z3" s="155">
        <v>2036126</v>
      </c>
      <c r="AA3" s="155">
        <v>811014</v>
      </c>
      <c r="AB3" s="155">
        <v>2036126</v>
      </c>
      <c r="AC3" s="155">
        <v>811014</v>
      </c>
      <c r="AD3" s="155">
        <v>2036126</v>
      </c>
    </row>
    <row r="4" spans="1:30" ht="15.75" thickTop="1">
      <c r="A4" s="156">
        <v>1.9952620000000001</v>
      </c>
      <c r="B4" s="157">
        <v>2.0000000000000002E-5</v>
      </c>
      <c r="C4" s="157">
        <v>3.0999999999999999E-3</v>
      </c>
      <c r="D4" s="157">
        <v>2.1800000000000001E-3</v>
      </c>
      <c r="E4" s="157">
        <v>1E-4</v>
      </c>
      <c r="F4" s="157">
        <v>2.3900000000000002E-3</v>
      </c>
      <c r="G4" s="157">
        <v>1.4970000000000001E-2</v>
      </c>
      <c r="H4" s="157">
        <v>1.04E-2</v>
      </c>
      <c r="I4" s="157">
        <v>0</v>
      </c>
      <c r="J4" s="157">
        <v>0</v>
      </c>
      <c r="K4" s="157">
        <v>0</v>
      </c>
      <c r="L4" s="157">
        <v>1.0789999999999999E-2</v>
      </c>
      <c r="M4" s="157">
        <v>3.2000000000000002E-3</v>
      </c>
      <c r="N4" s="157">
        <v>2.7200000000000002E-3</v>
      </c>
      <c r="O4" s="157">
        <v>2.7E-4</v>
      </c>
      <c r="P4" s="157">
        <v>6.9999999999999994E-5</v>
      </c>
      <c r="Q4" s="157">
        <v>8.0000000000000007E-5</v>
      </c>
      <c r="R4" s="157">
        <v>4.8000000000000001E-4</v>
      </c>
      <c r="S4" s="157">
        <v>1.74E-3</v>
      </c>
      <c r="T4" s="157">
        <v>5.2399999999999999E-3</v>
      </c>
      <c r="U4" s="157">
        <v>1.2999999999999999E-4</v>
      </c>
      <c r="V4" s="157">
        <v>2.9E-4</v>
      </c>
      <c r="W4" s="157">
        <v>2.9E-4</v>
      </c>
      <c r="X4" s="158">
        <v>2.2749999999999999E-2</v>
      </c>
      <c r="Y4" s="159">
        <v>1.7809999999999999E-2</v>
      </c>
      <c r="Z4" s="160">
        <v>1.9269999999999999E-2</v>
      </c>
      <c r="AA4" s="159">
        <v>2.8889999999999999E-2</v>
      </c>
      <c r="AB4" s="160">
        <v>2.981E-2</v>
      </c>
      <c r="AC4" s="159">
        <v>5.7779999999999998E-2</v>
      </c>
      <c r="AD4" s="161">
        <v>5.9619999999999999E-2</v>
      </c>
    </row>
    <row r="5" spans="1:30">
      <c r="A5" s="156">
        <v>2.5118860000000001</v>
      </c>
      <c r="B5" s="157">
        <v>2.0000000000000002E-5</v>
      </c>
      <c r="C5" s="157">
        <v>3.0599999999999998E-3</v>
      </c>
      <c r="D5" s="157">
        <v>2.0200000000000001E-3</v>
      </c>
      <c r="E5" s="157">
        <v>1.1E-4</v>
      </c>
      <c r="F5" s="157">
        <v>2E-3</v>
      </c>
      <c r="G5" s="157">
        <v>1.452E-2</v>
      </c>
      <c r="H5" s="157">
        <v>1.0580000000000001E-2</v>
      </c>
      <c r="I5" s="157">
        <v>0</v>
      </c>
      <c r="J5" s="157">
        <v>0</v>
      </c>
      <c r="K5" s="157">
        <v>0</v>
      </c>
      <c r="L5" s="157">
        <v>9.1599999999999997E-3</v>
      </c>
      <c r="M5" s="157">
        <v>3.2100000000000002E-3</v>
      </c>
      <c r="N5" s="157">
        <v>2.7799999999999999E-3</v>
      </c>
      <c r="O5" s="157">
        <v>2.3000000000000001E-4</v>
      </c>
      <c r="P5" s="157">
        <v>6.9999999999999994E-5</v>
      </c>
      <c r="Q5" s="157">
        <v>1.4999999999999999E-4</v>
      </c>
      <c r="R5" s="157">
        <v>5.1000000000000004E-4</v>
      </c>
      <c r="S5" s="157">
        <v>1.74E-3</v>
      </c>
      <c r="T5" s="157">
        <v>5.2399999999999999E-3</v>
      </c>
      <c r="U5" s="157">
        <v>1.2999999999999999E-4</v>
      </c>
      <c r="V5" s="157">
        <v>2.9E-4</v>
      </c>
      <c r="W5" s="157">
        <v>2.9E-4</v>
      </c>
      <c r="X5" s="162">
        <v>2.1749999999999999E-2</v>
      </c>
      <c r="Y5" s="163">
        <v>1.324E-2</v>
      </c>
      <c r="Z5" s="164">
        <v>1.043E-2</v>
      </c>
      <c r="AA5" s="163">
        <v>2.546E-2</v>
      </c>
      <c r="AB5" s="164">
        <v>2.4119999999999999E-2</v>
      </c>
      <c r="AC5" s="163">
        <v>5.092E-2</v>
      </c>
      <c r="AD5" s="165">
        <v>4.8239999999999998E-2</v>
      </c>
    </row>
    <row r="6" spans="1:30">
      <c r="A6" s="156">
        <v>3.1622780000000001</v>
      </c>
      <c r="B6" s="157">
        <v>1.0000000000000001E-5</v>
      </c>
      <c r="C6" s="157">
        <v>3.0200000000000001E-3</v>
      </c>
      <c r="D6" s="157">
        <v>1.9E-3</v>
      </c>
      <c r="E6" s="157">
        <v>1.1E-4</v>
      </c>
      <c r="F6" s="157">
        <v>1.6800000000000001E-3</v>
      </c>
      <c r="G6" s="157">
        <v>1.414E-2</v>
      </c>
      <c r="H6" s="157">
        <v>1.074E-2</v>
      </c>
      <c r="I6" s="157">
        <v>0</v>
      </c>
      <c r="J6" s="157">
        <v>0</v>
      </c>
      <c r="K6" s="157">
        <v>0</v>
      </c>
      <c r="L6" s="157">
        <v>7.8100000000000001E-3</v>
      </c>
      <c r="M6" s="157">
        <v>3.2200000000000002E-3</v>
      </c>
      <c r="N6" s="157">
        <v>2.82E-3</v>
      </c>
      <c r="O6" s="157">
        <v>2.0000000000000001E-4</v>
      </c>
      <c r="P6" s="157">
        <v>6.9999999999999994E-5</v>
      </c>
      <c r="Q6" s="157">
        <v>2.0000000000000001E-4</v>
      </c>
      <c r="R6" s="157">
        <v>6.0999999999999997E-4</v>
      </c>
      <c r="S6" s="157">
        <v>1.74E-3</v>
      </c>
      <c r="T6" s="157">
        <v>5.2399999999999999E-3</v>
      </c>
      <c r="U6" s="157">
        <v>1.2999999999999999E-4</v>
      </c>
      <c r="V6" s="157">
        <v>2.9E-4</v>
      </c>
      <c r="W6" s="157">
        <v>2.9E-4</v>
      </c>
      <c r="X6" s="162">
        <v>2.1010000000000001E-2</v>
      </c>
      <c r="Y6" s="163">
        <v>9.4500000000000001E-3</v>
      </c>
      <c r="Z6" s="164">
        <v>7.2899999999999996E-3</v>
      </c>
      <c r="AA6" s="163">
        <v>2.3029999999999998E-2</v>
      </c>
      <c r="AB6" s="164">
        <v>2.2239999999999999E-2</v>
      </c>
      <c r="AC6" s="163">
        <v>4.607E-2</v>
      </c>
      <c r="AD6" s="165">
        <v>4.4470000000000003E-2</v>
      </c>
    </row>
    <row r="7" spans="1:30">
      <c r="A7" s="156">
        <v>3.9810720000000002</v>
      </c>
      <c r="B7" s="157">
        <v>1.0000000000000001E-5</v>
      </c>
      <c r="C7" s="157">
        <v>2.99E-3</v>
      </c>
      <c r="D7" s="157">
        <v>1.8E-3</v>
      </c>
      <c r="E7" s="157">
        <v>1.2E-4</v>
      </c>
      <c r="F7" s="157">
        <v>1.4400000000000001E-3</v>
      </c>
      <c r="G7" s="157">
        <v>1.3860000000000001E-2</v>
      </c>
      <c r="H7" s="157">
        <v>1.0880000000000001E-2</v>
      </c>
      <c r="I7" s="157">
        <v>0</v>
      </c>
      <c r="J7" s="157">
        <v>0</v>
      </c>
      <c r="K7" s="157">
        <v>0</v>
      </c>
      <c r="L7" s="157">
        <v>6.77E-3</v>
      </c>
      <c r="M7" s="157">
        <v>3.2299999999999998E-3</v>
      </c>
      <c r="N7" s="157">
        <v>2.8400000000000001E-3</v>
      </c>
      <c r="O7" s="157">
        <v>1.7000000000000001E-4</v>
      </c>
      <c r="P7" s="157">
        <v>6.9999999999999994E-5</v>
      </c>
      <c r="Q7" s="157">
        <v>2.0000000000000001E-4</v>
      </c>
      <c r="R7" s="157">
        <v>6.6E-4</v>
      </c>
      <c r="S7" s="157">
        <v>1.74E-3</v>
      </c>
      <c r="T7" s="157">
        <v>5.2399999999999999E-3</v>
      </c>
      <c r="U7" s="157">
        <v>1.2999999999999999E-4</v>
      </c>
      <c r="V7" s="157">
        <v>2.9E-4</v>
      </c>
      <c r="W7" s="157">
        <v>2.9E-4</v>
      </c>
      <c r="X7" s="162">
        <v>2.0500000000000001E-2</v>
      </c>
      <c r="Y7" s="163">
        <v>6.8599999999999998E-3</v>
      </c>
      <c r="Z7" s="164">
        <v>5.6600000000000001E-3</v>
      </c>
      <c r="AA7" s="163">
        <v>2.162E-2</v>
      </c>
      <c r="AB7" s="164">
        <v>2.1270000000000001E-2</v>
      </c>
      <c r="AC7" s="163">
        <v>4.3229999999999998E-2</v>
      </c>
      <c r="AD7" s="165">
        <v>4.2529999999999998E-2</v>
      </c>
    </row>
    <row r="8" spans="1:30">
      <c r="A8" s="156">
        <v>5.0118720000000003</v>
      </c>
      <c r="B8" s="157">
        <v>1.0000000000000001E-5</v>
      </c>
      <c r="C8" s="157">
        <v>2.96E-3</v>
      </c>
      <c r="D8" s="157">
        <v>1.72E-3</v>
      </c>
      <c r="E8" s="157">
        <v>1.2E-4</v>
      </c>
      <c r="F8" s="157">
        <v>1.2700000000000001E-3</v>
      </c>
      <c r="G8" s="157">
        <v>1.3650000000000001E-2</v>
      </c>
      <c r="H8" s="157">
        <v>1.0999999999999999E-2</v>
      </c>
      <c r="I8" s="157">
        <v>0</v>
      </c>
      <c r="J8" s="157">
        <v>0</v>
      </c>
      <c r="K8" s="157">
        <v>0</v>
      </c>
      <c r="L8" s="157">
        <v>5.9800000000000001E-3</v>
      </c>
      <c r="M8" s="157">
        <v>3.2399999999999998E-3</v>
      </c>
      <c r="N8" s="157">
        <v>2.8600000000000001E-3</v>
      </c>
      <c r="O8" s="157">
        <v>1.4999999999999999E-4</v>
      </c>
      <c r="P8" s="157">
        <v>6.9999999999999994E-5</v>
      </c>
      <c r="Q8" s="157">
        <v>1.9000000000000001E-4</v>
      </c>
      <c r="R8" s="157">
        <v>5.8E-4</v>
      </c>
      <c r="S8" s="157">
        <v>1.74E-3</v>
      </c>
      <c r="T8" s="157">
        <v>5.2399999999999999E-3</v>
      </c>
      <c r="U8" s="157">
        <v>1.2999999999999999E-4</v>
      </c>
      <c r="V8" s="157">
        <v>2.9E-4</v>
      </c>
      <c r="W8" s="157">
        <v>2.9E-4</v>
      </c>
      <c r="X8" s="162">
        <v>2.0150000000000001E-2</v>
      </c>
      <c r="Y8" s="163">
        <v>5.64E-3</v>
      </c>
      <c r="Z8" s="164">
        <v>4.8199999999999996E-3</v>
      </c>
      <c r="AA8" s="163">
        <v>2.0930000000000001E-2</v>
      </c>
      <c r="AB8" s="164">
        <v>2.0719999999999999E-2</v>
      </c>
      <c r="AC8" s="163">
        <v>4.1860000000000001E-2</v>
      </c>
      <c r="AD8" s="165">
        <v>4.1439999999999998E-2</v>
      </c>
    </row>
    <row r="9" spans="1:30">
      <c r="A9" s="156">
        <v>6.3095739999999996</v>
      </c>
      <c r="B9" s="157">
        <v>1.0000000000000001E-5</v>
      </c>
      <c r="C9" s="157">
        <v>2.9399999999999999E-3</v>
      </c>
      <c r="D9" s="157">
        <v>1.66E-3</v>
      </c>
      <c r="E9" s="157">
        <v>1.2999999999999999E-4</v>
      </c>
      <c r="F9" s="157">
        <v>1.14E-3</v>
      </c>
      <c r="G9" s="157">
        <v>1.3480000000000001E-2</v>
      </c>
      <c r="H9" s="157">
        <v>1.111E-2</v>
      </c>
      <c r="I9" s="157">
        <v>0</v>
      </c>
      <c r="J9" s="157">
        <v>0</v>
      </c>
      <c r="K9" s="157">
        <v>0</v>
      </c>
      <c r="L9" s="157">
        <v>5.3400000000000001E-3</v>
      </c>
      <c r="M9" s="157">
        <v>3.2499999999999999E-3</v>
      </c>
      <c r="N9" s="157">
        <v>2.8800000000000002E-3</v>
      </c>
      <c r="O9" s="157">
        <v>1.2999999999999999E-4</v>
      </c>
      <c r="P9" s="157">
        <v>6.9999999999999994E-5</v>
      </c>
      <c r="Q9" s="157">
        <v>1.9000000000000001E-4</v>
      </c>
      <c r="R9" s="157">
        <v>5.8E-4</v>
      </c>
      <c r="S9" s="157">
        <v>1.74E-3</v>
      </c>
      <c r="T9" s="157">
        <v>5.2399999999999999E-3</v>
      </c>
      <c r="U9" s="157">
        <v>1.2999999999999999E-4</v>
      </c>
      <c r="V9" s="157">
        <v>2.9E-4</v>
      </c>
      <c r="W9" s="157">
        <v>2.9E-4</v>
      </c>
      <c r="X9" s="162">
        <v>1.9910000000000001E-2</v>
      </c>
      <c r="Y9" s="163">
        <v>4.8199999999999996E-3</v>
      </c>
      <c r="Z9" s="164">
        <v>3.8500000000000001E-3</v>
      </c>
      <c r="AA9" s="163">
        <v>2.0480000000000002E-2</v>
      </c>
      <c r="AB9" s="164">
        <v>2.0279999999999999E-2</v>
      </c>
      <c r="AC9" s="163">
        <v>4.0960000000000003E-2</v>
      </c>
      <c r="AD9" s="165">
        <v>4.0550000000000003E-2</v>
      </c>
    </row>
    <row r="10" spans="1:30">
      <c r="A10" s="156">
        <v>7.943282</v>
      </c>
      <c r="B10" s="157">
        <v>1.0000000000000001E-5</v>
      </c>
      <c r="C10" s="157">
        <v>2.9199999999999999E-3</v>
      </c>
      <c r="D10" s="157">
        <v>1.6100000000000001E-3</v>
      </c>
      <c r="E10" s="157">
        <v>1.2999999999999999E-4</v>
      </c>
      <c r="F10" s="157">
        <v>1.0200000000000001E-3</v>
      </c>
      <c r="G10" s="157">
        <v>1.333E-2</v>
      </c>
      <c r="H10" s="157">
        <v>1.1209999999999999E-2</v>
      </c>
      <c r="I10" s="157">
        <v>0</v>
      </c>
      <c r="J10" s="157">
        <v>0</v>
      </c>
      <c r="K10" s="157">
        <v>0</v>
      </c>
      <c r="L10" s="157">
        <v>4.7800000000000004E-3</v>
      </c>
      <c r="M10" s="157">
        <v>3.2499999999999999E-3</v>
      </c>
      <c r="N10" s="157">
        <v>2.8900000000000002E-3</v>
      </c>
      <c r="O10" s="157">
        <v>1.2E-4</v>
      </c>
      <c r="P10" s="157">
        <v>6.9999999999999994E-5</v>
      </c>
      <c r="Q10" s="157">
        <v>1.8000000000000001E-4</v>
      </c>
      <c r="R10" s="157">
        <v>5.9000000000000003E-4</v>
      </c>
      <c r="S10" s="157">
        <v>1.74E-3</v>
      </c>
      <c r="T10" s="157">
        <v>5.2399999999999999E-3</v>
      </c>
      <c r="U10" s="157">
        <v>1.2999999999999999E-4</v>
      </c>
      <c r="V10" s="157">
        <v>2.9E-4</v>
      </c>
      <c r="W10" s="157">
        <v>2.9E-4</v>
      </c>
      <c r="X10" s="162">
        <v>1.9709999999999998E-2</v>
      </c>
      <c r="Y10" s="163">
        <v>3.9500000000000004E-3</v>
      </c>
      <c r="Z10" s="164">
        <v>3.2100000000000002E-3</v>
      </c>
      <c r="AA10" s="163">
        <v>2.01E-2</v>
      </c>
      <c r="AB10" s="164">
        <v>1.9970000000000002E-2</v>
      </c>
      <c r="AC10" s="163">
        <v>4.02E-2</v>
      </c>
      <c r="AD10" s="165">
        <v>3.993E-2</v>
      </c>
    </row>
    <row r="11" spans="1:30">
      <c r="A11" s="156">
        <v>10</v>
      </c>
      <c r="B11" s="157">
        <v>1.0000000000000001E-5</v>
      </c>
      <c r="C11" s="157">
        <v>2.9099999999999998E-3</v>
      </c>
      <c r="D11" s="157">
        <v>1.56E-3</v>
      </c>
      <c r="E11" s="157">
        <v>1.2999999999999999E-4</v>
      </c>
      <c r="F11" s="157">
        <v>9.1E-4</v>
      </c>
      <c r="G11" s="157">
        <v>1.319E-2</v>
      </c>
      <c r="H11" s="157">
        <v>1.1299999999999999E-2</v>
      </c>
      <c r="I11" s="157">
        <v>0</v>
      </c>
      <c r="J11" s="157">
        <v>0</v>
      </c>
      <c r="K11" s="157">
        <v>0</v>
      </c>
      <c r="L11" s="157">
        <v>4.2599999999999999E-3</v>
      </c>
      <c r="M11" s="157">
        <v>3.2599999999999999E-3</v>
      </c>
      <c r="N11" s="157">
        <v>2.8999999999999998E-3</v>
      </c>
      <c r="O11" s="157">
        <v>1.1E-4</v>
      </c>
      <c r="P11" s="157">
        <v>6.9999999999999994E-5</v>
      </c>
      <c r="Q11" s="157">
        <v>1.7000000000000001E-4</v>
      </c>
      <c r="R11" s="157">
        <v>5.9000000000000003E-4</v>
      </c>
      <c r="S11" s="157">
        <v>1.74E-3</v>
      </c>
      <c r="T11" s="157">
        <v>5.2399999999999999E-3</v>
      </c>
      <c r="U11" s="157">
        <v>6.9999999999999994E-5</v>
      </c>
      <c r="V11" s="157">
        <v>2.9E-4</v>
      </c>
      <c r="W11" s="157">
        <v>2.9E-4</v>
      </c>
      <c r="X11" s="162">
        <v>1.9529999999999999E-2</v>
      </c>
      <c r="Y11" s="163">
        <v>3.5799999999999998E-3</v>
      </c>
      <c r="Z11" s="164">
        <v>2.7100000000000002E-3</v>
      </c>
      <c r="AA11" s="163">
        <v>1.9859999999999999E-2</v>
      </c>
      <c r="AB11" s="164">
        <v>1.9720000000000001E-2</v>
      </c>
      <c r="AC11" s="163">
        <v>3.9719999999999998E-2</v>
      </c>
      <c r="AD11" s="165">
        <v>3.9440000000000003E-2</v>
      </c>
    </row>
    <row r="12" spans="1:30">
      <c r="A12" s="156">
        <v>12.58925</v>
      </c>
      <c r="B12" s="157">
        <v>0</v>
      </c>
      <c r="C12" s="157">
        <v>2.8900000000000002E-3</v>
      </c>
      <c r="D12" s="157">
        <v>1.5100000000000001E-3</v>
      </c>
      <c r="E12" s="157">
        <v>1.3999999999999999E-4</v>
      </c>
      <c r="F12" s="157">
        <v>8.0999999999999996E-4</v>
      </c>
      <c r="G12" s="157">
        <v>1.306E-2</v>
      </c>
      <c r="H12" s="157">
        <v>1.1379999999999999E-2</v>
      </c>
      <c r="I12" s="157">
        <v>0</v>
      </c>
      <c r="J12" s="157">
        <v>0</v>
      </c>
      <c r="K12" s="157">
        <v>0</v>
      </c>
      <c r="L12" s="157">
        <v>3.79E-3</v>
      </c>
      <c r="M12" s="157">
        <v>3.2599999999999999E-3</v>
      </c>
      <c r="N12" s="157">
        <v>2.9099999999999998E-3</v>
      </c>
      <c r="O12" s="157">
        <v>1E-4</v>
      </c>
      <c r="P12" s="157">
        <v>6.9999999999999994E-5</v>
      </c>
      <c r="Q12" s="157">
        <v>1.7000000000000001E-4</v>
      </c>
      <c r="R12" s="157">
        <v>5.9000000000000003E-4</v>
      </c>
      <c r="S12" s="157">
        <v>1.74E-3</v>
      </c>
      <c r="T12" s="157">
        <v>5.2399999999999999E-3</v>
      </c>
      <c r="U12" s="157">
        <v>6.9999999999999994E-5</v>
      </c>
      <c r="V12" s="157">
        <v>2.9E-4</v>
      </c>
      <c r="W12" s="157">
        <v>2.9E-4</v>
      </c>
      <c r="X12" s="162">
        <v>1.9390000000000001E-2</v>
      </c>
      <c r="Y12" s="163">
        <v>3.29E-3</v>
      </c>
      <c r="Z12" s="164">
        <v>2.4199999999999998E-3</v>
      </c>
      <c r="AA12" s="163">
        <v>1.967E-2</v>
      </c>
      <c r="AB12" s="164">
        <v>1.9539999999999998E-2</v>
      </c>
      <c r="AC12" s="163">
        <v>3.9329999999999997E-2</v>
      </c>
      <c r="AD12" s="165">
        <v>3.9079999999999997E-2</v>
      </c>
    </row>
    <row r="13" spans="1:30">
      <c r="A13" s="156">
        <v>15.848929999999999</v>
      </c>
      <c r="B13" s="157">
        <v>0</v>
      </c>
      <c r="C13" s="157">
        <v>2.8800000000000002E-3</v>
      </c>
      <c r="D13" s="157">
        <v>1.47E-3</v>
      </c>
      <c r="E13" s="157">
        <v>1.3999999999999999E-4</v>
      </c>
      <c r="F13" s="157">
        <v>7.2000000000000005E-4</v>
      </c>
      <c r="G13" s="157">
        <v>1.295E-2</v>
      </c>
      <c r="H13" s="157">
        <v>1.145E-2</v>
      </c>
      <c r="I13" s="157">
        <v>0</v>
      </c>
      <c r="J13" s="157">
        <v>0</v>
      </c>
      <c r="K13" s="157">
        <v>0</v>
      </c>
      <c r="L13" s="157">
        <v>3.3600000000000001E-3</v>
      </c>
      <c r="M13" s="157">
        <v>3.2699999999999999E-3</v>
      </c>
      <c r="N13" s="157">
        <v>2.9199999999999999E-3</v>
      </c>
      <c r="O13" s="157">
        <v>8.0000000000000007E-5</v>
      </c>
      <c r="P13" s="157">
        <v>6.9999999999999994E-5</v>
      </c>
      <c r="Q13" s="157">
        <v>1.7000000000000001E-4</v>
      </c>
      <c r="R13" s="157">
        <v>6.3000000000000003E-4</v>
      </c>
      <c r="S13" s="157">
        <v>1.74E-3</v>
      </c>
      <c r="T13" s="157">
        <v>5.2399999999999999E-3</v>
      </c>
      <c r="U13" s="157">
        <v>6.9999999999999994E-5</v>
      </c>
      <c r="V13" s="157">
        <v>2.9E-4</v>
      </c>
      <c r="W13" s="157">
        <v>2.9E-4</v>
      </c>
      <c r="X13" s="162">
        <v>1.9269999999999999E-2</v>
      </c>
      <c r="Y13" s="163">
        <v>2.8800000000000002E-3</v>
      </c>
      <c r="Z13" s="164">
        <v>2.1199999999999999E-3</v>
      </c>
      <c r="AA13" s="163">
        <v>1.949E-2</v>
      </c>
      <c r="AB13" s="164">
        <v>1.9390000000000001E-2</v>
      </c>
      <c r="AC13" s="163">
        <v>3.8969999999999998E-2</v>
      </c>
      <c r="AD13" s="165">
        <v>3.8780000000000002E-2</v>
      </c>
    </row>
    <row r="14" spans="1:30">
      <c r="A14" s="156">
        <v>19.95262</v>
      </c>
      <c r="B14" s="157">
        <v>0</v>
      </c>
      <c r="C14" s="157">
        <v>2.8600000000000001E-3</v>
      </c>
      <c r="D14" s="157">
        <v>1.4400000000000001E-3</v>
      </c>
      <c r="E14" s="157">
        <v>1.3999999999999999E-4</v>
      </c>
      <c r="F14" s="157">
        <v>6.4000000000000005E-4</v>
      </c>
      <c r="G14" s="157">
        <v>1.285E-2</v>
      </c>
      <c r="H14" s="157">
        <v>1.1520000000000001E-2</v>
      </c>
      <c r="I14" s="157">
        <v>0</v>
      </c>
      <c r="J14" s="157">
        <v>0</v>
      </c>
      <c r="K14" s="157">
        <v>0</v>
      </c>
      <c r="L14" s="157">
        <v>3.0000000000000001E-3</v>
      </c>
      <c r="M14" s="157">
        <v>3.2699999999999999E-3</v>
      </c>
      <c r="N14" s="157">
        <v>2.9299999999999999E-3</v>
      </c>
      <c r="O14" s="157">
        <v>8.0000000000000007E-5</v>
      </c>
      <c r="P14" s="157">
        <v>8.0000000000000007E-5</v>
      </c>
      <c r="Q14" s="157">
        <v>5.0000000000000002E-5</v>
      </c>
      <c r="R14" s="157">
        <v>1.41E-3</v>
      </c>
      <c r="S14" s="157">
        <v>1.74E-3</v>
      </c>
      <c r="T14" s="157">
        <v>5.2399999999999999E-3</v>
      </c>
      <c r="U14" s="157">
        <v>6.9999999999999994E-5</v>
      </c>
      <c r="V14" s="157">
        <v>2.9E-4</v>
      </c>
      <c r="W14" s="157">
        <v>2.9E-4</v>
      </c>
      <c r="X14" s="162">
        <v>1.9220000000000001E-2</v>
      </c>
      <c r="Y14" s="163">
        <v>2.0899999999999998E-3</v>
      </c>
      <c r="Z14" s="164">
        <v>2.0500000000000002E-3</v>
      </c>
      <c r="AA14" s="163">
        <v>1.933E-2</v>
      </c>
      <c r="AB14" s="164">
        <v>1.933E-2</v>
      </c>
      <c r="AC14" s="163">
        <v>3.866E-2</v>
      </c>
      <c r="AD14" s="165">
        <v>3.8649999999999997E-2</v>
      </c>
    </row>
    <row r="15" spans="1:30" hidden="1">
      <c r="A15" s="156">
        <v>21.134889999999999</v>
      </c>
      <c r="B15" s="157">
        <v>0</v>
      </c>
      <c r="C15" s="157">
        <v>2.8600000000000001E-3</v>
      </c>
      <c r="D15" s="157">
        <v>1.4300000000000001E-3</v>
      </c>
      <c r="E15" s="157">
        <v>1.4999999999999999E-4</v>
      </c>
      <c r="F15" s="157">
        <v>6.2E-4</v>
      </c>
      <c r="G15" s="157">
        <v>1.2829999999999999E-2</v>
      </c>
      <c r="H15" s="157">
        <v>1.153E-2</v>
      </c>
      <c r="I15" s="157">
        <v>0</v>
      </c>
      <c r="J15" s="157">
        <v>0</v>
      </c>
      <c r="K15" s="157">
        <v>0</v>
      </c>
      <c r="L15" s="157">
        <v>2.9099999999999998E-3</v>
      </c>
      <c r="M15" s="157">
        <v>3.2699999999999999E-3</v>
      </c>
      <c r="N15" s="157">
        <v>2.9299999999999999E-3</v>
      </c>
      <c r="O15" s="157">
        <v>6.9999999999999994E-5</v>
      </c>
      <c r="P15" s="157">
        <v>8.0000000000000007E-5</v>
      </c>
      <c r="Q15" s="157">
        <v>5.0000000000000002E-5</v>
      </c>
      <c r="R15" s="157">
        <v>1.39E-3</v>
      </c>
      <c r="S15" s="157">
        <v>1.74E-3</v>
      </c>
      <c r="T15" s="157">
        <v>5.2399999999999999E-3</v>
      </c>
      <c r="U15" s="157">
        <v>6.9999999999999994E-5</v>
      </c>
      <c r="V15" s="157">
        <v>2.9E-4</v>
      </c>
      <c r="W15" s="157">
        <v>2.9E-4</v>
      </c>
      <c r="X15" s="162">
        <v>1.9199999999999998E-2</v>
      </c>
      <c r="Y15" s="163">
        <v>1.8400000000000001E-3</v>
      </c>
      <c r="Z15" s="164">
        <v>2.0799999999999998E-3</v>
      </c>
      <c r="AA15" s="163">
        <v>1.9279999999999999E-2</v>
      </c>
      <c r="AB15" s="164">
        <v>1.9310000000000001E-2</v>
      </c>
      <c r="AC15" s="163">
        <v>3.857E-2</v>
      </c>
      <c r="AD15" s="165">
        <v>3.8620000000000002E-2</v>
      </c>
    </row>
    <row r="16" spans="1:30" hidden="1">
      <c r="A16" s="156">
        <v>22.38721</v>
      </c>
      <c r="B16" s="157">
        <v>0</v>
      </c>
      <c r="C16" s="157">
        <v>2.8600000000000001E-3</v>
      </c>
      <c r="D16" s="157">
        <v>1.42E-3</v>
      </c>
      <c r="E16" s="157">
        <v>1.4999999999999999E-4</v>
      </c>
      <c r="F16" s="157">
        <v>6.0999999999999997E-4</v>
      </c>
      <c r="G16" s="157">
        <v>1.2800000000000001E-2</v>
      </c>
      <c r="H16" s="157">
        <v>1.155E-2</v>
      </c>
      <c r="I16" s="157">
        <v>0</v>
      </c>
      <c r="J16" s="157">
        <v>0</v>
      </c>
      <c r="K16" s="157">
        <v>0</v>
      </c>
      <c r="L16" s="157">
        <v>2.8300000000000001E-3</v>
      </c>
      <c r="M16" s="157">
        <v>3.2699999999999999E-3</v>
      </c>
      <c r="N16" s="157">
        <v>2.9299999999999999E-3</v>
      </c>
      <c r="O16" s="157">
        <v>6.9999999999999994E-5</v>
      </c>
      <c r="P16" s="157">
        <v>8.0000000000000007E-5</v>
      </c>
      <c r="Q16" s="157">
        <v>5.0000000000000002E-5</v>
      </c>
      <c r="R16" s="157">
        <v>1.23E-3</v>
      </c>
      <c r="S16" s="157">
        <v>1.74E-3</v>
      </c>
      <c r="T16" s="157">
        <v>5.2399999999999999E-3</v>
      </c>
      <c r="U16" s="157">
        <v>6.9999999999999994E-5</v>
      </c>
      <c r="V16" s="157">
        <v>2.9E-4</v>
      </c>
      <c r="W16" s="157">
        <v>2.9E-4</v>
      </c>
      <c r="X16" s="162">
        <v>1.916E-2</v>
      </c>
      <c r="Y16" s="163">
        <v>1.9E-3</v>
      </c>
      <c r="Z16" s="164">
        <v>2.1199999999999999E-3</v>
      </c>
      <c r="AA16" s="163">
        <v>1.9259999999999999E-2</v>
      </c>
      <c r="AB16" s="164">
        <v>1.9279999999999999E-2</v>
      </c>
      <c r="AC16" s="163">
        <v>3.8519999999999999E-2</v>
      </c>
      <c r="AD16" s="165">
        <v>3.8559999999999997E-2</v>
      </c>
    </row>
    <row r="17" spans="1:30" hidden="1">
      <c r="A17" s="156">
        <v>23.713740000000001</v>
      </c>
      <c r="B17" s="157">
        <v>0</v>
      </c>
      <c r="C17" s="157">
        <v>2.8600000000000001E-3</v>
      </c>
      <c r="D17" s="157">
        <v>1.41E-3</v>
      </c>
      <c r="E17" s="157">
        <v>1.4999999999999999E-4</v>
      </c>
      <c r="F17" s="157">
        <v>5.9000000000000003E-4</v>
      </c>
      <c r="G17" s="157">
        <v>1.278E-2</v>
      </c>
      <c r="H17" s="157">
        <v>1.1560000000000001E-2</v>
      </c>
      <c r="I17" s="157">
        <v>0</v>
      </c>
      <c r="J17" s="157">
        <v>0</v>
      </c>
      <c r="K17" s="157">
        <v>0</v>
      </c>
      <c r="L17" s="157">
        <v>2.7499999999999998E-3</v>
      </c>
      <c r="M17" s="157">
        <v>3.2699999999999999E-3</v>
      </c>
      <c r="N17" s="157">
        <v>2.9299999999999999E-3</v>
      </c>
      <c r="O17" s="157">
        <v>6.9999999999999994E-5</v>
      </c>
      <c r="P17" s="157">
        <v>8.0000000000000007E-5</v>
      </c>
      <c r="Q17" s="157">
        <v>5.0000000000000002E-5</v>
      </c>
      <c r="R17" s="157">
        <v>1.2099999999999999E-3</v>
      </c>
      <c r="S17" s="157">
        <v>1.74E-3</v>
      </c>
      <c r="T17" s="157">
        <v>5.2399999999999999E-3</v>
      </c>
      <c r="U17" s="157">
        <v>6.9999999999999994E-5</v>
      </c>
      <c r="V17" s="157">
        <v>2.9E-4</v>
      </c>
      <c r="W17" s="157">
        <v>2.9E-4</v>
      </c>
      <c r="X17" s="162">
        <v>1.9140000000000001E-2</v>
      </c>
      <c r="Y17" s="163">
        <v>2.2100000000000002E-3</v>
      </c>
      <c r="Z17" s="164">
        <v>1.5E-3</v>
      </c>
      <c r="AA17" s="163">
        <v>1.9269999999999999E-2</v>
      </c>
      <c r="AB17" s="164">
        <v>1.9199999999999998E-2</v>
      </c>
      <c r="AC17" s="163">
        <v>3.8539999999999998E-2</v>
      </c>
      <c r="AD17" s="165">
        <v>3.841E-2</v>
      </c>
    </row>
    <row r="18" spans="1:30">
      <c r="A18" s="156">
        <v>25.118860000000002</v>
      </c>
      <c r="B18" s="157">
        <v>0</v>
      </c>
      <c r="C18" s="157">
        <v>2.8500000000000001E-3</v>
      </c>
      <c r="D18" s="157">
        <v>1.41E-3</v>
      </c>
      <c r="E18" s="157">
        <v>1.4999999999999999E-4</v>
      </c>
      <c r="F18" s="157">
        <v>5.6999999999999998E-4</v>
      </c>
      <c r="G18" s="157">
        <v>1.2760000000000001E-2</v>
      </c>
      <c r="H18" s="157">
        <v>1.157E-2</v>
      </c>
      <c r="I18" s="157">
        <v>0</v>
      </c>
      <c r="J18" s="157">
        <v>0</v>
      </c>
      <c r="K18" s="157">
        <v>0</v>
      </c>
      <c r="L18" s="157">
        <v>2.6700000000000001E-3</v>
      </c>
      <c r="M18" s="157">
        <v>3.2699999999999999E-3</v>
      </c>
      <c r="N18" s="157">
        <v>2.9399999999999999E-3</v>
      </c>
      <c r="O18" s="157">
        <v>6.9999999999999994E-5</v>
      </c>
      <c r="P18" s="157">
        <v>8.0000000000000007E-5</v>
      </c>
      <c r="Q18" s="157">
        <v>6.0000000000000002E-5</v>
      </c>
      <c r="R18" s="157">
        <v>1.1800000000000001E-3</v>
      </c>
      <c r="S18" s="157">
        <v>1.74E-3</v>
      </c>
      <c r="T18" s="157">
        <v>5.2399999999999999E-3</v>
      </c>
      <c r="U18" s="157">
        <v>6.9999999999999994E-5</v>
      </c>
      <c r="V18" s="157">
        <v>2.9E-4</v>
      </c>
      <c r="W18" s="157">
        <v>2.9E-4</v>
      </c>
      <c r="X18" s="162">
        <v>1.9120000000000002E-2</v>
      </c>
      <c r="Y18" s="163">
        <v>2.1700000000000001E-3</v>
      </c>
      <c r="Z18" s="164">
        <v>1.14E-3</v>
      </c>
      <c r="AA18" s="163">
        <v>1.925E-2</v>
      </c>
      <c r="AB18" s="164">
        <v>1.916E-2</v>
      </c>
      <c r="AC18" s="163">
        <v>3.8490000000000003E-2</v>
      </c>
      <c r="AD18" s="165">
        <v>3.832E-2</v>
      </c>
    </row>
    <row r="19" spans="1:30" hidden="1">
      <c r="A19" s="156">
        <v>26.607250000000001</v>
      </c>
      <c r="B19" s="157">
        <v>0</v>
      </c>
      <c r="C19" s="157">
        <v>2.8500000000000001E-3</v>
      </c>
      <c r="D19" s="157">
        <v>1.4E-3</v>
      </c>
      <c r="E19" s="157">
        <v>1.4999999999999999E-4</v>
      </c>
      <c r="F19" s="157">
        <v>5.5999999999999995E-4</v>
      </c>
      <c r="G19" s="157">
        <v>1.274E-2</v>
      </c>
      <c r="H19" s="157">
        <v>1.159E-2</v>
      </c>
      <c r="I19" s="157">
        <v>0</v>
      </c>
      <c r="J19" s="157">
        <v>0</v>
      </c>
      <c r="K19" s="157">
        <v>0</v>
      </c>
      <c r="L19" s="157">
        <v>2.5899999999999999E-3</v>
      </c>
      <c r="M19" s="157">
        <v>3.2699999999999999E-3</v>
      </c>
      <c r="N19" s="157">
        <v>2.9399999999999999E-3</v>
      </c>
      <c r="O19" s="157">
        <v>6.9999999999999994E-5</v>
      </c>
      <c r="P19" s="157">
        <v>8.0000000000000007E-5</v>
      </c>
      <c r="Q19" s="157">
        <v>6.9999999999999994E-5</v>
      </c>
      <c r="R19" s="157">
        <v>9.7999999999999997E-4</v>
      </c>
      <c r="S19" s="157">
        <v>1.74E-3</v>
      </c>
      <c r="T19" s="157">
        <v>5.2399999999999999E-3</v>
      </c>
      <c r="U19" s="157">
        <v>6.9999999999999994E-5</v>
      </c>
      <c r="V19" s="157">
        <v>2.9E-4</v>
      </c>
      <c r="W19" s="157">
        <v>2.9E-4</v>
      </c>
      <c r="X19" s="162">
        <v>1.9089999999999999E-2</v>
      </c>
      <c r="Y19" s="163">
        <v>2.3600000000000001E-3</v>
      </c>
      <c r="Z19" s="164">
        <v>1.1900000000000001E-3</v>
      </c>
      <c r="AA19" s="163">
        <v>1.924E-2</v>
      </c>
      <c r="AB19" s="164">
        <v>1.9130000000000001E-2</v>
      </c>
      <c r="AC19" s="163">
        <v>3.848E-2</v>
      </c>
      <c r="AD19" s="165">
        <v>3.8260000000000002E-2</v>
      </c>
    </row>
    <row r="20" spans="1:30" hidden="1">
      <c r="A20" s="156">
        <v>28.18383</v>
      </c>
      <c r="B20" s="157">
        <v>0</v>
      </c>
      <c r="C20" s="157">
        <v>2.8500000000000001E-3</v>
      </c>
      <c r="D20" s="157">
        <v>1.39E-3</v>
      </c>
      <c r="E20" s="157">
        <v>1.4999999999999999E-4</v>
      </c>
      <c r="F20" s="157">
        <v>5.4000000000000001E-4</v>
      </c>
      <c r="G20" s="157">
        <v>1.272E-2</v>
      </c>
      <c r="H20" s="157">
        <v>1.1599999999999999E-2</v>
      </c>
      <c r="I20" s="157">
        <v>0</v>
      </c>
      <c r="J20" s="157">
        <v>0</v>
      </c>
      <c r="K20" s="157">
        <v>0</v>
      </c>
      <c r="L20" s="157">
        <v>2.5200000000000001E-3</v>
      </c>
      <c r="M20" s="157">
        <v>3.2699999999999999E-3</v>
      </c>
      <c r="N20" s="157">
        <v>2.9399999999999999E-3</v>
      </c>
      <c r="O20" s="157">
        <v>6.0000000000000002E-5</v>
      </c>
      <c r="P20" s="157">
        <v>8.0000000000000007E-5</v>
      </c>
      <c r="Q20" s="157">
        <v>6.9999999999999994E-5</v>
      </c>
      <c r="R20" s="157">
        <v>9.7000000000000005E-4</v>
      </c>
      <c r="S20" s="157">
        <v>1.74E-3</v>
      </c>
      <c r="T20" s="157">
        <v>5.2399999999999999E-3</v>
      </c>
      <c r="U20" s="157">
        <v>6.9999999999999994E-5</v>
      </c>
      <c r="V20" s="157">
        <v>2.9E-4</v>
      </c>
      <c r="W20" s="157">
        <v>2.9E-4</v>
      </c>
      <c r="X20" s="162">
        <v>1.908E-2</v>
      </c>
      <c r="Y20" s="163">
        <v>2.1299999999999999E-3</v>
      </c>
      <c r="Z20" s="164">
        <v>1.7600000000000001E-3</v>
      </c>
      <c r="AA20" s="163">
        <v>1.9199999999999998E-2</v>
      </c>
      <c r="AB20" s="164">
        <v>1.916E-2</v>
      </c>
      <c r="AC20" s="163">
        <v>3.8390000000000001E-2</v>
      </c>
      <c r="AD20" s="165">
        <v>3.832E-2</v>
      </c>
    </row>
    <row r="21" spans="1:30" hidden="1">
      <c r="A21" s="156">
        <v>29.853829999999999</v>
      </c>
      <c r="B21" s="157">
        <v>0</v>
      </c>
      <c r="C21" s="157">
        <v>2.8500000000000001E-3</v>
      </c>
      <c r="D21" s="157">
        <v>1.3799999999999999E-3</v>
      </c>
      <c r="E21" s="157">
        <v>1.4999999999999999E-4</v>
      </c>
      <c r="F21" s="157">
        <v>5.1999999999999995E-4</v>
      </c>
      <c r="G21" s="157">
        <v>1.2699999999999999E-2</v>
      </c>
      <c r="H21" s="157">
        <v>1.1610000000000001E-2</v>
      </c>
      <c r="I21" s="157">
        <v>0</v>
      </c>
      <c r="J21" s="157">
        <v>0</v>
      </c>
      <c r="K21" s="157">
        <v>0</v>
      </c>
      <c r="L21" s="157">
        <v>2.4499999999999999E-3</v>
      </c>
      <c r="M21" s="157">
        <v>3.2799999999999999E-3</v>
      </c>
      <c r="N21" s="157">
        <v>2.9399999999999999E-3</v>
      </c>
      <c r="O21" s="157">
        <v>6.0000000000000002E-5</v>
      </c>
      <c r="P21" s="157">
        <v>8.0000000000000007E-5</v>
      </c>
      <c r="Q21" s="157">
        <v>5.0000000000000002E-5</v>
      </c>
      <c r="R21" s="157">
        <v>8.8000000000000003E-4</v>
      </c>
      <c r="S21" s="157">
        <v>1.74E-3</v>
      </c>
      <c r="T21" s="157">
        <v>5.2399999999999999E-3</v>
      </c>
      <c r="U21" s="157">
        <v>6.9999999999999994E-5</v>
      </c>
      <c r="V21" s="157">
        <v>2.9E-4</v>
      </c>
      <c r="W21" s="157">
        <v>2.9E-4</v>
      </c>
      <c r="X21" s="162">
        <v>1.9060000000000001E-2</v>
      </c>
      <c r="Y21" s="163">
        <v>2.3400000000000001E-3</v>
      </c>
      <c r="Z21" s="164">
        <v>1.6900000000000001E-3</v>
      </c>
      <c r="AA21" s="163">
        <v>1.9199999999999998E-2</v>
      </c>
      <c r="AB21" s="164">
        <v>1.9130000000000001E-2</v>
      </c>
      <c r="AC21" s="163">
        <v>3.8399999999999997E-2</v>
      </c>
      <c r="AD21" s="165">
        <v>3.8269999999999998E-2</v>
      </c>
    </row>
    <row r="22" spans="1:30">
      <c r="A22" s="156">
        <v>31.622769999999999</v>
      </c>
      <c r="B22" s="157">
        <v>0</v>
      </c>
      <c r="C22" s="157">
        <v>2.8400000000000001E-3</v>
      </c>
      <c r="D22" s="157">
        <v>1.3799999999999999E-3</v>
      </c>
      <c r="E22" s="157">
        <v>1.4999999999999999E-4</v>
      </c>
      <c r="F22" s="157">
        <v>5.1000000000000004E-4</v>
      </c>
      <c r="G22" s="157">
        <v>1.268E-2</v>
      </c>
      <c r="H22" s="157">
        <v>1.162E-2</v>
      </c>
      <c r="I22" s="157">
        <v>0</v>
      </c>
      <c r="J22" s="157">
        <v>0</v>
      </c>
      <c r="K22" s="157">
        <v>0</v>
      </c>
      <c r="L22" s="157">
        <v>2.3800000000000002E-3</v>
      </c>
      <c r="M22" s="157">
        <v>3.2799999999999999E-3</v>
      </c>
      <c r="N22" s="157">
        <v>2.9399999999999999E-3</v>
      </c>
      <c r="O22" s="157">
        <v>6.0000000000000002E-5</v>
      </c>
      <c r="P22" s="157">
        <v>8.0000000000000007E-5</v>
      </c>
      <c r="Q22" s="157">
        <v>5.0000000000000002E-5</v>
      </c>
      <c r="R22" s="157">
        <v>6.9999999999999999E-4</v>
      </c>
      <c r="S22" s="157">
        <v>1.74E-3</v>
      </c>
      <c r="T22" s="157">
        <v>5.2399999999999999E-3</v>
      </c>
      <c r="U22" s="157">
        <v>6.9999999999999994E-5</v>
      </c>
      <c r="V22" s="157">
        <v>2.9E-4</v>
      </c>
      <c r="W22" s="157">
        <v>2.9E-4</v>
      </c>
      <c r="X22" s="162">
        <v>1.9040000000000001E-2</v>
      </c>
      <c r="Y22" s="163">
        <v>2.0799999999999998E-3</v>
      </c>
      <c r="Z22" s="164">
        <v>1.6299999999999999E-3</v>
      </c>
      <c r="AA22" s="163">
        <v>1.915E-2</v>
      </c>
      <c r="AB22" s="164">
        <v>1.9109999999999999E-2</v>
      </c>
      <c r="AC22" s="163">
        <v>3.8300000000000001E-2</v>
      </c>
      <c r="AD22" s="165">
        <v>3.8210000000000001E-2</v>
      </c>
    </row>
    <row r="23" spans="1:30" hidden="1">
      <c r="A23" s="156">
        <v>33.496540000000003</v>
      </c>
      <c r="B23" s="157">
        <v>0</v>
      </c>
      <c r="C23" s="157">
        <v>2.8400000000000001E-3</v>
      </c>
      <c r="D23" s="157">
        <v>1.3699999999999999E-3</v>
      </c>
      <c r="E23" s="157">
        <v>1.4999999999999999E-4</v>
      </c>
      <c r="F23" s="157">
        <v>4.8999999999999998E-4</v>
      </c>
      <c r="G23" s="157">
        <v>1.2659999999999999E-2</v>
      </c>
      <c r="H23" s="157">
        <v>1.1639999999999999E-2</v>
      </c>
      <c r="I23" s="157">
        <v>0</v>
      </c>
      <c r="J23" s="157">
        <v>0</v>
      </c>
      <c r="K23" s="157">
        <v>0</v>
      </c>
      <c r="L23" s="157">
        <v>2.31E-3</v>
      </c>
      <c r="M23" s="157">
        <v>3.2799999999999999E-3</v>
      </c>
      <c r="N23" s="157">
        <v>2.9399999999999999E-3</v>
      </c>
      <c r="O23" s="157">
        <v>6.0000000000000002E-5</v>
      </c>
      <c r="P23" s="157">
        <v>8.0000000000000007E-5</v>
      </c>
      <c r="Q23" s="157">
        <v>4.0000000000000003E-5</v>
      </c>
      <c r="R23" s="157">
        <v>6.9999999999999999E-4</v>
      </c>
      <c r="S23" s="157">
        <v>1.74E-3</v>
      </c>
      <c r="T23" s="157">
        <v>5.2399999999999999E-3</v>
      </c>
      <c r="U23" s="157">
        <v>6.9999999999999994E-5</v>
      </c>
      <c r="V23" s="157">
        <v>2.9E-4</v>
      </c>
      <c r="W23" s="157">
        <v>2.9E-4</v>
      </c>
      <c r="X23" s="162">
        <v>1.9019999999999999E-2</v>
      </c>
      <c r="Y23" s="163">
        <v>2.2399999999999998E-3</v>
      </c>
      <c r="Z23" s="164">
        <v>1.5499999999999999E-3</v>
      </c>
      <c r="AA23" s="163">
        <v>1.915E-2</v>
      </c>
      <c r="AB23" s="164">
        <v>1.908E-2</v>
      </c>
      <c r="AC23" s="163">
        <v>3.8300000000000001E-2</v>
      </c>
      <c r="AD23" s="165">
        <v>3.8170000000000003E-2</v>
      </c>
    </row>
    <row r="24" spans="1:30" hidden="1">
      <c r="A24" s="156">
        <v>35.48133</v>
      </c>
      <c r="B24" s="157">
        <v>0</v>
      </c>
      <c r="C24" s="157">
        <v>2.8400000000000001E-3</v>
      </c>
      <c r="D24" s="157">
        <v>1.3600000000000001E-3</v>
      </c>
      <c r="E24" s="157">
        <v>1.4999999999999999E-4</v>
      </c>
      <c r="F24" s="157">
        <v>4.8000000000000001E-4</v>
      </c>
      <c r="G24" s="157">
        <v>1.265E-2</v>
      </c>
      <c r="H24" s="157">
        <v>1.1650000000000001E-2</v>
      </c>
      <c r="I24" s="157">
        <v>0</v>
      </c>
      <c r="J24" s="157">
        <v>0</v>
      </c>
      <c r="K24" s="157">
        <v>0</v>
      </c>
      <c r="L24" s="157">
        <v>2.2399999999999998E-3</v>
      </c>
      <c r="M24" s="157">
        <v>3.2799999999999999E-3</v>
      </c>
      <c r="N24" s="157">
        <v>2.9399999999999999E-3</v>
      </c>
      <c r="O24" s="157">
        <v>6.0000000000000002E-5</v>
      </c>
      <c r="P24" s="157">
        <v>8.0000000000000007E-5</v>
      </c>
      <c r="Q24" s="157">
        <v>4.0000000000000003E-5</v>
      </c>
      <c r="R24" s="157">
        <v>6.6E-4</v>
      </c>
      <c r="S24" s="157">
        <v>1.74E-3</v>
      </c>
      <c r="T24" s="157">
        <v>5.2399999999999999E-3</v>
      </c>
      <c r="U24" s="157">
        <v>6.9999999999999994E-5</v>
      </c>
      <c r="V24" s="157">
        <v>2.9E-4</v>
      </c>
      <c r="W24" s="157">
        <v>2.9E-4</v>
      </c>
      <c r="X24" s="162">
        <v>1.9009999999999999E-2</v>
      </c>
      <c r="Y24" s="163">
        <v>2.16E-3</v>
      </c>
      <c r="Z24" s="164">
        <v>1.65E-3</v>
      </c>
      <c r="AA24" s="163">
        <v>1.9130000000000001E-2</v>
      </c>
      <c r="AB24" s="164">
        <v>1.908E-2</v>
      </c>
      <c r="AC24" s="163">
        <v>3.8260000000000002E-2</v>
      </c>
      <c r="AD24" s="165">
        <v>3.8150000000000003E-2</v>
      </c>
    </row>
    <row r="25" spans="1:30" hidden="1">
      <c r="A25" s="156">
        <v>37.583739999999999</v>
      </c>
      <c r="B25" s="157">
        <v>0</v>
      </c>
      <c r="C25" s="157">
        <v>2.8400000000000001E-3</v>
      </c>
      <c r="D25" s="157">
        <v>1.3500000000000001E-3</v>
      </c>
      <c r="E25" s="157">
        <v>1.4999999999999999E-4</v>
      </c>
      <c r="F25" s="157">
        <v>4.6999999999999999E-4</v>
      </c>
      <c r="G25" s="157">
        <v>1.2630000000000001E-2</v>
      </c>
      <c r="H25" s="157">
        <v>1.166E-2</v>
      </c>
      <c r="I25" s="157">
        <v>0</v>
      </c>
      <c r="J25" s="157">
        <v>0</v>
      </c>
      <c r="K25" s="157">
        <v>0</v>
      </c>
      <c r="L25" s="157">
        <v>2.1800000000000001E-3</v>
      </c>
      <c r="M25" s="157">
        <v>3.2799999999999999E-3</v>
      </c>
      <c r="N25" s="157">
        <v>2.9499999999999999E-3</v>
      </c>
      <c r="O25" s="157">
        <v>5.0000000000000002E-5</v>
      </c>
      <c r="P25" s="157">
        <v>8.0000000000000007E-5</v>
      </c>
      <c r="Q25" s="157">
        <v>4.0000000000000003E-5</v>
      </c>
      <c r="R25" s="157">
        <v>5.5999999999999995E-4</v>
      </c>
      <c r="S25" s="157">
        <v>1.74E-3</v>
      </c>
      <c r="T25" s="157">
        <v>5.2399999999999999E-3</v>
      </c>
      <c r="U25" s="157">
        <v>6.9999999999999994E-5</v>
      </c>
      <c r="V25" s="157">
        <v>2.9E-4</v>
      </c>
      <c r="W25" s="157">
        <v>2.9E-4</v>
      </c>
      <c r="X25" s="162">
        <v>1.899E-2</v>
      </c>
      <c r="Y25" s="163">
        <v>2.0600000000000002E-3</v>
      </c>
      <c r="Z25" s="164">
        <v>1.3500000000000001E-3</v>
      </c>
      <c r="AA25" s="163">
        <v>1.9099999999999999E-2</v>
      </c>
      <c r="AB25" s="164">
        <v>1.9040000000000001E-2</v>
      </c>
      <c r="AC25" s="163">
        <v>3.8199999999999998E-2</v>
      </c>
      <c r="AD25" s="165">
        <v>3.8080000000000003E-2</v>
      </c>
    </row>
    <row r="26" spans="1:30">
      <c r="A26" s="156">
        <v>39.810720000000003</v>
      </c>
      <c r="B26" s="157">
        <v>0</v>
      </c>
      <c r="C26" s="157">
        <v>2.8400000000000001E-3</v>
      </c>
      <c r="D26" s="157">
        <v>1.3500000000000001E-3</v>
      </c>
      <c r="E26" s="157">
        <v>1.4999999999999999E-4</v>
      </c>
      <c r="F26" s="157">
        <v>4.4999999999999999E-4</v>
      </c>
      <c r="G26" s="157">
        <v>1.261E-2</v>
      </c>
      <c r="H26" s="157">
        <v>1.167E-2</v>
      </c>
      <c r="I26" s="157">
        <v>0</v>
      </c>
      <c r="J26" s="157">
        <v>0</v>
      </c>
      <c r="K26" s="157">
        <v>0</v>
      </c>
      <c r="L26" s="157">
        <v>2.1099999999999999E-3</v>
      </c>
      <c r="M26" s="157">
        <v>3.2799999999999999E-3</v>
      </c>
      <c r="N26" s="157">
        <v>2.9499999999999999E-3</v>
      </c>
      <c r="O26" s="157">
        <v>5.0000000000000002E-5</v>
      </c>
      <c r="P26" s="157">
        <v>8.0000000000000007E-5</v>
      </c>
      <c r="Q26" s="157">
        <v>5.0000000000000002E-5</v>
      </c>
      <c r="R26" s="157">
        <v>4.8999999999999998E-4</v>
      </c>
      <c r="S26" s="157">
        <v>1.74E-3</v>
      </c>
      <c r="T26" s="157">
        <v>5.2399999999999999E-3</v>
      </c>
      <c r="U26" s="157">
        <v>6.9999999999999994E-5</v>
      </c>
      <c r="V26" s="157">
        <v>2.9E-4</v>
      </c>
      <c r="W26" s="157">
        <v>2.9E-4</v>
      </c>
      <c r="X26" s="162">
        <v>1.898E-2</v>
      </c>
      <c r="Y26" s="163">
        <v>2.2499999999999998E-3</v>
      </c>
      <c r="Z26" s="164">
        <v>1.42E-3</v>
      </c>
      <c r="AA26" s="163">
        <v>1.9109999999999999E-2</v>
      </c>
      <c r="AB26" s="164">
        <v>1.9029999999999998E-2</v>
      </c>
      <c r="AC26" s="163">
        <v>3.8219999999999997E-2</v>
      </c>
      <c r="AD26" s="165">
        <v>3.8059999999999997E-2</v>
      </c>
    </row>
    <row r="27" spans="1:30" hidden="1">
      <c r="A27" s="156">
        <v>42.169649999999997</v>
      </c>
      <c r="B27" s="157">
        <v>0</v>
      </c>
      <c r="C27" s="157">
        <v>2.8300000000000001E-3</v>
      </c>
      <c r="D27" s="157">
        <v>1.34E-3</v>
      </c>
      <c r="E27" s="157">
        <v>1.4999999999999999E-4</v>
      </c>
      <c r="F27" s="157">
        <v>4.4000000000000002E-4</v>
      </c>
      <c r="G27" s="157">
        <v>1.26E-2</v>
      </c>
      <c r="H27" s="157">
        <v>1.1679999999999999E-2</v>
      </c>
      <c r="I27" s="157">
        <v>0</v>
      </c>
      <c r="J27" s="157">
        <v>0</v>
      </c>
      <c r="K27" s="157">
        <v>0</v>
      </c>
      <c r="L27" s="157">
        <v>2.0500000000000002E-3</v>
      </c>
      <c r="M27" s="157">
        <v>3.2799999999999999E-3</v>
      </c>
      <c r="N27" s="157">
        <v>2.9499999999999999E-3</v>
      </c>
      <c r="O27" s="157">
        <v>5.0000000000000002E-5</v>
      </c>
      <c r="P27" s="157">
        <v>8.0000000000000007E-5</v>
      </c>
      <c r="Q27" s="157">
        <v>5.0000000000000002E-5</v>
      </c>
      <c r="R27" s="157">
        <v>4.8999999999999998E-4</v>
      </c>
      <c r="S27" s="157">
        <v>1.09E-3</v>
      </c>
      <c r="T27" s="157">
        <v>5.2399999999999999E-3</v>
      </c>
      <c r="U27" s="157">
        <v>6.9999999999999994E-5</v>
      </c>
      <c r="V27" s="157">
        <v>2.9E-4</v>
      </c>
      <c r="W27" s="157">
        <v>2.9E-4</v>
      </c>
      <c r="X27" s="162">
        <v>1.8919999999999999E-2</v>
      </c>
      <c r="Y27" s="163">
        <v>2.0899999999999998E-3</v>
      </c>
      <c r="Z27" s="164">
        <v>1.42E-3</v>
      </c>
      <c r="AA27" s="163">
        <v>1.9029999999999998E-2</v>
      </c>
      <c r="AB27" s="164">
        <v>1.8970000000000001E-2</v>
      </c>
      <c r="AC27" s="163">
        <v>3.8059999999999997E-2</v>
      </c>
      <c r="AD27" s="165">
        <v>3.7940000000000002E-2</v>
      </c>
    </row>
    <row r="28" spans="1:30" hidden="1">
      <c r="A28" s="156">
        <v>44.66836</v>
      </c>
      <c r="B28" s="157">
        <v>0</v>
      </c>
      <c r="C28" s="157">
        <v>2.8300000000000001E-3</v>
      </c>
      <c r="D28" s="157">
        <v>1.33E-3</v>
      </c>
      <c r="E28" s="157">
        <v>1.4999999999999999E-4</v>
      </c>
      <c r="F28" s="157">
        <v>4.2999999999999999E-4</v>
      </c>
      <c r="G28" s="157">
        <v>1.2579999999999999E-2</v>
      </c>
      <c r="H28" s="157">
        <v>1.1690000000000001E-2</v>
      </c>
      <c r="I28" s="157">
        <v>0</v>
      </c>
      <c r="J28" s="157">
        <v>0</v>
      </c>
      <c r="K28" s="157">
        <v>0</v>
      </c>
      <c r="L28" s="157">
        <v>2E-3</v>
      </c>
      <c r="M28" s="157">
        <v>3.2799999999999999E-3</v>
      </c>
      <c r="N28" s="157">
        <v>2.9499999999999999E-3</v>
      </c>
      <c r="O28" s="157">
        <v>5.0000000000000002E-5</v>
      </c>
      <c r="P28" s="157">
        <v>8.0000000000000007E-5</v>
      </c>
      <c r="Q28" s="157">
        <v>6.0000000000000002E-5</v>
      </c>
      <c r="R28" s="157">
        <v>5.5000000000000003E-4</v>
      </c>
      <c r="S28" s="157">
        <v>1.09E-3</v>
      </c>
      <c r="T28" s="157">
        <v>5.2399999999999999E-3</v>
      </c>
      <c r="U28" s="157">
        <v>6.9999999999999994E-5</v>
      </c>
      <c r="V28" s="157">
        <v>2.9E-4</v>
      </c>
      <c r="W28" s="157">
        <v>2.9E-4</v>
      </c>
      <c r="X28" s="162">
        <v>1.891E-2</v>
      </c>
      <c r="Y28" s="163">
        <v>2.1199999999999999E-3</v>
      </c>
      <c r="Z28" s="164">
        <v>1.58E-3</v>
      </c>
      <c r="AA28" s="163">
        <v>1.9019999999999999E-2</v>
      </c>
      <c r="AB28" s="164">
        <v>1.8970000000000001E-2</v>
      </c>
      <c r="AC28" s="163">
        <v>3.805E-2</v>
      </c>
      <c r="AD28" s="165">
        <v>3.7940000000000002E-2</v>
      </c>
    </row>
    <row r="29" spans="1:30" hidden="1">
      <c r="A29" s="156">
        <v>47.31512</v>
      </c>
      <c r="B29" s="157">
        <v>0</v>
      </c>
      <c r="C29" s="157">
        <v>2.8300000000000001E-3</v>
      </c>
      <c r="D29" s="157">
        <v>1.33E-3</v>
      </c>
      <c r="E29" s="157">
        <v>1.4999999999999999E-4</v>
      </c>
      <c r="F29" s="157">
        <v>4.2000000000000002E-4</v>
      </c>
      <c r="G29" s="157">
        <v>1.256E-2</v>
      </c>
      <c r="H29" s="157">
        <v>1.17E-2</v>
      </c>
      <c r="I29" s="157">
        <v>0</v>
      </c>
      <c r="J29" s="157">
        <v>0</v>
      </c>
      <c r="K29" s="157">
        <v>0</v>
      </c>
      <c r="L29" s="157">
        <v>1.9400000000000001E-3</v>
      </c>
      <c r="M29" s="157">
        <v>3.2799999999999999E-3</v>
      </c>
      <c r="N29" s="157">
        <v>2.9499999999999999E-3</v>
      </c>
      <c r="O29" s="157">
        <v>5.0000000000000002E-5</v>
      </c>
      <c r="P29" s="157">
        <v>8.0000000000000007E-5</v>
      </c>
      <c r="Q29" s="157">
        <v>6.0000000000000002E-5</v>
      </c>
      <c r="R29" s="157">
        <v>5.5999999999999995E-4</v>
      </c>
      <c r="S29" s="157">
        <v>1.09E-3</v>
      </c>
      <c r="T29" s="157">
        <v>5.2399999999999999E-3</v>
      </c>
      <c r="U29" s="157">
        <v>6.9999999999999994E-5</v>
      </c>
      <c r="V29" s="157">
        <v>2.9E-4</v>
      </c>
      <c r="W29" s="157">
        <v>2.9E-4</v>
      </c>
      <c r="X29" s="162">
        <v>1.89E-2</v>
      </c>
      <c r="Y29" s="163">
        <v>2.2899999999999999E-3</v>
      </c>
      <c r="Z29" s="164">
        <v>1.4400000000000001E-3</v>
      </c>
      <c r="AA29" s="163">
        <v>1.9029999999999998E-2</v>
      </c>
      <c r="AB29" s="164">
        <v>1.8950000000000002E-2</v>
      </c>
      <c r="AC29" s="163">
        <v>3.807E-2</v>
      </c>
      <c r="AD29" s="165">
        <v>3.7900000000000003E-2</v>
      </c>
    </row>
    <row r="30" spans="1:30">
      <c r="A30" s="156">
        <v>50.118729999999999</v>
      </c>
      <c r="B30" s="157">
        <v>0</v>
      </c>
      <c r="C30" s="157">
        <v>2.8300000000000001E-3</v>
      </c>
      <c r="D30" s="157">
        <v>1.32E-3</v>
      </c>
      <c r="E30" s="157">
        <v>1.4999999999999999E-4</v>
      </c>
      <c r="F30" s="157">
        <v>4.0000000000000002E-4</v>
      </c>
      <c r="G30" s="157">
        <v>1.255E-2</v>
      </c>
      <c r="H30" s="157">
        <v>1.171E-2</v>
      </c>
      <c r="I30" s="157">
        <v>0</v>
      </c>
      <c r="J30" s="157">
        <v>0</v>
      </c>
      <c r="K30" s="157">
        <v>0</v>
      </c>
      <c r="L30" s="157">
        <v>1.8799999999999999E-3</v>
      </c>
      <c r="M30" s="157">
        <v>3.2799999999999999E-3</v>
      </c>
      <c r="N30" s="157">
        <v>2.9499999999999999E-3</v>
      </c>
      <c r="O30" s="157">
        <v>5.0000000000000002E-5</v>
      </c>
      <c r="P30" s="157">
        <v>8.0000000000000007E-5</v>
      </c>
      <c r="Q30" s="157">
        <v>6.0000000000000002E-5</v>
      </c>
      <c r="R30" s="157">
        <v>5.9999999999999995E-4</v>
      </c>
      <c r="S30" s="157">
        <v>1.09E-3</v>
      </c>
      <c r="T30" s="157">
        <v>5.2399999999999999E-3</v>
      </c>
      <c r="U30" s="157">
        <v>6.9999999999999994E-5</v>
      </c>
      <c r="V30" s="157">
        <v>2.9E-4</v>
      </c>
      <c r="W30" s="157">
        <v>2.9E-4</v>
      </c>
      <c r="X30" s="162">
        <v>1.8890000000000001E-2</v>
      </c>
      <c r="Y30" s="163">
        <v>2.0600000000000002E-3</v>
      </c>
      <c r="Z30" s="164">
        <v>1.2700000000000001E-3</v>
      </c>
      <c r="AA30" s="163">
        <v>1.9E-2</v>
      </c>
      <c r="AB30" s="164">
        <v>1.8929999999999999E-2</v>
      </c>
      <c r="AC30" s="163">
        <v>3.7999999999999999E-2</v>
      </c>
      <c r="AD30" s="165">
        <v>3.7859999999999998E-2</v>
      </c>
    </row>
    <row r="31" spans="1:30" hidden="1">
      <c r="A31" s="156">
        <v>53.088450000000002</v>
      </c>
      <c r="B31" s="157">
        <v>0</v>
      </c>
      <c r="C31" s="157">
        <v>2.8300000000000001E-3</v>
      </c>
      <c r="D31" s="157">
        <v>1.32E-3</v>
      </c>
      <c r="E31" s="157">
        <v>1.4999999999999999E-4</v>
      </c>
      <c r="F31" s="157">
        <v>3.8999999999999999E-4</v>
      </c>
      <c r="G31" s="157">
        <v>1.2529999999999999E-2</v>
      </c>
      <c r="H31" s="157">
        <v>1.172E-2</v>
      </c>
      <c r="I31" s="157">
        <v>0</v>
      </c>
      <c r="J31" s="157">
        <v>0</v>
      </c>
      <c r="K31" s="157">
        <v>0</v>
      </c>
      <c r="L31" s="157">
        <v>1.83E-3</v>
      </c>
      <c r="M31" s="157">
        <v>3.2799999999999999E-3</v>
      </c>
      <c r="N31" s="157">
        <v>2.9499999999999999E-3</v>
      </c>
      <c r="O31" s="157">
        <v>5.0000000000000002E-5</v>
      </c>
      <c r="P31" s="157">
        <v>8.0000000000000007E-5</v>
      </c>
      <c r="Q31" s="157">
        <v>6.9999999999999994E-5</v>
      </c>
      <c r="R31" s="157">
        <v>5.8E-4</v>
      </c>
      <c r="S31" s="157">
        <v>1.09E-3</v>
      </c>
      <c r="T31" s="157">
        <v>5.2399999999999999E-3</v>
      </c>
      <c r="U31" s="157">
        <v>6.9999999999999994E-5</v>
      </c>
      <c r="V31" s="157">
        <v>2.9E-4</v>
      </c>
      <c r="W31" s="157">
        <v>2.9E-4</v>
      </c>
      <c r="X31" s="162">
        <v>1.8880000000000001E-2</v>
      </c>
      <c r="Y31" s="163">
        <v>2.2000000000000001E-3</v>
      </c>
      <c r="Z31" s="164">
        <v>1.3699999999999999E-3</v>
      </c>
      <c r="AA31" s="163">
        <v>1.9E-2</v>
      </c>
      <c r="AB31" s="164">
        <v>1.8919999999999999E-2</v>
      </c>
      <c r="AC31" s="163">
        <v>3.8010000000000002E-2</v>
      </c>
      <c r="AD31" s="165">
        <v>3.7850000000000002E-2</v>
      </c>
    </row>
    <row r="32" spans="1:30" hidden="1">
      <c r="A32" s="156">
        <v>56.23413</v>
      </c>
      <c r="B32" s="157">
        <v>0</v>
      </c>
      <c r="C32" s="157">
        <v>2.8300000000000001E-3</v>
      </c>
      <c r="D32" s="157">
        <v>1.31E-3</v>
      </c>
      <c r="E32" s="157">
        <v>1.4999999999999999E-4</v>
      </c>
      <c r="F32" s="157">
        <v>3.8000000000000002E-4</v>
      </c>
      <c r="G32" s="157">
        <v>1.252E-2</v>
      </c>
      <c r="H32" s="157">
        <v>1.1730000000000001E-2</v>
      </c>
      <c r="I32" s="157">
        <v>1.0000000000000001E-5</v>
      </c>
      <c r="J32" s="157">
        <v>0</v>
      </c>
      <c r="K32" s="157">
        <v>0</v>
      </c>
      <c r="L32" s="157">
        <v>1.7799999999999999E-3</v>
      </c>
      <c r="M32" s="157">
        <v>3.2799999999999999E-3</v>
      </c>
      <c r="N32" s="157">
        <v>2.96E-3</v>
      </c>
      <c r="O32" s="157">
        <v>4.0000000000000003E-5</v>
      </c>
      <c r="P32" s="157">
        <v>8.0000000000000007E-5</v>
      </c>
      <c r="Q32" s="157">
        <v>6.9999999999999994E-5</v>
      </c>
      <c r="R32" s="157">
        <v>5.9999999999999995E-4</v>
      </c>
      <c r="S32" s="157">
        <v>1.09E-3</v>
      </c>
      <c r="T32" s="157">
        <v>5.2399999999999999E-3</v>
      </c>
      <c r="U32" s="157">
        <v>6.9999999999999994E-5</v>
      </c>
      <c r="V32" s="157">
        <v>2.9E-4</v>
      </c>
      <c r="W32" s="157">
        <v>2.9E-4</v>
      </c>
      <c r="X32" s="162">
        <v>1.8870000000000001E-2</v>
      </c>
      <c r="Y32" s="163">
        <v>2.0799999999999998E-3</v>
      </c>
      <c r="Z32" s="164">
        <v>1.58E-3</v>
      </c>
      <c r="AA32" s="163">
        <v>1.898E-2</v>
      </c>
      <c r="AB32" s="164">
        <v>1.8929999999999999E-2</v>
      </c>
      <c r="AC32" s="163">
        <v>3.7960000000000001E-2</v>
      </c>
      <c r="AD32" s="165">
        <v>3.7859999999999998E-2</v>
      </c>
    </row>
    <row r="33" spans="1:30" hidden="1">
      <c r="A33" s="156">
        <v>59.566209999999998</v>
      </c>
      <c r="B33" s="157">
        <v>0</v>
      </c>
      <c r="C33" s="157">
        <v>2.82E-3</v>
      </c>
      <c r="D33" s="157">
        <v>1.2999999999999999E-3</v>
      </c>
      <c r="E33" s="157">
        <v>1.4999999999999999E-4</v>
      </c>
      <c r="F33" s="157">
        <v>3.6999999999999999E-4</v>
      </c>
      <c r="G33" s="157">
        <v>1.251E-2</v>
      </c>
      <c r="H33" s="157">
        <v>1.174E-2</v>
      </c>
      <c r="I33" s="157">
        <v>1.0000000000000001E-5</v>
      </c>
      <c r="J33" s="157">
        <v>1.0000000000000001E-5</v>
      </c>
      <c r="K33" s="157">
        <v>0</v>
      </c>
      <c r="L33" s="157">
        <v>1.73E-3</v>
      </c>
      <c r="M33" s="157">
        <v>3.2799999999999999E-3</v>
      </c>
      <c r="N33" s="157">
        <v>2.96E-3</v>
      </c>
      <c r="O33" s="157">
        <v>4.0000000000000003E-5</v>
      </c>
      <c r="P33" s="157">
        <v>8.0000000000000007E-5</v>
      </c>
      <c r="Q33" s="157">
        <v>8.0000000000000007E-5</v>
      </c>
      <c r="R33" s="157">
        <v>5.8E-4</v>
      </c>
      <c r="S33" s="157">
        <v>1.09E-3</v>
      </c>
      <c r="T33" s="157">
        <v>5.2399999999999999E-3</v>
      </c>
      <c r="U33" s="157">
        <v>6.9999999999999994E-5</v>
      </c>
      <c r="V33" s="157">
        <v>2.9E-4</v>
      </c>
      <c r="W33" s="157">
        <v>2.9E-4</v>
      </c>
      <c r="X33" s="162">
        <v>1.8859999999999998E-2</v>
      </c>
      <c r="Y33" s="163">
        <v>2.2100000000000002E-3</v>
      </c>
      <c r="Z33" s="164">
        <v>1.3699999999999999E-3</v>
      </c>
      <c r="AA33" s="163">
        <v>1.899E-2</v>
      </c>
      <c r="AB33" s="164">
        <v>1.891E-2</v>
      </c>
      <c r="AC33" s="163">
        <v>3.7969999999999997E-2</v>
      </c>
      <c r="AD33" s="165">
        <v>3.7810000000000003E-2</v>
      </c>
    </row>
    <row r="34" spans="1:30">
      <c r="A34" s="156">
        <v>63.095730000000003</v>
      </c>
      <c r="B34" s="157">
        <v>0</v>
      </c>
      <c r="C34" s="157">
        <v>2.82E-3</v>
      </c>
      <c r="D34" s="157">
        <v>1.2999999999999999E-3</v>
      </c>
      <c r="E34" s="157">
        <v>1.4999999999999999E-4</v>
      </c>
      <c r="F34" s="157">
        <v>3.6000000000000002E-4</v>
      </c>
      <c r="G34" s="157">
        <v>1.2489999999999999E-2</v>
      </c>
      <c r="H34" s="157">
        <v>1.174E-2</v>
      </c>
      <c r="I34" s="157">
        <v>1.0000000000000001E-5</v>
      </c>
      <c r="J34" s="157">
        <v>1.0000000000000001E-5</v>
      </c>
      <c r="K34" s="157">
        <v>0</v>
      </c>
      <c r="L34" s="157">
        <v>1.6800000000000001E-3</v>
      </c>
      <c r="M34" s="157">
        <v>3.2799999999999999E-3</v>
      </c>
      <c r="N34" s="157">
        <v>2.96E-3</v>
      </c>
      <c r="O34" s="157">
        <v>4.0000000000000003E-5</v>
      </c>
      <c r="P34" s="157">
        <v>8.0000000000000007E-5</v>
      </c>
      <c r="Q34" s="157">
        <v>8.0000000000000007E-5</v>
      </c>
      <c r="R34" s="157">
        <v>5.8E-4</v>
      </c>
      <c r="S34" s="157">
        <v>1.09E-3</v>
      </c>
      <c r="T34" s="157">
        <v>5.2399999999999999E-3</v>
      </c>
      <c r="U34" s="157">
        <v>6.9999999999999994E-5</v>
      </c>
      <c r="V34" s="157">
        <v>2.9E-4</v>
      </c>
      <c r="W34" s="157">
        <v>2.9E-4</v>
      </c>
      <c r="X34" s="162">
        <v>1.8849999999999999E-2</v>
      </c>
      <c r="Y34" s="163">
        <v>2.15E-3</v>
      </c>
      <c r="Z34" s="164">
        <v>1.6000000000000001E-3</v>
      </c>
      <c r="AA34" s="163">
        <v>1.8970000000000001E-2</v>
      </c>
      <c r="AB34" s="164">
        <v>1.8919999999999999E-2</v>
      </c>
      <c r="AC34" s="163">
        <v>3.7940000000000002E-2</v>
      </c>
      <c r="AD34" s="165">
        <v>3.7830000000000003E-2</v>
      </c>
    </row>
    <row r="35" spans="1:30" hidden="1">
      <c r="A35" s="156">
        <v>66.834400000000002</v>
      </c>
      <c r="B35" s="157">
        <v>0</v>
      </c>
      <c r="C35" s="157">
        <v>2.82E-3</v>
      </c>
      <c r="D35" s="157">
        <v>1.2899999999999999E-3</v>
      </c>
      <c r="E35" s="157">
        <v>1.4999999999999999E-4</v>
      </c>
      <c r="F35" s="157">
        <v>3.5E-4</v>
      </c>
      <c r="G35" s="157">
        <v>1.248E-2</v>
      </c>
      <c r="H35" s="157">
        <v>1.175E-2</v>
      </c>
      <c r="I35" s="157">
        <v>1.0000000000000001E-5</v>
      </c>
      <c r="J35" s="157">
        <v>1.0000000000000001E-5</v>
      </c>
      <c r="K35" s="157">
        <v>0</v>
      </c>
      <c r="L35" s="157">
        <v>1.6299999999999999E-3</v>
      </c>
      <c r="M35" s="157">
        <v>3.2799999999999999E-3</v>
      </c>
      <c r="N35" s="157">
        <v>2.96E-3</v>
      </c>
      <c r="O35" s="157">
        <v>4.0000000000000003E-5</v>
      </c>
      <c r="P35" s="157">
        <v>8.0000000000000007E-5</v>
      </c>
      <c r="Q35" s="157">
        <v>8.0000000000000007E-5</v>
      </c>
      <c r="R35" s="157">
        <v>5.8E-4</v>
      </c>
      <c r="S35" s="157">
        <v>1.09E-3</v>
      </c>
      <c r="T35" s="157">
        <v>5.2399999999999999E-3</v>
      </c>
      <c r="U35" s="157">
        <v>6.9999999999999994E-5</v>
      </c>
      <c r="V35" s="157">
        <v>2.9E-4</v>
      </c>
      <c r="W35" s="157">
        <v>2.9E-4</v>
      </c>
      <c r="X35" s="162">
        <v>1.8839999999999999E-2</v>
      </c>
      <c r="Y35" s="163">
        <v>2.33E-3</v>
      </c>
      <c r="Z35" s="164">
        <v>1.5499999999999999E-3</v>
      </c>
      <c r="AA35" s="163">
        <v>1.898E-2</v>
      </c>
      <c r="AB35" s="164">
        <v>1.89E-2</v>
      </c>
      <c r="AC35" s="163">
        <v>3.7969999999999997E-2</v>
      </c>
      <c r="AD35" s="165">
        <v>3.7810000000000003E-2</v>
      </c>
    </row>
    <row r="36" spans="1:30" hidden="1">
      <c r="A36" s="156">
        <v>70.794569999999993</v>
      </c>
      <c r="B36" s="157">
        <v>0</v>
      </c>
      <c r="C36" s="157">
        <v>2.82E-3</v>
      </c>
      <c r="D36" s="157">
        <v>1.2899999999999999E-3</v>
      </c>
      <c r="E36" s="157">
        <v>1.6000000000000001E-4</v>
      </c>
      <c r="F36" s="157">
        <v>3.4000000000000002E-4</v>
      </c>
      <c r="G36" s="157">
        <v>1.247E-2</v>
      </c>
      <c r="H36" s="157">
        <v>1.176E-2</v>
      </c>
      <c r="I36" s="157">
        <v>1.0000000000000001E-5</v>
      </c>
      <c r="J36" s="157">
        <v>1.0000000000000001E-5</v>
      </c>
      <c r="K36" s="157">
        <v>0</v>
      </c>
      <c r="L36" s="157">
        <v>1.58E-3</v>
      </c>
      <c r="M36" s="157">
        <v>3.2799999999999999E-3</v>
      </c>
      <c r="N36" s="157">
        <v>2.96E-3</v>
      </c>
      <c r="O36" s="157">
        <v>4.0000000000000003E-5</v>
      </c>
      <c r="P36" s="157">
        <v>8.0000000000000007E-5</v>
      </c>
      <c r="Q36" s="157">
        <v>8.0000000000000007E-5</v>
      </c>
      <c r="R36" s="157">
        <v>5.8E-4</v>
      </c>
      <c r="S36" s="157">
        <v>1.09E-3</v>
      </c>
      <c r="T36" s="157">
        <v>5.2399999999999999E-3</v>
      </c>
      <c r="U36" s="157">
        <v>6.9999999999999994E-5</v>
      </c>
      <c r="V36" s="157">
        <v>2.9E-4</v>
      </c>
      <c r="W36" s="157">
        <v>2.9E-4</v>
      </c>
      <c r="X36" s="162">
        <v>1.883E-2</v>
      </c>
      <c r="Y36" s="163">
        <v>2.1299999999999999E-3</v>
      </c>
      <c r="Z36" s="164">
        <v>1.5499999999999999E-3</v>
      </c>
      <c r="AA36" s="163">
        <v>1.8950000000000002E-2</v>
      </c>
      <c r="AB36" s="164">
        <v>1.89E-2</v>
      </c>
      <c r="AC36" s="163">
        <v>3.7900000000000003E-2</v>
      </c>
      <c r="AD36" s="165">
        <v>3.7789999999999997E-2</v>
      </c>
    </row>
    <row r="37" spans="1:30" hidden="1">
      <c r="A37" s="156">
        <v>74.989419999999996</v>
      </c>
      <c r="B37" s="157">
        <v>0</v>
      </c>
      <c r="C37" s="157">
        <v>2.82E-3</v>
      </c>
      <c r="D37" s="157">
        <v>1.2800000000000001E-3</v>
      </c>
      <c r="E37" s="157">
        <v>1.6000000000000001E-4</v>
      </c>
      <c r="F37" s="157">
        <v>3.3E-4</v>
      </c>
      <c r="G37" s="157">
        <v>1.2460000000000001E-2</v>
      </c>
      <c r="H37" s="157">
        <v>1.1769999999999999E-2</v>
      </c>
      <c r="I37" s="157">
        <v>1.0000000000000001E-5</v>
      </c>
      <c r="J37" s="157">
        <v>1.0000000000000001E-5</v>
      </c>
      <c r="K37" s="157">
        <v>0</v>
      </c>
      <c r="L37" s="157">
        <v>1.5399999999999999E-3</v>
      </c>
      <c r="M37" s="157">
        <v>3.29E-3</v>
      </c>
      <c r="N37" s="157">
        <v>2.96E-3</v>
      </c>
      <c r="O37" s="157">
        <v>4.0000000000000003E-5</v>
      </c>
      <c r="P37" s="157">
        <v>8.0000000000000007E-5</v>
      </c>
      <c r="Q37" s="157">
        <v>8.0000000000000007E-5</v>
      </c>
      <c r="R37" s="157">
        <v>5.6999999999999998E-4</v>
      </c>
      <c r="S37" s="157">
        <v>1.09E-3</v>
      </c>
      <c r="T37" s="157">
        <v>5.2399999999999999E-3</v>
      </c>
      <c r="U37" s="157">
        <v>6.9999999999999994E-5</v>
      </c>
      <c r="V37" s="157">
        <v>2.9E-4</v>
      </c>
      <c r="W37" s="157">
        <v>2.9E-4</v>
      </c>
      <c r="X37" s="162">
        <v>1.882E-2</v>
      </c>
      <c r="Y37" s="163">
        <v>2.16E-3</v>
      </c>
      <c r="Z37" s="164">
        <v>1.6100000000000001E-3</v>
      </c>
      <c r="AA37" s="163">
        <v>1.8950000000000002E-2</v>
      </c>
      <c r="AB37" s="164">
        <v>1.8890000000000001E-2</v>
      </c>
      <c r="AC37" s="163">
        <v>3.7900000000000003E-2</v>
      </c>
      <c r="AD37" s="165">
        <v>3.7789999999999997E-2</v>
      </c>
    </row>
    <row r="38" spans="1:30">
      <c r="A38" s="156">
        <v>79.432820000000007</v>
      </c>
      <c r="B38" s="157">
        <v>0</v>
      </c>
      <c r="C38" s="157">
        <v>2.82E-3</v>
      </c>
      <c r="D38" s="157">
        <v>1.2800000000000001E-3</v>
      </c>
      <c r="E38" s="157">
        <v>1.6000000000000001E-4</v>
      </c>
      <c r="F38" s="157">
        <v>3.2000000000000003E-4</v>
      </c>
      <c r="G38" s="157">
        <v>1.244E-2</v>
      </c>
      <c r="H38" s="157">
        <v>1.1780000000000001E-2</v>
      </c>
      <c r="I38" s="157">
        <v>1.0000000000000001E-5</v>
      </c>
      <c r="J38" s="157">
        <v>1.0000000000000001E-5</v>
      </c>
      <c r="K38" s="157">
        <v>0</v>
      </c>
      <c r="L38" s="157">
        <v>1.49E-3</v>
      </c>
      <c r="M38" s="157">
        <v>3.29E-3</v>
      </c>
      <c r="N38" s="157">
        <v>2.96E-3</v>
      </c>
      <c r="O38" s="157">
        <v>4.0000000000000003E-5</v>
      </c>
      <c r="P38" s="157">
        <v>8.0000000000000007E-5</v>
      </c>
      <c r="Q38" s="157">
        <v>9.0000000000000006E-5</v>
      </c>
      <c r="R38" s="157">
        <v>5.8E-4</v>
      </c>
      <c r="S38" s="157">
        <v>1.09E-3</v>
      </c>
      <c r="T38" s="157">
        <v>5.2399999999999999E-3</v>
      </c>
      <c r="U38" s="157">
        <v>6.9999999999999994E-5</v>
      </c>
      <c r="V38" s="157">
        <v>2.9E-4</v>
      </c>
      <c r="W38" s="157">
        <v>2.9E-4</v>
      </c>
      <c r="X38" s="162">
        <v>1.882E-2</v>
      </c>
      <c r="Y38" s="163">
        <v>2.2100000000000002E-3</v>
      </c>
      <c r="Z38" s="164">
        <v>1.6000000000000001E-3</v>
      </c>
      <c r="AA38" s="163">
        <v>1.8950000000000002E-2</v>
      </c>
      <c r="AB38" s="164">
        <v>1.8890000000000001E-2</v>
      </c>
      <c r="AC38" s="163">
        <v>3.789E-2</v>
      </c>
      <c r="AD38" s="165">
        <v>3.7769999999999998E-2</v>
      </c>
    </row>
    <row r="39" spans="1:30" hidden="1">
      <c r="A39" s="156">
        <v>84.139499999999998</v>
      </c>
      <c r="B39" s="157">
        <v>0</v>
      </c>
      <c r="C39" s="157">
        <v>2.81E-3</v>
      </c>
      <c r="D39" s="157">
        <v>1.2700000000000001E-3</v>
      </c>
      <c r="E39" s="157">
        <v>1.6000000000000001E-4</v>
      </c>
      <c r="F39" s="157">
        <v>3.1E-4</v>
      </c>
      <c r="G39" s="157">
        <v>1.243E-2</v>
      </c>
      <c r="H39" s="157">
        <v>1.1780000000000001E-2</v>
      </c>
      <c r="I39" s="157">
        <v>1.0000000000000001E-5</v>
      </c>
      <c r="J39" s="157">
        <v>1.0000000000000001E-5</v>
      </c>
      <c r="K39" s="157">
        <v>0</v>
      </c>
      <c r="L39" s="157">
        <v>1.4499999999999999E-3</v>
      </c>
      <c r="M39" s="157">
        <v>3.29E-3</v>
      </c>
      <c r="N39" s="157">
        <v>2.96E-3</v>
      </c>
      <c r="O39" s="157">
        <v>4.0000000000000003E-5</v>
      </c>
      <c r="P39" s="157">
        <v>8.0000000000000007E-5</v>
      </c>
      <c r="Q39" s="157">
        <v>9.0000000000000006E-5</v>
      </c>
      <c r="R39" s="157">
        <v>5.5000000000000003E-4</v>
      </c>
      <c r="S39" s="157">
        <v>1.09E-3</v>
      </c>
      <c r="T39" s="157">
        <v>5.2399999999999999E-3</v>
      </c>
      <c r="U39" s="157">
        <v>6.9999999999999994E-5</v>
      </c>
      <c r="V39" s="157">
        <v>2.9E-4</v>
      </c>
      <c r="W39" s="157">
        <v>2.9E-4</v>
      </c>
      <c r="X39" s="162">
        <v>1.881E-2</v>
      </c>
      <c r="Y39" s="163">
        <v>2.4099999999999998E-3</v>
      </c>
      <c r="Z39" s="164">
        <v>1.5E-3</v>
      </c>
      <c r="AA39" s="163">
        <v>1.8960000000000001E-2</v>
      </c>
      <c r="AB39" s="164">
        <v>1.8870000000000001E-2</v>
      </c>
      <c r="AC39" s="163">
        <v>3.7929999999999998E-2</v>
      </c>
      <c r="AD39" s="165">
        <v>3.7740000000000003E-2</v>
      </c>
    </row>
    <row r="40" spans="1:30" hidden="1">
      <c r="A40" s="156">
        <v>89.125100000000003</v>
      </c>
      <c r="B40" s="157">
        <v>0</v>
      </c>
      <c r="C40" s="157">
        <v>2.81E-3</v>
      </c>
      <c r="D40" s="157">
        <v>1.2700000000000001E-3</v>
      </c>
      <c r="E40" s="157">
        <v>1.6000000000000001E-4</v>
      </c>
      <c r="F40" s="157">
        <v>2.9999999999999997E-4</v>
      </c>
      <c r="G40" s="157">
        <v>1.242E-2</v>
      </c>
      <c r="H40" s="157">
        <v>1.179E-2</v>
      </c>
      <c r="I40" s="157">
        <v>1.0000000000000001E-5</v>
      </c>
      <c r="J40" s="157">
        <v>1.0000000000000001E-5</v>
      </c>
      <c r="K40" s="157">
        <v>0</v>
      </c>
      <c r="L40" s="157">
        <v>1.41E-3</v>
      </c>
      <c r="M40" s="157">
        <v>3.29E-3</v>
      </c>
      <c r="N40" s="157">
        <v>2.96E-3</v>
      </c>
      <c r="O40" s="157">
        <v>4.0000000000000003E-5</v>
      </c>
      <c r="P40" s="157">
        <v>8.0000000000000007E-5</v>
      </c>
      <c r="Q40" s="157">
        <v>9.0000000000000006E-5</v>
      </c>
      <c r="R40" s="157">
        <v>5.2999999999999998E-4</v>
      </c>
      <c r="S40" s="157">
        <v>1.09E-3</v>
      </c>
      <c r="T40" s="157">
        <v>5.2399999999999999E-3</v>
      </c>
      <c r="U40" s="157">
        <v>6.9999999999999994E-5</v>
      </c>
      <c r="V40" s="157">
        <v>2.9E-4</v>
      </c>
      <c r="W40" s="157">
        <v>2.9E-4</v>
      </c>
      <c r="X40" s="162">
        <v>1.8800000000000001E-2</v>
      </c>
      <c r="Y40" s="163">
        <v>2.0699999999999998E-3</v>
      </c>
      <c r="Z40" s="164">
        <v>1.75E-3</v>
      </c>
      <c r="AA40" s="163">
        <v>1.8919999999999999E-2</v>
      </c>
      <c r="AB40" s="164">
        <v>1.8880000000000001E-2</v>
      </c>
      <c r="AC40" s="163">
        <v>3.7830000000000003E-2</v>
      </c>
      <c r="AD40" s="165">
        <v>3.7769999999999998E-2</v>
      </c>
    </row>
    <row r="41" spans="1:30" hidden="1">
      <c r="A41" s="156">
        <v>94.406090000000006</v>
      </c>
      <c r="B41" s="157">
        <v>0</v>
      </c>
      <c r="C41" s="157">
        <v>2.81E-3</v>
      </c>
      <c r="D41" s="157">
        <v>1.2600000000000001E-3</v>
      </c>
      <c r="E41" s="157">
        <v>1.6000000000000001E-4</v>
      </c>
      <c r="F41" s="157">
        <v>2.9E-4</v>
      </c>
      <c r="G41" s="157">
        <v>1.2409999999999999E-2</v>
      </c>
      <c r="H41" s="157">
        <v>1.18E-2</v>
      </c>
      <c r="I41" s="157">
        <v>1.0000000000000001E-5</v>
      </c>
      <c r="J41" s="157">
        <v>1.0000000000000001E-5</v>
      </c>
      <c r="K41" s="157">
        <v>0</v>
      </c>
      <c r="L41" s="157">
        <v>1.3699999999999999E-3</v>
      </c>
      <c r="M41" s="157">
        <v>3.29E-3</v>
      </c>
      <c r="N41" s="157">
        <v>2.96E-3</v>
      </c>
      <c r="O41" s="157">
        <v>3.0000000000000001E-5</v>
      </c>
      <c r="P41" s="157">
        <v>8.0000000000000007E-5</v>
      </c>
      <c r="Q41" s="157">
        <v>9.0000000000000006E-5</v>
      </c>
      <c r="R41" s="157">
        <v>5.1000000000000004E-4</v>
      </c>
      <c r="S41" s="157">
        <v>1.09E-3</v>
      </c>
      <c r="T41" s="157">
        <v>5.2399999999999999E-3</v>
      </c>
      <c r="U41" s="157">
        <v>6.9999999999999994E-5</v>
      </c>
      <c r="V41" s="157">
        <v>2.9E-4</v>
      </c>
      <c r="W41" s="157">
        <v>2.9E-4</v>
      </c>
      <c r="X41" s="162">
        <v>1.8800000000000001E-2</v>
      </c>
      <c r="Y41" s="163">
        <v>2.3900000000000002E-3</v>
      </c>
      <c r="Z41" s="164">
        <v>1.4499999999999999E-3</v>
      </c>
      <c r="AA41" s="163">
        <v>1.8950000000000002E-2</v>
      </c>
      <c r="AB41" s="164">
        <v>1.8849999999999999E-2</v>
      </c>
      <c r="AC41" s="163">
        <v>3.789E-2</v>
      </c>
      <c r="AD41" s="165">
        <v>3.7699999999999997E-2</v>
      </c>
    </row>
    <row r="42" spans="1:30">
      <c r="A42" s="166">
        <v>100</v>
      </c>
      <c r="B42" s="157">
        <v>0</v>
      </c>
      <c r="C42" s="157">
        <v>2.81E-3</v>
      </c>
      <c r="D42" s="157">
        <v>1.2600000000000001E-3</v>
      </c>
      <c r="E42" s="157">
        <v>1.6000000000000001E-4</v>
      </c>
      <c r="F42" s="157">
        <v>2.9E-4</v>
      </c>
      <c r="G42" s="157">
        <v>1.24E-2</v>
      </c>
      <c r="H42" s="157">
        <v>1.18E-2</v>
      </c>
      <c r="I42" s="157">
        <v>1.0000000000000001E-5</v>
      </c>
      <c r="J42" s="157">
        <v>1.0000000000000001E-5</v>
      </c>
      <c r="K42" s="157">
        <v>0</v>
      </c>
      <c r="L42" s="157">
        <v>1.33E-3</v>
      </c>
      <c r="M42" s="157">
        <v>3.29E-3</v>
      </c>
      <c r="N42" s="157">
        <v>2.97E-3</v>
      </c>
      <c r="O42" s="157">
        <v>3.0000000000000001E-5</v>
      </c>
      <c r="P42" s="157">
        <v>8.0000000000000007E-5</v>
      </c>
      <c r="Q42" s="157">
        <v>9.0000000000000006E-5</v>
      </c>
      <c r="R42" s="157">
        <v>4.4999999999999999E-4</v>
      </c>
      <c r="S42" s="157">
        <v>1.09E-3</v>
      </c>
      <c r="T42" s="157">
        <v>5.2399999999999999E-3</v>
      </c>
      <c r="U42" s="157">
        <v>6.9999999999999994E-5</v>
      </c>
      <c r="V42" s="157">
        <v>2.9E-4</v>
      </c>
      <c r="W42" s="157">
        <v>2.9E-4</v>
      </c>
      <c r="X42" s="162">
        <v>1.8790000000000001E-2</v>
      </c>
      <c r="Y42" s="163">
        <v>2.4299999999999999E-3</v>
      </c>
      <c r="Z42" s="164">
        <v>1.56E-3</v>
      </c>
      <c r="AA42" s="163">
        <v>1.8939999999999999E-2</v>
      </c>
      <c r="AB42" s="164">
        <v>1.8849999999999999E-2</v>
      </c>
      <c r="AC42" s="163">
        <v>3.789E-2</v>
      </c>
      <c r="AD42" s="165">
        <v>3.771E-2</v>
      </c>
    </row>
    <row r="43" spans="1:30" hidden="1">
      <c r="A43" s="166">
        <v>105.9254</v>
      </c>
      <c r="B43" s="157">
        <v>0</v>
      </c>
      <c r="C43" s="157">
        <v>2.81E-3</v>
      </c>
      <c r="D43" s="157">
        <v>1.25E-3</v>
      </c>
      <c r="E43" s="157">
        <v>1.6000000000000001E-4</v>
      </c>
      <c r="F43" s="157">
        <v>2.7999999999999998E-4</v>
      </c>
      <c r="G43" s="157">
        <v>1.239E-2</v>
      </c>
      <c r="H43" s="157">
        <v>1.1809999999999999E-2</v>
      </c>
      <c r="I43" s="157">
        <v>1.0000000000000001E-5</v>
      </c>
      <c r="J43" s="157">
        <v>1.0000000000000001E-5</v>
      </c>
      <c r="K43" s="157">
        <v>0</v>
      </c>
      <c r="L43" s="157">
        <v>1.2899999999999999E-3</v>
      </c>
      <c r="M43" s="157">
        <v>3.29E-3</v>
      </c>
      <c r="N43" s="157">
        <v>2.97E-3</v>
      </c>
      <c r="O43" s="157">
        <v>3.0000000000000001E-5</v>
      </c>
      <c r="P43" s="157">
        <v>8.0000000000000007E-5</v>
      </c>
      <c r="Q43" s="157">
        <v>1E-4</v>
      </c>
      <c r="R43" s="157">
        <v>4.6000000000000001E-4</v>
      </c>
      <c r="S43" s="157">
        <v>1.09E-3</v>
      </c>
      <c r="T43" s="157">
        <v>5.2399999999999999E-3</v>
      </c>
      <c r="U43" s="157">
        <v>6.9999999999999994E-5</v>
      </c>
      <c r="V43" s="157">
        <v>2.9E-4</v>
      </c>
      <c r="W43" s="157">
        <v>2.9E-4</v>
      </c>
      <c r="X43" s="162">
        <v>1.8780000000000002E-2</v>
      </c>
      <c r="Y43" s="163">
        <v>2.49E-3</v>
      </c>
      <c r="Z43" s="164">
        <v>1.5100000000000001E-3</v>
      </c>
      <c r="AA43" s="163">
        <v>1.8950000000000002E-2</v>
      </c>
      <c r="AB43" s="164">
        <v>1.8839999999999999E-2</v>
      </c>
      <c r="AC43" s="163">
        <v>3.789E-2</v>
      </c>
      <c r="AD43" s="165">
        <v>3.7690000000000001E-2</v>
      </c>
    </row>
    <row r="44" spans="1:30" hidden="1">
      <c r="A44" s="166">
        <v>112.20180000000001</v>
      </c>
      <c r="B44" s="157">
        <v>0</v>
      </c>
      <c r="C44" s="157">
        <v>2.81E-3</v>
      </c>
      <c r="D44" s="157">
        <v>1.25E-3</v>
      </c>
      <c r="E44" s="157">
        <v>1.6000000000000001E-4</v>
      </c>
      <c r="F44" s="157">
        <v>2.7E-4</v>
      </c>
      <c r="G44" s="157">
        <v>1.238E-2</v>
      </c>
      <c r="H44" s="157">
        <v>1.1820000000000001E-2</v>
      </c>
      <c r="I44" s="157">
        <v>1.0000000000000001E-5</v>
      </c>
      <c r="J44" s="157">
        <v>1.0000000000000001E-5</v>
      </c>
      <c r="K44" s="157">
        <v>0</v>
      </c>
      <c r="L44" s="157">
        <v>1.2600000000000001E-3</v>
      </c>
      <c r="M44" s="157">
        <v>3.29E-3</v>
      </c>
      <c r="N44" s="157">
        <v>2.97E-3</v>
      </c>
      <c r="O44" s="157">
        <v>3.0000000000000001E-5</v>
      </c>
      <c r="P44" s="157">
        <v>8.0000000000000007E-5</v>
      </c>
      <c r="Q44" s="157">
        <v>1E-4</v>
      </c>
      <c r="R44" s="157">
        <v>4.6999999999999999E-4</v>
      </c>
      <c r="S44" s="157">
        <v>1.09E-3</v>
      </c>
      <c r="T44" s="157">
        <v>5.2399999999999999E-3</v>
      </c>
      <c r="U44" s="157">
        <v>6.9999999999999994E-5</v>
      </c>
      <c r="V44" s="157">
        <v>2.9E-4</v>
      </c>
      <c r="W44" s="157">
        <v>2.9E-4</v>
      </c>
      <c r="X44" s="162">
        <v>1.8780000000000002E-2</v>
      </c>
      <c r="Y44" s="163">
        <v>2.3E-3</v>
      </c>
      <c r="Z44" s="164">
        <v>1.65E-3</v>
      </c>
      <c r="AA44" s="163">
        <v>1.8919999999999999E-2</v>
      </c>
      <c r="AB44" s="164">
        <v>1.8849999999999999E-2</v>
      </c>
      <c r="AC44" s="163">
        <v>3.7839999999999999E-2</v>
      </c>
      <c r="AD44" s="165">
        <v>3.7699999999999997E-2</v>
      </c>
    </row>
    <row r="45" spans="1:30" hidden="1">
      <c r="A45" s="166">
        <v>118.8502</v>
      </c>
      <c r="B45" s="157">
        <v>0</v>
      </c>
      <c r="C45" s="157">
        <v>2.81E-3</v>
      </c>
      <c r="D45" s="157">
        <v>1.24E-3</v>
      </c>
      <c r="E45" s="157">
        <v>1.6000000000000001E-4</v>
      </c>
      <c r="F45" s="157">
        <v>2.5999999999999998E-4</v>
      </c>
      <c r="G45" s="157">
        <v>1.2370000000000001E-2</v>
      </c>
      <c r="H45" s="157">
        <v>1.1820000000000001E-2</v>
      </c>
      <c r="I45" s="157">
        <v>1.0000000000000001E-5</v>
      </c>
      <c r="J45" s="157">
        <v>1.0000000000000001E-5</v>
      </c>
      <c r="K45" s="157">
        <v>0</v>
      </c>
      <c r="L45" s="157">
        <v>1.2199999999999999E-3</v>
      </c>
      <c r="M45" s="157">
        <v>3.29E-3</v>
      </c>
      <c r="N45" s="157">
        <v>2.97E-3</v>
      </c>
      <c r="O45" s="157">
        <v>3.0000000000000001E-5</v>
      </c>
      <c r="P45" s="157">
        <v>8.0000000000000007E-5</v>
      </c>
      <c r="Q45" s="157">
        <v>1E-4</v>
      </c>
      <c r="R45" s="157">
        <v>5.6999999999999998E-4</v>
      </c>
      <c r="S45" s="157">
        <v>1.09E-3</v>
      </c>
      <c r="T45" s="157">
        <v>5.2399999999999999E-3</v>
      </c>
      <c r="U45" s="157">
        <v>6.9999999999999994E-5</v>
      </c>
      <c r="V45" s="157">
        <v>2.9E-4</v>
      </c>
      <c r="W45" s="157">
        <v>2.9E-4</v>
      </c>
      <c r="X45" s="162">
        <v>1.8780000000000002E-2</v>
      </c>
      <c r="Y45" s="163">
        <v>2.3700000000000001E-3</v>
      </c>
      <c r="Z45" s="164">
        <v>1.81E-3</v>
      </c>
      <c r="AA45" s="163">
        <v>1.8919999999999999E-2</v>
      </c>
      <c r="AB45" s="164">
        <v>1.8859999999999998E-2</v>
      </c>
      <c r="AC45" s="163">
        <v>3.7850000000000002E-2</v>
      </c>
      <c r="AD45" s="165">
        <v>3.7719999999999997E-2</v>
      </c>
    </row>
    <row r="46" spans="1:30">
      <c r="A46" s="166">
        <v>125.8925</v>
      </c>
      <c r="B46" s="157">
        <v>0</v>
      </c>
      <c r="C46" s="157">
        <v>2.81E-3</v>
      </c>
      <c r="D46" s="157">
        <v>1.24E-3</v>
      </c>
      <c r="E46" s="157">
        <v>1.6000000000000001E-4</v>
      </c>
      <c r="F46" s="157">
        <v>2.5000000000000001E-4</v>
      </c>
      <c r="G46" s="157">
        <v>1.2359999999999999E-2</v>
      </c>
      <c r="H46" s="157">
        <v>1.183E-2</v>
      </c>
      <c r="I46" s="157">
        <v>1.0000000000000001E-5</v>
      </c>
      <c r="J46" s="157">
        <v>1.0000000000000001E-5</v>
      </c>
      <c r="K46" s="157">
        <v>0</v>
      </c>
      <c r="L46" s="157">
        <v>1.1800000000000001E-3</v>
      </c>
      <c r="M46" s="157">
        <v>3.29E-3</v>
      </c>
      <c r="N46" s="157">
        <v>2.97E-3</v>
      </c>
      <c r="O46" s="157">
        <v>3.0000000000000001E-5</v>
      </c>
      <c r="P46" s="157">
        <v>8.0000000000000007E-5</v>
      </c>
      <c r="Q46" s="157">
        <v>1E-4</v>
      </c>
      <c r="R46" s="157">
        <v>5.4000000000000001E-4</v>
      </c>
      <c r="S46" s="157">
        <v>1.09E-3</v>
      </c>
      <c r="T46" s="157">
        <v>5.2399999999999999E-3</v>
      </c>
      <c r="U46" s="157">
        <v>6.9999999999999994E-5</v>
      </c>
      <c r="V46" s="157">
        <v>2.9E-4</v>
      </c>
      <c r="W46" s="157">
        <v>2.9E-4</v>
      </c>
      <c r="X46" s="162">
        <v>1.8769999999999998E-2</v>
      </c>
      <c r="Y46" s="163">
        <v>2.3800000000000002E-3</v>
      </c>
      <c r="Z46" s="164">
        <v>1.9E-3</v>
      </c>
      <c r="AA46" s="163">
        <v>1.8919999999999999E-2</v>
      </c>
      <c r="AB46" s="164">
        <v>1.8859999999999998E-2</v>
      </c>
      <c r="AC46" s="163">
        <v>3.7839999999999999E-2</v>
      </c>
      <c r="AD46" s="165">
        <v>3.773E-2</v>
      </c>
    </row>
    <row r="47" spans="1:30" hidden="1">
      <c r="A47" s="166">
        <v>133.35210000000001</v>
      </c>
      <c r="B47" s="157">
        <v>0</v>
      </c>
      <c r="C47" s="157">
        <v>2.8E-3</v>
      </c>
      <c r="D47" s="157">
        <v>1.23E-3</v>
      </c>
      <c r="E47" s="157">
        <v>1.6000000000000001E-4</v>
      </c>
      <c r="F47" s="157">
        <v>2.5000000000000001E-4</v>
      </c>
      <c r="G47" s="157">
        <v>1.235E-2</v>
      </c>
      <c r="H47" s="157">
        <v>1.183E-2</v>
      </c>
      <c r="I47" s="157">
        <v>1.0000000000000001E-5</v>
      </c>
      <c r="J47" s="157">
        <v>1.0000000000000001E-5</v>
      </c>
      <c r="K47" s="157">
        <v>0</v>
      </c>
      <c r="L47" s="157">
        <v>1.15E-3</v>
      </c>
      <c r="M47" s="157">
        <v>3.29E-3</v>
      </c>
      <c r="N47" s="157">
        <v>2.97E-3</v>
      </c>
      <c r="O47" s="157">
        <v>3.0000000000000001E-5</v>
      </c>
      <c r="P47" s="157">
        <v>8.0000000000000007E-5</v>
      </c>
      <c r="Q47" s="157">
        <v>1E-4</v>
      </c>
      <c r="R47" s="157">
        <v>5.5999999999999995E-4</v>
      </c>
      <c r="S47" s="157">
        <v>1.09E-3</v>
      </c>
      <c r="T47" s="157">
        <v>5.2399999999999999E-3</v>
      </c>
      <c r="U47" s="157">
        <v>6.9999999999999994E-5</v>
      </c>
      <c r="V47" s="157">
        <v>2.9E-4</v>
      </c>
      <c r="W47" s="157">
        <v>2.9E-4</v>
      </c>
      <c r="X47" s="162">
        <v>1.8769999999999998E-2</v>
      </c>
      <c r="Y47" s="163">
        <v>2.5699999999999998E-3</v>
      </c>
      <c r="Z47" s="164">
        <v>1.7700000000000001E-3</v>
      </c>
      <c r="AA47" s="163">
        <v>1.8939999999999999E-2</v>
      </c>
      <c r="AB47" s="164">
        <v>1.8849999999999999E-2</v>
      </c>
      <c r="AC47" s="163">
        <v>3.7879999999999997E-2</v>
      </c>
      <c r="AD47" s="165">
        <v>3.7699999999999997E-2</v>
      </c>
    </row>
    <row r="48" spans="1:30" hidden="1">
      <c r="A48" s="166">
        <v>141.25380000000001</v>
      </c>
      <c r="B48" s="157">
        <v>0</v>
      </c>
      <c r="C48" s="157">
        <v>2.8E-3</v>
      </c>
      <c r="D48" s="157">
        <v>1.2199999999999999E-3</v>
      </c>
      <c r="E48" s="157">
        <v>1.6000000000000001E-4</v>
      </c>
      <c r="F48" s="157">
        <v>2.4000000000000001E-4</v>
      </c>
      <c r="G48" s="157">
        <v>1.234E-2</v>
      </c>
      <c r="H48" s="157">
        <v>1.184E-2</v>
      </c>
      <c r="I48" s="157">
        <v>2.0000000000000002E-5</v>
      </c>
      <c r="J48" s="157">
        <v>1.0000000000000001E-5</v>
      </c>
      <c r="K48" s="157">
        <v>0</v>
      </c>
      <c r="L48" s="157">
        <v>1.1199999999999999E-3</v>
      </c>
      <c r="M48" s="157">
        <v>2.1099999999999999E-3</v>
      </c>
      <c r="N48" s="157">
        <v>2.97E-3</v>
      </c>
      <c r="O48" s="157">
        <v>3.0000000000000001E-5</v>
      </c>
      <c r="P48" s="157">
        <v>8.0000000000000007E-5</v>
      </c>
      <c r="Q48" s="157">
        <v>6.0000000000000002E-5</v>
      </c>
      <c r="R48" s="157">
        <v>8.4999999999999995E-4</v>
      </c>
      <c r="S48" s="157">
        <v>1.09E-3</v>
      </c>
      <c r="T48" s="157">
        <v>5.2399999999999999E-3</v>
      </c>
      <c r="U48" s="157">
        <v>6.9999999999999994E-5</v>
      </c>
      <c r="V48" s="157">
        <v>2.9E-4</v>
      </c>
      <c r="W48" s="157">
        <v>2.9E-4</v>
      </c>
      <c r="X48" s="162">
        <v>1.8599999999999998E-2</v>
      </c>
      <c r="Y48" s="163">
        <v>2.5799999999999998E-3</v>
      </c>
      <c r="Z48" s="164">
        <v>2.0400000000000001E-3</v>
      </c>
      <c r="AA48" s="163">
        <v>1.8780000000000002E-2</v>
      </c>
      <c r="AB48" s="164">
        <v>1.8710000000000001E-2</v>
      </c>
      <c r="AC48" s="163">
        <v>3.7560000000000003E-2</v>
      </c>
      <c r="AD48" s="165">
        <v>3.7420000000000002E-2</v>
      </c>
    </row>
    <row r="49" spans="1:30" hidden="1">
      <c r="A49" s="166">
        <v>149.62350000000001</v>
      </c>
      <c r="B49" s="157">
        <v>0</v>
      </c>
      <c r="C49" s="157">
        <v>2.8E-3</v>
      </c>
      <c r="D49" s="157">
        <v>1.2199999999999999E-3</v>
      </c>
      <c r="E49" s="157">
        <v>1.6000000000000001E-4</v>
      </c>
      <c r="F49" s="157">
        <v>2.3000000000000001E-4</v>
      </c>
      <c r="G49" s="157">
        <v>1.234E-2</v>
      </c>
      <c r="H49" s="157">
        <v>1.184E-2</v>
      </c>
      <c r="I49" s="157">
        <v>2.0000000000000002E-5</v>
      </c>
      <c r="J49" s="157">
        <v>1.0000000000000001E-5</v>
      </c>
      <c r="K49" s="157">
        <v>0</v>
      </c>
      <c r="L49" s="157">
        <v>1.09E-3</v>
      </c>
      <c r="M49" s="157">
        <v>2.1099999999999999E-3</v>
      </c>
      <c r="N49" s="157">
        <v>2.97E-3</v>
      </c>
      <c r="O49" s="157">
        <v>3.0000000000000001E-5</v>
      </c>
      <c r="P49" s="157">
        <v>8.0000000000000007E-5</v>
      </c>
      <c r="Q49" s="157">
        <v>6.0000000000000002E-5</v>
      </c>
      <c r="R49" s="157">
        <v>8.4000000000000003E-4</v>
      </c>
      <c r="S49" s="157">
        <v>1.09E-3</v>
      </c>
      <c r="T49" s="157">
        <v>5.2399999999999999E-3</v>
      </c>
      <c r="U49" s="157">
        <v>6.9999999999999994E-5</v>
      </c>
      <c r="V49" s="157">
        <v>2.9E-4</v>
      </c>
      <c r="W49" s="157">
        <v>2.9E-4</v>
      </c>
      <c r="X49" s="162">
        <v>1.8599999999999998E-2</v>
      </c>
      <c r="Y49" s="163">
        <v>2.6099999999999999E-3</v>
      </c>
      <c r="Z49" s="164">
        <v>2.0999999999999999E-3</v>
      </c>
      <c r="AA49" s="163">
        <v>1.8780000000000002E-2</v>
      </c>
      <c r="AB49" s="164">
        <v>1.8710000000000001E-2</v>
      </c>
      <c r="AC49" s="163">
        <v>3.7560000000000003E-2</v>
      </c>
      <c r="AD49" s="165">
        <v>3.7429999999999998E-2</v>
      </c>
    </row>
    <row r="50" spans="1:30">
      <c r="A50" s="166">
        <v>158.48929999999999</v>
      </c>
      <c r="B50" s="157">
        <v>0</v>
      </c>
      <c r="C50" s="157">
        <v>2.8E-3</v>
      </c>
      <c r="D50" s="157">
        <v>1.2199999999999999E-3</v>
      </c>
      <c r="E50" s="157">
        <v>1.6000000000000001E-4</v>
      </c>
      <c r="F50" s="157">
        <v>2.3000000000000001E-4</v>
      </c>
      <c r="G50" s="157">
        <v>1.2330000000000001E-2</v>
      </c>
      <c r="H50" s="157">
        <v>1.1849999999999999E-2</v>
      </c>
      <c r="I50" s="157">
        <v>2.0000000000000002E-5</v>
      </c>
      <c r="J50" s="157">
        <v>1.0000000000000001E-5</v>
      </c>
      <c r="K50" s="157">
        <v>0</v>
      </c>
      <c r="L50" s="157">
        <v>1.06E-3</v>
      </c>
      <c r="M50" s="157">
        <v>2.1099999999999999E-3</v>
      </c>
      <c r="N50" s="157">
        <v>2.97E-3</v>
      </c>
      <c r="O50" s="157">
        <v>3.0000000000000001E-5</v>
      </c>
      <c r="P50" s="157">
        <v>8.0000000000000007E-5</v>
      </c>
      <c r="Q50" s="157">
        <v>6.0000000000000002E-5</v>
      </c>
      <c r="R50" s="157">
        <v>8.4000000000000003E-4</v>
      </c>
      <c r="S50" s="157">
        <v>1.09E-3</v>
      </c>
      <c r="T50" s="157">
        <v>5.2399999999999999E-3</v>
      </c>
      <c r="U50" s="157">
        <v>6.9999999999999994E-5</v>
      </c>
      <c r="V50" s="157">
        <v>2.9E-4</v>
      </c>
      <c r="W50" s="157">
        <v>2.9E-4</v>
      </c>
      <c r="X50" s="162">
        <v>1.8589999999999999E-2</v>
      </c>
      <c r="Y50" s="163">
        <v>2.5600000000000002E-3</v>
      </c>
      <c r="Z50" s="164">
        <v>2.0699999999999998E-3</v>
      </c>
      <c r="AA50" s="163">
        <v>1.8769999999999998E-2</v>
      </c>
      <c r="AB50" s="164">
        <v>1.8710000000000001E-2</v>
      </c>
      <c r="AC50" s="163">
        <v>3.7530000000000001E-2</v>
      </c>
      <c r="AD50" s="165">
        <v>3.7409999999999999E-2</v>
      </c>
    </row>
    <row r="51" spans="1:30" hidden="1">
      <c r="A51" s="166">
        <v>167.88040000000001</v>
      </c>
      <c r="B51" s="157">
        <v>0</v>
      </c>
      <c r="C51" s="157">
        <v>2.8E-3</v>
      </c>
      <c r="D51" s="157">
        <v>1.2099999999999999E-3</v>
      </c>
      <c r="E51" s="157">
        <v>1.6000000000000001E-4</v>
      </c>
      <c r="F51" s="157">
        <v>2.2000000000000001E-4</v>
      </c>
      <c r="G51" s="157">
        <v>1.2319999999999999E-2</v>
      </c>
      <c r="H51" s="157">
        <v>1.1849999999999999E-2</v>
      </c>
      <c r="I51" s="157">
        <v>2.0000000000000002E-5</v>
      </c>
      <c r="J51" s="157">
        <v>1.0000000000000001E-5</v>
      </c>
      <c r="K51" s="157">
        <v>0</v>
      </c>
      <c r="L51" s="157">
        <v>1.0300000000000001E-3</v>
      </c>
      <c r="M51" s="157">
        <v>2.1099999999999999E-3</v>
      </c>
      <c r="N51" s="157">
        <v>2.97E-3</v>
      </c>
      <c r="O51" s="157">
        <v>3.0000000000000001E-5</v>
      </c>
      <c r="P51" s="157">
        <v>8.0000000000000007E-5</v>
      </c>
      <c r="Q51" s="157">
        <v>6.9999999999999994E-5</v>
      </c>
      <c r="R51" s="157">
        <v>8.4000000000000003E-4</v>
      </c>
      <c r="S51" s="157">
        <v>1.09E-3</v>
      </c>
      <c r="T51" s="157">
        <v>5.2399999999999999E-3</v>
      </c>
      <c r="U51" s="157">
        <v>6.9999999999999994E-5</v>
      </c>
      <c r="V51" s="157">
        <v>2.9E-4</v>
      </c>
      <c r="W51" s="157">
        <v>2.9E-4</v>
      </c>
      <c r="X51" s="162">
        <v>1.8589999999999999E-2</v>
      </c>
      <c r="Y51" s="163">
        <v>2.5799999999999998E-3</v>
      </c>
      <c r="Z51" s="164">
        <v>2.16E-3</v>
      </c>
      <c r="AA51" s="163">
        <v>1.8759999999999999E-2</v>
      </c>
      <c r="AB51" s="164">
        <v>1.8710000000000001E-2</v>
      </c>
      <c r="AC51" s="163">
        <v>3.7530000000000001E-2</v>
      </c>
      <c r="AD51" s="165">
        <v>3.7420000000000002E-2</v>
      </c>
    </row>
    <row r="52" spans="1:30" hidden="1">
      <c r="A52" s="166">
        <v>177.8279</v>
      </c>
      <c r="B52" s="157">
        <v>0</v>
      </c>
      <c r="C52" s="157">
        <v>2.8E-3</v>
      </c>
      <c r="D52" s="157">
        <v>1.2099999999999999E-3</v>
      </c>
      <c r="E52" s="157">
        <v>1.6000000000000001E-4</v>
      </c>
      <c r="F52" s="157">
        <v>2.1000000000000001E-4</v>
      </c>
      <c r="G52" s="157">
        <v>1.231E-2</v>
      </c>
      <c r="H52" s="157">
        <v>1.1860000000000001E-2</v>
      </c>
      <c r="I52" s="157">
        <v>2.0000000000000002E-5</v>
      </c>
      <c r="J52" s="157">
        <v>1.0000000000000001E-5</v>
      </c>
      <c r="K52" s="157">
        <v>0</v>
      </c>
      <c r="L52" s="157">
        <v>1E-3</v>
      </c>
      <c r="M52" s="157">
        <v>2.1099999999999999E-3</v>
      </c>
      <c r="N52" s="157">
        <v>2.97E-3</v>
      </c>
      <c r="O52" s="157">
        <v>3.0000000000000001E-5</v>
      </c>
      <c r="P52" s="157">
        <v>8.0000000000000007E-5</v>
      </c>
      <c r="Q52" s="157">
        <v>6.9999999999999994E-5</v>
      </c>
      <c r="R52" s="157">
        <v>8.1999999999999998E-4</v>
      </c>
      <c r="S52" s="157">
        <v>1.09E-3</v>
      </c>
      <c r="T52" s="157">
        <v>5.2399999999999999E-3</v>
      </c>
      <c r="U52" s="157">
        <v>6.9999999999999994E-5</v>
      </c>
      <c r="V52" s="157">
        <v>2.9E-4</v>
      </c>
      <c r="W52" s="157">
        <v>2.9E-4</v>
      </c>
      <c r="X52" s="162">
        <v>1.8579999999999999E-2</v>
      </c>
      <c r="Y52" s="163">
        <v>2.3999999999999998E-3</v>
      </c>
      <c r="Z52" s="164">
        <v>2.2899999999999999E-3</v>
      </c>
      <c r="AA52" s="163">
        <v>1.874E-2</v>
      </c>
      <c r="AB52" s="164">
        <v>1.8720000000000001E-2</v>
      </c>
      <c r="AC52" s="163">
        <v>3.7470000000000003E-2</v>
      </c>
      <c r="AD52" s="165">
        <v>3.7440000000000001E-2</v>
      </c>
    </row>
    <row r="53" spans="1:30" hidden="1">
      <c r="A53" s="166">
        <v>188.36490000000001</v>
      </c>
      <c r="B53" s="157">
        <v>0</v>
      </c>
      <c r="C53" s="157">
        <v>2.8E-3</v>
      </c>
      <c r="D53" s="157">
        <v>1.2099999999999999E-3</v>
      </c>
      <c r="E53" s="157">
        <v>1.6000000000000001E-4</v>
      </c>
      <c r="F53" s="157">
        <v>2.1000000000000001E-4</v>
      </c>
      <c r="G53" s="157">
        <v>1.23E-2</v>
      </c>
      <c r="H53" s="157">
        <v>1.1860000000000001E-2</v>
      </c>
      <c r="I53" s="157">
        <v>3.0000000000000001E-5</v>
      </c>
      <c r="J53" s="157">
        <v>1.0000000000000001E-5</v>
      </c>
      <c r="K53" s="157">
        <v>0</v>
      </c>
      <c r="L53" s="157">
        <v>9.7000000000000005E-4</v>
      </c>
      <c r="M53" s="157">
        <v>2.1099999999999999E-3</v>
      </c>
      <c r="N53" s="157">
        <v>2.97E-3</v>
      </c>
      <c r="O53" s="157">
        <v>2.0000000000000002E-5</v>
      </c>
      <c r="P53" s="157">
        <v>8.0000000000000007E-5</v>
      </c>
      <c r="Q53" s="157">
        <v>6.9999999999999994E-5</v>
      </c>
      <c r="R53" s="157">
        <v>7.9000000000000001E-4</v>
      </c>
      <c r="S53" s="157">
        <v>1.09E-3</v>
      </c>
      <c r="T53" s="157">
        <v>5.2399999999999999E-3</v>
      </c>
      <c r="U53" s="157">
        <v>6.9999999999999994E-5</v>
      </c>
      <c r="V53" s="157">
        <v>2.9E-4</v>
      </c>
      <c r="W53" s="157">
        <v>2.9E-4</v>
      </c>
      <c r="X53" s="162">
        <v>1.8579999999999999E-2</v>
      </c>
      <c r="Y53" s="163">
        <v>2.5899999999999999E-3</v>
      </c>
      <c r="Z53" s="164">
        <v>2.3800000000000002E-3</v>
      </c>
      <c r="AA53" s="163">
        <v>1.8759999999999999E-2</v>
      </c>
      <c r="AB53" s="164">
        <v>1.873E-2</v>
      </c>
      <c r="AC53" s="163">
        <v>3.7510000000000002E-2</v>
      </c>
      <c r="AD53" s="165">
        <v>3.746E-2</v>
      </c>
    </row>
    <row r="54" spans="1:30">
      <c r="A54" s="166">
        <v>199.52619999999999</v>
      </c>
      <c r="B54" s="157">
        <v>0</v>
      </c>
      <c r="C54" s="157">
        <v>2.7899999999999999E-3</v>
      </c>
      <c r="D54" s="157">
        <v>1.1999999999999999E-3</v>
      </c>
      <c r="E54" s="157">
        <v>1.6000000000000001E-4</v>
      </c>
      <c r="F54" s="157">
        <v>2.0000000000000001E-4</v>
      </c>
      <c r="G54" s="157">
        <v>1.23E-2</v>
      </c>
      <c r="H54" s="157">
        <v>1.187E-2</v>
      </c>
      <c r="I54" s="157">
        <v>3.0000000000000001E-5</v>
      </c>
      <c r="J54" s="157">
        <v>1.0000000000000001E-5</v>
      </c>
      <c r="K54" s="157">
        <v>0</v>
      </c>
      <c r="L54" s="157">
        <v>9.3999999999999997E-4</v>
      </c>
      <c r="M54" s="157">
        <v>2.1099999999999999E-3</v>
      </c>
      <c r="N54" s="157">
        <v>2.97E-3</v>
      </c>
      <c r="O54" s="157">
        <v>2.0000000000000002E-5</v>
      </c>
      <c r="P54" s="157">
        <v>8.0000000000000007E-5</v>
      </c>
      <c r="Q54" s="157">
        <v>6.9999999999999994E-5</v>
      </c>
      <c r="R54" s="157">
        <v>6.9999999999999999E-4</v>
      </c>
      <c r="S54" s="157">
        <v>1.09E-3</v>
      </c>
      <c r="T54" s="157">
        <v>5.2399999999999999E-3</v>
      </c>
      <c r="U54" s="157">
        <v>6.9999999999999994E-5</v>
      </c>
      <c r="V54" s="157">
        <v>2.9E-4</v>
      </c>
      <c r="W54" s="157">
        <v>2.9E-4</v>
      </c>
      <c r="X54" s="162">
        <v>1.857E-2</v>
      </c>
      <c r="Y54" s="163">
        <v>2.49E-3</v>
      </c>
      <c r="Z54" s="164">
        <v>2.48E-3</v>
      </c>
      <c r="AA54" s="163">
        <v>1.873E-2</v>
      </c>
      <c r="AB54" s="164">
        <v>1.873E-2</v>
      </c>
      <c r="AC54" s="163">
        <v>3.7470000000000003E-2</v>
      </c>
      <c r="AD54" s="165">
        <v>3.7470000000000003E-2</v>
      </c>
    </row>
    <row r="55" spans="1:30" hidden="1">
      <c r="A55" s="166">
        <v>211.34889999999999</v>
      </c>
      <c r="B55" s="157">
        <v>0</v>
      </c>
      <c r="C55" s="157">
        <v>2.7899999999999999E-3</v>
      </c>
      <c r="D55" s="157">
        <v>1.1999999999999999E-3</v>
      </c>
      <c r="E55" s="157">
        <v>1.6000000000000001E-4</v>
      </c>
      <c r="F55" s="157">
        <v>2.0000000000000001E-4</v>
      </c>
      <c r="G55" s="157">
        <v>1.2290000000000001E-2</v>
      </c>
      <c r="H55" s="157">
        <v>1.187E-2</v>
      </c>
      <c r="I55" s="157">
        <v>3.0000000000000001E-5</v>
      </c>
      <c r="J55" s="157">
        <v>1.0000000000000001E-5</v>
      </c>
      <c r="K55" s="157">
        <v>0</v>
      </c>
      <c r="L55" s="157">
        <v>9.1E-4</v>
      </c>
      <c r="M55" s="157">
        <v>2.1099999999999999E-3</v>
      </c>
      <c r="N55" s="157">
        <v>2.97E-3</v>
      </c>
      <c r="O55" s="157">
        <v>2.0000000000000002E-5</v>
      </c>
      <c r="P55" s="157">
        <v>8.0000000000000007E-5</v>
      </c>
      <c r="Q55" s="157">
        <v>6.9999999999999994E-5</v>
      </c>
      <c r="R55" s="157">
        <v>6.8999999999999997E-4</v>
      </c>
      <c r="S55" s="157">
        <v>1.09E-3</v>
      </c>
      <c r="T55" s="157">
        <v>5.2399999999999999E-3</v>
      </c>
      <c r="U55" s="157">
        <v>6.9999999999999994E-5</v>
      </c>
      <c r="V55" s="157">
        <v>2.9E-4</v>
      </c>
      <c r="W55" s="157">
        <v>2.9E-4</v>
      </c>
      <c r="X55" s="162">
        <v>1.856E-2</v>
      </c>
      <c r="Y55" s="163">
        <v>2.7699999999999999E-3</v>
      </c>
      <c r="Z55" s="164">
        <v>2.5000000000000001E-3</v>
      </c>
      <c r="AA55" s="163">
        <v>1.8769999999999998E-2</v>
      </c>
      <c r="AB55" s="164">
        <v>1.873E-2</v>
      </c>
      <c r="AC55" s="163">
        <v>3.7539999999999997E-2</v>
      </c>
      <c r="AD55" s="165">
        <v>3.746E-2</v>
      </c>
    </row>
    <row r="56" spans="1:30" hidden="1">
      <c r="A56" s="166">
        <v>223.87209999999999</v>
      </c>
      <c r="B56" s="157">
        <v>0</v>
      </c>
      <c r="C56" s="157">
        <v>2.7899999999999999E-3</v>
      </c>
      <c r="D56" s="157">
        <v>1.1999999999999999E-3</v>
      </c>
      <c r="E56" s="157">
        <v>1.6000000000000001E-4</v>
      </c>
      <c r="F56" s="157">
        <v>1.9000000000000001E-4</v>
      </c>
      <c r="G56" s="157">
        <v>1.2279999999999999E-2</v>
      </c>
      <c r="H56" s="157">
        <v>1.187E-2</v>
      </c>
      <c r="I56" s="157">
        <v>3.0000000000000001E-5</v>
      </c>
      <c r="J56" s="157">
        <v>1.0000000000000001E-5</v>
      </c>
      <c r="K56" s="157">
        <v>0</v>
      </c>
      <c r="L56" s="157">
        <v>8.8999999999999995E-4</v>
      </c>
      <c r="M56" s="157">
        <v>2.1099999999999999E-3</v>
      </c>
      <c r="N56" s="157">
        <v>2.98E-3</v>
      </c>
      <c r="O56" s="157">
        <v>2.0000000000000002E-5</v>
      </c>
      <c r="P56" s="157">
        <v>8.0000000000000007E-5</v>
      </c>
      <c r="Q56" s="157">
        <v>8.0000000000000007E-5</v>
      </c>
      <c r="R56" s="157">
        <v>6.7000000000000002E-4</v>
      </c>
      <c r="S56" s="157">
        <v>1.09E-3</v>
      </c>
      <c r="T56" s="157">
        <v>5.2399999999999999E-3</v>
      </c>
      <c r="U56" s="157">
        <v>6.9999999999999994E-5</v>
      </c>
      <c r="V56" s="157">
        <v>2.9E-4</v>
      </c>
      <c r="W56" s="157">
        <v>2.9E-4</v>
      </c>
      <c r="X56" s="162">
        <v>1.856E-2</v>
      </c>
      <c r="Y56" s="163">
        <v>2.8500000000000001E-3</v>
      </c>
      <c r="Z56" s="164">
        <v>2.48E-3</v>
      </c>
      <c r="AA56" s="163">
        <v>1.8780000000000002E-2</v>
      </c>
      <c r="AB56" s="164">
        <v>1.873E-2</v>
      </c>
      <c r="AC56" s="163">
        <v>3.755E-2</v>
      </c>
      <c r="AD56" s="165">
        <v>3.7449999999999997E-2</v>
      </c>
    </row>
    <row r="57" spans="1:30" hidden="1">
      <c r="A57" s="166">
        <v>237.13740000000001</v>
      </c>
      <c r="B57" s="157">
        <v>0</v>
      </c>
      <c r="C57" s="157">
        <v>2.7899999999999999E-3</v>
      </c>
      <c r="D57" s="157">
        <v>1.1999999999999999E-3</v>
      </c>
      <c r="E57" s="157">
        <v>1.6000000000000001E-4</v>
      </c>
      <c r="F57" s="157">
        <v>1.9000000000000001E-4</v>
      </c>
      <c r="G57" s="157">
        <v>1.2279999999999999E-2</v>
      </c>
      <c r="H57" s="157">
        <v>1.188E-2</v>
      </c>
      <c r="I57" s="157">
        <v>4.0000000000000003E-5</v>
      </c>
      <c r="J57" s="157">
        <v>1.0000000000000001E-5</v>
      </c>
      <c r="K57" s="157">
        <v>1.0000000000000001E-5</v>
      </c>
      <c r="L57" s="157">
        <v>8.5999999999999998E-4</v>
      </c>
      <c r="M57" s="157">
        <v>2.1099999999999999E-3</v>
      </c>
      <c r="N57" s="157">
        <v>2.98E-3</v>
      </c>
      <c r="O57" s="157">
        <v>2.0000000000000002E-5</v>
      </c>
      <c r="P57" s="157">
        <v>8.0000000000000007E-5</v>
      </c>
      <c r="Q57" s="157">
        <v>8.0000000000000007E-5</v>
      </c>
      <c r="R57" s="157">
        <v>5.8E-4</v>
      </c>
      <c r="S57" s="157">
        <v>1.09E-3</v>
      </c>
      <c r="T57" s="157">
        <v>5.2399999999999999E-3</v>
      </c>
      <c r="U57" s="157">
        <v>6.9999999999999994E-5</v>
      </c>
      <c r="V57" s="157">
        <v>2.9E-4</v>
      </c>
      <c r="W57" s="157">
        <v>2.9E-4</v>
      </c>
      <c r="X57" s="162">
        <v>1.8550000000000001E-2</v>
      </c>
      <c r="Y57" s="163">
        <v>2.8300000000000001E-3</v>
      </c>
      <c r="Z57" s="164">
        <v>2.63E-3</v>
      </c>
      <c r="AA57" s="163">
        <v>1.8769999999999998E-2</v>
      </c>
      <c r="AB57" s="164">
        <v>1.874E-2</v>
      </c>
      <c r="AC57" s="163">
        <v>3.7539999999999997E-2</v>
      </c>
      <c r="AD57" s="165">
        <v>3.7479999999999999E-2</v>
      </c>
    </row>
    <row r="58" spans="1:30">
      <c r="A58" s="166">
        <v>251.18870000000001</v>
      </c>
      <c r="B58" s="157">
        <v>0</v>
      </c>
      <c r="C58" s="157">
        <v>2.7899999999999999E-3</v>
      </c>
      <c r="D58" s="157">
        <v>1.1800000000000001E-3</v>
      </c>
      <c r="E58" s="157">
        <v>1.4999999999999999E-4</v>
      </c>
      <c r="F58" s="157">
        <v>1E-4</v>
      </c>
      <c r="G58" s="157">
        <v>1.2109999999999999E-2</v>
      </c>
      <c r="H58" s="157">
        <v>1.184E-2</v>
      </c>
      <c r="I58" s="157">
        <v>4.0000000000000003E-5</v>
      </c>
      <c r="J58" s="157">
        <v>1.0000000000000001E-5</v>
      </c>
      <c r="K58" s="157">
        <v>1.0000000000000001E-5</v>
      </c>
      <c r="L58" s="157">
        <v>9.8999999999999999E-4</v>
      </c>
      <c r="M58" s="157">
        <v>2.0899999999999998E-3</v>
      </c>
      <c r="N58" s="157">
        <v>2.97E-3</v>
      </c>
      <c r="O58" s="157">
        <v>0</v>
      </c>
      <c r="P58" s="157">
        <v>8.0000000000000007E-5</v>
      </c>
      <c r="Q58" s="157">
        <v>8.0000000000000007E-5</v>
      </c>
      <c r="R58" s="157">
        <v>5.9000000000000003E-4</v>
      </c>
      <c r="S58" s="157">
        <v>1.09E-3</v>
      </c>
      <c r="T58" s="157">
        <v>5.2399999999999999E-3</v>
      </c>
      <c r="U58" s="157">
        <v>6.9999999999999994E-5</v>
      </c>
      <c r="V58" s="157">
        <v>2.9E-4</v>
      </c>
      <c r="W58" s="157">
        <v>2.9E-4</v>
      </c>
      <c r="X58" s="162">
        <v>1.8429999999999998E-2</v>
      </c>
      <c r="Y58" s="163">
        <v>1.6199999999999999E-3</v>
      </c>
      <c r="Z58" s="164">
        <v>1.1800000000000001E-3</v>
      </c>
      <c r="AA58" s="163">
        <v>1.8499999999999999E-2</v>
      </c>
      <c r="AB58" s="164">
        <v>1.8460000000000001E-2</v>
      </c>
      <c r="AC58" s="163">
        <v>3.6990000000000002E-2</v>
      </c>
      <c r="AD58" s="165">
        <v>3.6929999999999998E-2</v>
      </c>
    </row>
    <row r="59" spans="1:30" hidden="1">
      <c r="A59" s="166">
        <v>266.07249999999999</v>
      </c>
      <c r="B59" s="157">
        <v>0</v>
      </c>
      <c r="C59" s="157">
        <v>2.7899999999999999E-3</v>
      </c>
      <c r="D59" s="157">
        <v>1.1800000000000001E-3</v>
      </c>
      <c r="E59" s="157">
        <v>1.4999999999999999E-4</v>
      </c>
      <c r="F59" s="157">
        <v>1E-4</v>
      </c>
      <c r="G59" s="157">
        <v>1.2109999999999999E-2</v>
      </c>
      <c r="H59" s="157">
        <v>1.1849999999999999E-2</v>
      </c>
      <c r="I59" s="157">
        <v>5.0000000000000002E-5</v>
      </c>
      <c r="J59" s="157">
        <v>1.0000000000000001E-5</v>
      </c>
      <c r="K59" s="157">
        <v>1.0000000000000001E-5</v>
      </c>
      <c r="L59" s="157">
        <v>9.6000000000000002E-4</v>
      </c>
      <c r="M59" s="157">
        <v>2.0899999999999998E-3</v>
      </c>
      <c r="N59" s="157">
        <v>2.97E-3</v>
      </c>
      <c r="O59" s="157">
        <v>0</v>
      </c>
      <c r="P59" s="157">
        <v>8.0000000000000007E-5</v>
      </c>
      <c r="Q59" s="157">
        <v>8.0000000000000007E-5</v>
      </c>
      <c r="R59" s="157">
        <v>5.5999999999999995E-4</v>
      </c>
      <c r="S59" s="157">
        <v>1.09E-3</v>
      </c>
      <c r="T59" s="157">
        <v>5.2399999999999999E-3</v>
      </c>
      <c r="U59" s="157">
        <v>6.9999999999999994E-5</v>
      </c>
      <c r="V59" s="157">
        <v>2.9E-4</v>
      </c>
      <c r="W59" s="157">
        <v>2.9E-4</v>
      </c>
      <c r="X59" s="162">
        <v>1.8419999999999999E-2</v>
      </c>
      <c r="Y59" s="163">
        <v>1.91E-3</v>
      </c>
      <c r="Z59" s="164">
        <v>1.4300000000000001E-3</v>
      </c>
      <c r="AA59" s="163">
        <v>1.8519999999999998E-2</v>
      </c>
      <c r="AB59" s="164">
        <v>1.848E-2</v>
      </c>
      <c r="AC59" s="163">
        <v>3.7039999999999997E-2</v>
      </c>
      <c r="AD59" s="165">
        <v>3.696E-2</v>
      </c>
    </row>
    <row r="60" spans="1:30" hidden="1">
      <c r="A60" s="166">
        <v>281.8383</v>
      </c>
      <c r="B60" s="157">
        <v>0</v>
      </c>
      <c r="C60" s="157">
        <v>2.7899999999999999E-3</v>
      </c>
      <c r="D60" s="157">
        <v>1.1800000000000001E-3</v>
      </c>
      <c r="E60" s="157">
        <v>1.4999999999999999E-4</v>
      </c>
      <c r="F60" s="157">
        <v>1E-4</v>
      </c>
      <c r="G60" s="157">
        <v>1.2109999999999999E-2</v>
      </c>
      <c r="H60" s="157">
        <v>1.1849999999999999E-2</v>
      </c>
      <c r="I60" s="157">
        <v>5.0000000000000002E-5</v>
      </c>
      <c r="J60" s="157">
        <v>1.0000000000000001E-5</v>
      </c>
      <c r="K60" s="157">
        <v>1.0000000000000001E-5</v>
      </c>
      <c r="L60" s="157">
        <v>9.3000000000000005E-4</v>
      </c>
      <c r="M60" s="157">
        <v>2.0899999999999998E-3</v>
      </c>
      <c r="N60" s="157">
        <v>2.97E-3</v>
      </c>
      <c r="O60" s="157">
        <v>0</v>
      </c>
      <c r="P60" s="157">
        <v>8.0000000000000007E-5</v>
      </c>
      <c r="Q60" s="157">
        <v>8.0000000000000007E-5</v>
      </c>
      <c r="R60" s="157">
        <v>5.8E-4</v>
      </c>
      <c r="S60" s="157">
        <v>1.09E-3</v>
      </c>
      <c r="T60" s="157">
        <v>5.2399999999999999E-3</v>
      </c>
      <c r="U60" s="157">
        <v>6.9999999999999994E-5</v>
      </c>
      <c r="V60" s="157">
        <v>2.9E-4</v>
      </c>
      <c r="W60" s="157">
        <v>2.9E-4</v>
      </c>
      <c r="X60" s="162">
        <v>1.8419999999999999E-2</v>
      </c>
      <c r="Y60" s="163">
        <v>2E-3</v>
      </c>
      <c r="Z60" s="164">
        <v>1.34E-3</v>
      </c>
      <c r="AA60" s="163">
        <v>1.8530000000000001E-2</v>
      </c>
      <c r="AB60" s="164">
        <v>1.847E-2</v>
      </c>
      <c r="AC60" s="163">
        <v>3.7060000000000003E-2</v>
      </c>
      <c r="AD60" s="165">
        <v>3.6949999999999997E-2</v>
      </c>
    </row>
    <row r="61" spans="1:30" hidden="1">
      <c r="A61" s="166">
        <v>298.53820000000002</v>
      </c>
      <c r="B61" s="157">
        <v>0</v>
      </c>
      <c r="C61" s="157">
        <v>2.7899999999999999E-3</v>
      </c>
      <c r="D61" s="157">
        <v>1.1800000000000001E-3</v>
      </c>
      <c r="E61" s="157">
        <v>1.4999999999999999E-4</v>
      </c>
      <c r="F61" s="157">
        <v>1E-4</v>
      </c>
      <c r="G61" s="157">
        <v>1.2109999999999999E-2</v>
      </c>
      <c r="H61" s="157">
        <v>1.1849999999999999E-2</v>
      </c>
      <c r="I61" s="157">
        <v>6.0000000000000002E-5</v>
      </c>
      <c r="J61" s="157">
        <v>1.0000000000000001E-5</v>
      </c>
      <c r="K61" s="157">
        <v>1.0000000000000001E-5</v>
      </c>
      <c r="L61" s="157">
        <v>9.1E-4</v>
      </c>
      <c r="M61" s="157">
        <v>2.0899999999999998E-3</v>
      </c>
      <c r="N61" s="157">
        <v>2.97E-3</v>
      </c>
      <c r="O61" s="157">
        <v>0</v>
      </c>
      <c r="P61" s="157">
        <v>8.0000000000000007E-5</v>
      </c>
      <c r="Q61" s="157">
        <v>8.0000000000000007E-5</v>
      </c>
      <c r="R61" s="157">
        <v>5.5999999999999995E-4</v>
      </c>
      <c r="S61" s="157">
        <v>1.09E-3</v>
      </c>
      <c r="T61" s="157">
        <v>5.2399999999999999E-3</v>
      </c>
      <c r="U61" s="157">
        <v>6.9999999999999994E-5</v>
      </c>
      <c r="V61" s="157">
        <v>2.9E-4</v>
      </c>
      <c r="W61" s="157">
        <v>2.9E-4</v>
      </c>
      <c r="X61" s="162">
        <v>1.8419999999999999E-2</v>
      </c>
      <c r="Y61" s="163">
        <v>2.0200000000000001E-3</v>
      </c>
      <c r="Z61" s="164">
        <v>1.49E-3</v>
      </c>
      <c r="AA61" s="163">
        <v>1.8530000000000001E-2</v>
      </c>
      <c r="AB61" s="164">
        <v>1.848E-2</v>
      </c>
      <c r="AC61" s="163">
        <v>3.7069999999999999E-2</v>
      </c>
      <c r="AD61" s="165">
        <v>3.696E-2</v>
      </c>
    </row>
    <row r="62" spans="1:30">
      <c r="A62" s="166">
        <v>316.2278</v>
      </c>
      <c r="B62" s="157">
        <v>0</v>
      </c>
      <c r="C62" s="157">
        <v>2.7899999999999999E-3</v>
      </c>
      <c r="D62" s="157">
        <v>1.1800000000000001E-3</v>
      </c>
      <c r="E62" s="157">
        <v>1.4999999999999999E-4</v>
      </c>
      <c r="F62" s="157">
        <v>9.0000000000000006E-5</v>
      </c>
      <c r="G62" s="157">
        <v>1.2109999999999999E-2</v>
      </c>
      <c r="H62" s="157">
        <v>1.1849999999999999E-2</v>
      </c>
      <c r="I62" s="157">
        <v>6.0000000000000002E-5</v>
      </c>
      <c r="J62" s="157">
        <v>1.0000000000000001E-5</v>
      </c>
      <c r="K62" s="157">
        <v>1.0000000000000001E-5</v>
      </c>
      <c r="L62" s="157">
        <v>8.8000000000000003E-4</v>
      </c>
      <c r="M62" s="157">
        <v>2.0899999999999998E-3</v>
      </c>
      <c r="N62" s="157">
        <v>2.97E-3</v>
      </c>
      <c r="O62" s="157">
        <v>0</v>
      </c>
      <c r="P62" s="157">
        <v>8.0000000000000007E-5</v>
      </c>
      <c r="Q62" s="157">
        <v>6.0000000000000002E-5</v>
      </c>
      <c r="R62" s="157">
        <v>5.4000000000000001E-4</v>
      </c>
      <c r="S62" s="157">
        <v>1.09E-3</v>
      </c>
      <c r="T62" s="157">
        <v>5.2399999999999999E-3</v>
      </c>
      <c r="U62" s="157">
        <v>6.9999999999999994E-5</v>
      </c>
      <c r="V62" s="157">
        <v>2.9E-4</v>
      </c>
      <c r="W62" s="157">
        <v>2.9E-4</v>
      </c>
      <c r="X62" s="162">
        <v>1.8419999999999999E-2</v>
      </c>
      <c r="Y62" s="163">
        <v>2.0999999999999999E-3</v>
      </c>
      <c r="Z62" s="164">
        <v>1.3799999999999999E-3</v>
      </c>
      <c r="AA62" s="163">
        <v>1.8540000000000001E-2</v>
      </c>
      <c r="AB62" s="164">
        <v>1.847E-2</v>
      </c>
      <c r="AC62" s="163">
        <v>3.7080000000000002E-2</v>
      </c>
      <c r="AD62" s="165">
        <v>3.6940000000000001E-2</v>
      </c>
    </row>
    <row r="63" spans="1:30" hidden="1">
      <c r="A63" s="166">
        <v>334.96550000000002</v>
      </c>
      <c r="B63" s="157">
        <v>0</v>
      </c>
      <c r="C63" s="157">
        <v>2.7899999999999999E-3</v>
      </c>
      <c r="D63" s="157">
        <v>1.1800000000000001E-3</v>
      </c>
      <c r="E63" s="157">
        <v>1.4999999999999999E-4</v>
      </c>
      <c r="F63" s="157">
        <v>9.0000000000000006E-5</v>
      </c>
      <c r="G63" s="157">
        <v>1.2109999999999999E-2</v>
      </c>
      <c r="H63" s="157">
        <v>1.1849999999999999E-2</v>
      </c>
      <c r="I63" s="157">
        <v>6.9999999999999994E-5</v>
      </c>
      <c r="J63" s="157">
        <v>1.0000000000000001E-5</v>
      </c>
      <c r="K63" s="157">
        <v>1.0000000000000001E-5</v>
      </c>
      <c r="L63" s="157">
        <v>8.5999999999999998E-4</v>
      </c>
      <c r="M63" s="157">
        <v>2.0999999999999999E-3</v>
      </c>
      <c r="N63" s="157">
        <v>2.97E-3</v>
      </c>
      <c r="O63" s="157">
        <v>0</v>
      </c>
      <c r="P63" s="157">
        <v>8.0000000000000007E-5</v>
      </c>
      <c r="Q63" s="157">
        <v>6.0000000000000002E-5</v>
      </c>
      <c r="R63" s="157">
        <v>5.2999999999999998E-4</v>
      </c>
      <c r="S63" s="157">
        <v>1.09E-3</v>
      </c>
      <c r="T63" s="157">
        <v>5.2399999999999999E-3</v>
      </c>
      <c r="U63" s="157">
        <v>6.9999999999999994E-5</v>
      </c>
      <c r="V63" s="157">
        <v>2.9E-4</v>
      </c>
      <c r="W63" s="157">
        <v>2.9E-4</v>
      </c>
      <c r="X63" s="162">
        <v>1.8419999999999999E-2</v>
      </c>
      <c r="Y63" s="163">
        <v>2.0600000000000002E-3</v>
      </c>
      <c r="Z63" s="164">
        <v>1.3600000000000001E-3</v>
      </c>
      <c r="AA63" s="163">
        <v>1.8530000000000001E-2</v>
      </c>
      <c r="AB63" s="164">
        <v>1.847E-2</v>
      </c>
      <c r="AC63" s="163">
        <v>3.7069999999999999E-2</v>
      </c>
      <c r="AD63" s="165">
        <v>3.6940000000000001E-2</v>
      </c>
    </row>
    <row r="64" spans="1:30" hidden="1">
      <c r="A64" s="166">
        <v>354.8134</v>
      </c>
      <c r="B64" s="157">
        <v>0</v>
      </c>
      <c r="C64" s="157">
        <v>2.7899999999999999E-3</v>
      </c>
      <c r="D64" s="157">
        <v>1.1900000000000001E-3</v>
      </c>
      <c r="E64" s="157">
        <v>1.4999999999999999E-4</v>
      </c>
      <c r="F64" s="157">
        <v>9.0000000000000006E-5</v>
      </c>
      <c r="G64" s="157">
        <v>1.21E-2</v>
      </c>
      <c r="H64" s="157">
        <v>1.1849999999999999E-2</v>
      </c>
      <c r="I64" s="157">
        <v>8.0000000000000007E-5</v>
      </c>
      <c r="J64" s="157">
        <v>1.0000000000000001E-5</v>
      </c>
      <c r="K64" s="157">
        <v>1.0000000000000001E-5</v>
      </c>
      <c r="L64" s="157">
        <v>8.3000000000000001E-4</v>
      </c>
      <c r="M64" s="157">
        <v>2.0999999999999999E-3</v>
      </c>
      <c r="N64" s="157">
        <v>2.97E-3</v>
      </c>
      <c r="O64" s="157">
        <v>0</v>
      </c>
      <c r="P64" s="157">
        <v>8.0000000000000007E-5</v>
      </c>
      <c r="Q64" s="157">
        <v>6.0000000000000002E-5</v>
      </c>
      <c r="R64" s="157">
        <v>5.2999999999999998E-4</v>
      </c>
      <c r="S64" s="157">
        <v>1.09E-3</v>
      </c>
      <c r="T64" s="157">
        <v>5.2399999999999999E-3</v>
      </c>
      <c r="U64" s="157">
        <v>6.9999999999999994E-5</v>
      </c>
      <c r="V64" s="157">
        <v>2.9E-4</v>
      </c>
      <c r="W64" s="157">
        <v>2.9E-4</v>
      </c>
      <c r="X64" s="162">
        <v>1.8419999999999999E-2</v>
      </c>
      <c r="Y64" s="163">
        <v>2.1700000000000001E-3</v>
      </c>
      <c r="Z64" s="164">
        <v>1.3600000000000001E-3</v>
      </c>
      <c r="AA64" s="163">
        <v>1.8550000000000001E-2</v>
      </c>
      <c r="AB64" s="164">
        <v>1.847E-2</v>
      </c>
      <c r="AC64" s="163">
        <v>3.7089999999999998E-2</v>
      </c>
      <c r="AD64" s="165">
        <v>3.6940000000000001E-2</v>
      </c>
    </row>
    <row r="65" spans="1:30" hidden="1">
      <c r="A65" s="166">
        <v>375.8374</v>
      </c>
      <c r="B65" s="157">
        <v>0</v>
      </c>
      <c r="C65" s="157">
        <v>2.7899999999999999E-3</v>
      </c>
      <c r="D65" s="157">
        <v>1.1900000000000001E-3</v>
      </c>
      <c r="E65" s="157">
        <v>1.4999999999999999E-4</v>
      </c>
      <c r="F65" s="157">
        <v>9.0000000000000006E-5</v>
      </c>
      <c r="G65" s="157">
        <v>1.21E-2</v>
      </c>
      <c r="H65" s="157">
        <v>1.1849999999999999E-2</v>
      </c>
      <c r="I65" s="157">
        <v>9.0000000000000006E-5</v>
      </c>
      <c r="J65" s="157">
        <v>1.0000000000000001E-5</v>
      </c>
      <c r="K65" s="157">
        <v>1.0000000000000001E-5</v>
      </c>
      <c r="L65" s="157">
        <v>8.0999999999999996E-4</v>
      </c>
      <c r="M65" s="157">
        <v>2.0999999999999999E-3</v>
      </c>
      <c r="N65" s="157">
        <v>2.97E-3</v>
      </c>
      <c r="O65" s="157">
        <v>0</v>
      </c>
      <c r="P65" s="157">
        <v>8.0000000000000007E-5</v>
      </c>
      <c r="Q65" s="157">
        <v>6.9999999999999994E-5</v>
      </c>
      <c r="R65" s="157">
        <v>5.8E-4</v>
      </c>
      <c r="S65" s="157">
        <v>1.09E-3</v>
      </c>
      <c r="T65" s="157">
        <v>5.2399999999999999E-3</v>
      </c>
      <c r="U65" s="157">
        <v>6.9999999999999994E-5</v>
      </c>
      <c r="V65" s="157">
        <v>2.9E-4</v>
      </c>
      <c r="W65" s="157">
        <v>2.9E-4</v>
      </c>
      <c r="X65" s="162">
        <v>1.8419999999999999E-2</v>
      </c>
      <c r="Y65" s="163">
        <v>1.9599999999999999E-3</v>
      </c>
      <c r="Z65" s="164">
        <v>1.31E-3</v>
      </c>
      <c r="AA65" s="163">
        <v>1.8519999999999998E-2</v>
      </c>
      <c r="AB65" s="164">
        <v>1.8460000000000001E-2</v>
      </c>
      <c r="AC65" s="163">
        <v>3.705E-2</v>
      </c>
      <c r="AD65" s="165">
        <v>3.6929999999999998E-2</v>
      </c>
    </row>
    <row r="66" spans="1:30">
      <c r="A66" s="166">
        <v>398.1071</v>
      </c>
      <c r="B66" s="157">
        <v>0</v>
      </c>
      <c r="C66" s="157">
        <v>2.7899999999999999E-3</v>
      </c>
      <c r="D66" s="157">
        <v>1.1999999999999999E-3</v>
      </c>
      <c r="E66" s="157">
        <v>1.4999999999999999E-4</v>
      </c>
      <c r="F66" s="157">
        <v>9.0000000000000006E-5</v>
      </c>
      <c r="G66" s="157">
        <v>1.21E-2</v>
      </c>
      <c r="H66" s="157">
        <v>1.1849999999999999E-2</v>
      </c>
      <c r="I66" s="157">
        <v>1E-4</v>
      </c>
      <c r="J66" s="157">
        <v>1.0000000000000001E-5</v>
      </c>
      <c r="K66" s="157">
        <v>1.0000000000000001E-5</v>
      </c>
      <c r="L66" s="157">
        <v>7.7999999999999999E-4</v>
      </c>
      <c r="M66" s="157">
        <v>2.0999999999999999E-3</v>
      </c>
      <c r="N66" s="157">
        <v>2.97E-3</v>
      </c>
      <c r="O66" s="157">
        <v>0</v>
      </c>
      <c r="P66" s="157">
        <v>8.0000000000000007E-5</v>
      </c>
      <c r="Q66" s="157">
        <v>6.9999999999999994E-5</v>
      </c>
      <c r="R66" s="157">
        <v>5.8E-4</v>
      </c>
      <c r="S66" s="157">
        <v>1.09E-3</v>
      </c>
      <c r="T66" s="157">
        <v>5.2399999999999999E-3</v>
      </c>
      <c r="U66" s="157">
        <v>6.9999999999999994E-5</v>
      </c>
      <c r="V66" s="157">
        <v>2.9E-4</v>
      </c>
      <c r="W66" s="157">
        <v>2.9E-4</v>
      </c>
      <c r="X66" s="162">
        <v>1.8419999999999999E-2</v>
      </c>
      <c r="Y66" s="163">
        <v>1.98E-3</v>
      </c>
      <c r="Z66" s="164">
        <v>1.2199999999999999E-3</v>
      </c>
      <c r="AA66" s="163">
        <v>1.8519999999999998E-2</v>
      </c>
      <c r="AB66" s="164">
        <v>1.8460000000000001E-2</v>
      </c>
      <c r="AC66" s="163">
        <v>3.705E-2</v>
      </c>
      <c r="AD66" s="165">
        <v>3.6909999999999998E-2</v>
      </c>
    </row>
    <row r="67" spans="1:30" hidden="1">
      <c r="A67" s="166">
        <v>421.69650000000001</v>
      </c>
      <c r="B67" s="157">
        <v>0</v>
      </c>
      <c r="C67" s="157">
        <v>2.7899999999999999E-3</v>
      </c>
      <c r="D67" s="157">
        <v>1.1999999999999999E-3</v>
      </c>
      <c r="E67" s="157">
        <v>1.4999999999999999E-4</v>
      </c>
      <c r="F67" s="157">
        <v>9.0000000000000006E-5</v>
      </c>
      <c r="G67" s="157">
        <v>1.21E-2</v>
      </c>
      <c r="H67" s="157">
        <v>1.1849999999999999E-2</v>
      </c>
      <c r="I67" s="157">
        <v>1.1E-4</v>
      </c>
      <c r="J67" s="157">
        <v>1.0000000000000001E-5</v>
      </c>
      <c r="K67" s="157">
        <v>2.0000000000000002E-5</v>
      </c>
      <c r="L67" s="157">
        <v>7.6000000000000004E-4</v>
      </c>
      <c r="M67" s="157">
        <v>2.0999999999999999E-3</v>
      </c>
      <c r="N67" s="157">
        <v>2.97E-3</v>
      </c>
      <c r="O67" s="157">
        <v>0</v>
      </c>
      <c r="P67" s="157">
        <v>8.0000000000000007E-5</v>
      </c>
      <c r="Q67" s="157">
        <v>6.9999999999999994E-5</v>
      </c>
      <c r="R67" s="157">
        <v>5.5999999999999995E-4</v>
      </c>
      <c r="S67" s="157">
        <v>1.09E-3</v>
      </c>
      <c r="T67" s="157">
        <v>5.2399999999999999E-3</v>
      </c>
      <c r="U67" s="157">
        <v>6.9999999999999994E-5</v>
      </c>
      <c r="V67" s="157">
        <v>2.9E-4</v>
      </c>
      <c r="W67" s="157">
        <v>2.9E-4</v>
      </c>
      <c r="X67" s="162">
        <v>1.8409999999999999E-2</v>
      </c>
      <c r="Y67" s="163">
        <v>1.9599999999999999E-3</v>
      </c>
      <c r="Z67" s="164">
        <v>1.3500000000000001E-3</v>
      </c>
      <c r="AA67" s="163">
        <v>1.8519999999999998E-2</v>
      </c>
      <c r="AB67" s="164">
        <v>1.8460000000000001E-2</v>
      </c>
      <c r="AC67" s="163">
        <v>3.7039999999999997E-2</v>
      </c>
      <c r="AD67" s="165">
        <v>3.6929999999999998E-2</v>
      </c>
    </row>
    <row r="68" spans="1:30" hidden="1">
      <c r="A68" s="166">
        <v>446.68369999999999</v>
      </c>
      <c r="B68" s="157">
        <v>0</v>
      </c>
      <c r="C68" s="157">
        <v>2.7899999999999999E-3</v>
      </c>
      <c r="D68" s="157">
        <v>1.2099999999999999E-3</v>
      </c>
      <c r="E68" s="157">
        <v>1.4999999999999999E-4</v>
      </c>
      <c r="F68" s="157">
        <v>9.0000000000000006E-5</v>
      </c>
      <c r="G68" s="157">
        <v>1.21E-2</v>
      </c>
      <c r="H68" s="157">
        <v>1.1849999999999999E-2</v>
      </c>
      <c r="I68" s="157">
        <v>1.2E-4</v>
      </c>
      <c r="J68" s="157">
        <v>1.0000000000000001E-5</v>
      </c>
      <c r="K68" s="157">
        <v>2.0000000000000002E-5</v>
      </c>
      <c r="L68" s="157">
        <v>7.3999999999999999E-4</v>
      </c>
      <c r="M68" s="157">
        <v>2.0999999999999999E-3</v>
      </c>
      <c r="N68" s="157">
        <v>2.97E-3</v>
      </c>
      <c r="O68" s="157">
        <v>0</v>
      </c>
      <c r="P68" s="157">
        <v>8.0000000000000007E-5</v>
      </c>
      <c r="Q68" s="157">
        <v>6.9999999999999994E-5</v>
      </c>
      <c r="R68" s="157">
        <v>5.8E-4</v>
      </c>
      <c r="S68" s="157">
        <v>1.09E-3</v>
      </c>
      <c r="T68" s="157">
        <v>5.2399999999999999E-3</v>
      </c>
      <c r="U68" s="157">
        <v>6.9999999999999994E-5</v>
      </c>
      <c r="V68" s="157">
        <v>2.9E-4</v>
      </c>
      <c r="W68" s="157">
        <v>2.9E-4</v>
      </c>
      <c r="X68" s="162">
        <v>1.8409999999999999E-2</v>
      </c>
      <c r="Y68" s="163">
        <v>2.0999999999999999E-3</v>
      </c>
      <c r="Z68" s="164">
        <v>1.23E-3</v>
      </c>
      <c r="AA68" s="163">
        <v>1.8530000000000001E-2</v>
      </c>
      <c r="AB68" s="164">
        <v>1.8450000000000001E-2</v>
      </c>
      <c r="AC68" s="163">
        <v>3.7069999999999999E-2</v>
      </c>
      <c r="AD68" s="165">
        <v>3.6909999999999998E-2</v>
      </c>
    </row>
    <row r="69" spans="1:30" hidden="1">
      <c r="A69" s="166">
        <v>473.15120000000002</v>
      </c>
      <c r="B69" s="157">
        <v>0</v>
      </c>
      <c r="C69" s="157">
        <v>2.7899999999999999E-3</v>
      </c>
      <c r="D69" s="157">
        <v>1.2199999999999999E-3</v>
      </c>
      <c r="E69" s="157">
        <v>1.4999999999999999E-4</v>
      </c>
      <c r="F69" s="157">
        <v>9.0000000000000006E-5</v>
      </c>
      <c r="G69" s="157">
        <v>1.21E-2</v>
      </c>
      <c r="H69" s="157">
        <v>1.1849999999999999E-2</v>
      </c>
      <c r="I69" s="157">
        <v>1.2999999999999999E-4</v>
      </c>
      <c r="J69" s="157">
        <v>1.0000000000000001E-5</v>
      </c>
      <c r="K69" s="157">
        <v>2.0000000000000002E-5</v>
      </c>
      <c r="L69" s="157">
        <v>7.2000000000000005E-4</v>
      </c>
      <c r="M69" s="157">
        <v>2.0999999999999999E-3</v>
      </c>
      <c r="N69" s="157">
        <v>2.97E-3</v>
      </c>
      <c r="O69" s="157">
        <v>0</v>
      </c>
      <c r="P69" s="157">
        <v>8.0000000000000007E-5</v>
      </c>
      <c r="Q69" s="157">
        <v>6.9999999999999994E-5</v>
      </c>
      <c r="R69" s="157">
        <v>5.8E-4</v>
      </c>
      <c r="S69" s="157">
        <v>1.09E-3</v>
      </c>
      <c r="T69" s="157">
        <v>5.2399999999999999E-3</v>
      </c>
      <c r="U69" s="157">
        <v>6.9999999999999994E-5</v>
      </c>
      <c r="V69" s="157">
        <v>2.9E-4</v>
      </c>
      <c r="W69" s="157">
        <v>2.9E-4</v>
      </c>
      <c r="X69" s="162">
        <v>1.8409999999999999E-2</v>
      </c>
      <c r="Y69" s="163">
        <v>2.2699999999999999E-3</v>
      </c>
      <c r="Z69" s="164">
        <v>1.17E-3</v>
      </c>
      <c r="AA69" s="163">
        <v>1.8550000000000001E-2</v>
      </c>
      <c r="AB69" s="164">
        <v>1.8450000000000001E-2</v>
      </c>
      <c r="AC69" s="163">
        <v>3.7100000000000001E-2</v>
      </c>
      <c r="AD69" s="165">
        <v>3.6900000000000002E-2</v>
      </c>
    </row>
    <row r="70" spans="1:30">
      <c r="A70" s="166">
        <v>501.18729999999999</v>
      </c>
      <c r="B70" s="157">
        <v>0</v>
      </c>
      <c r="C70" s="157">
        <v>2.7899999999999999E-3</v>
      </c>
      <c r="D70" s="157">
        <v>1.23E-3</v>
      </c>
      <c r="E70" s="157">
        <v>1.4999999999999999E-4</v>
      </c>
      <c r="F70" s="157">
        <v>9.0000000000000006E-5</v>
      </c>
      <c r="G70" s="157">
        <v>1.21E-2</v>
      </c>
      <c r="H70" s="157">
        <v>1.184E-2</v>
      </c>
      <c r="I70" s="157">
        <v>1.4999999999999999E-4</v>
      </c>
      <c r="J70" s="157">
        <v>1.0000000000000001E-5</v>
      </c>
      <c r="K70" s="157">
        <v>2.0000000000000002E-5</v>
      </c>
      <c r="L70" s="157">
        <v>6.9999999999999999E-4</v>
      </c>
      <c r="M70" s="157">
        <v>2.0999999999999999E-3</v>
      </c>
      <c r="N70" s="157">
        <v>2.97E-3</v>
      </c>
      <c r="O70" s="157">
        <v>0</v>
      </c>
      <c r="P70" s="157">
        <v>8.0000000000000007E-5</v>
      </c>
      <c r="Q70" s="157">
        <v>6.9999999999999994E-5</v>
      </c>
      <c r="R70" s="157">
        <v>5.8E-4</v>
      </c>
      <c r="S70" s="157">
        <v>1.09E-3</v>
      </c>
      <c r="T70" s="157">
        <v>5.2399999999999999E-3</v>
      </c>
      <c r="U70" s="157">
        <v>6.9999999999999994E-5</v>
      </c>
      <c r="V70" s="157">
        <v>2.9E-4</v>
      </c>
      <c r="W70" s="157">
        <v>2.9E-4</v>
      </c>
      <c r="X70" s="162">
        <v>1.8409999999999999E-2</v>
      </c>
      <c r="Y70" s="163">
        <v>2.1199999999999999E-3</v>
      </c>
      <c r="Z70" s="164">
        <v>1.2199999999999999E-3</v>
      </c>
      <c r="AA70" s="163">
        <v>1.8530000000000001E-2</v>
      </c>
      <c r="AB70" s="164">
        <v>1.8450000000000001E-2</v>
      </c>
      <c r="AC70" s="163">
        <v>3.7060000000000003E-2</v>
      </c>
      <c r="AD70" s="165">
        <v>3.6900000000000002E-2</v>
      </c>
    </row>
    <row r="71" spans="1:30" hidden="1">
      <c r="A71" s="166">
        <v>530.88430000000005</v>
      </c>
      <c r="B71" s="157">
        <v>0</v>
      </c>
      <c r="C71" s="157">
        <v>2.7899999999999999E-3</v>
      </c>
      <c r="D71" s="157">
        <v>1.25E-3</v>
      </c>
      <c r="E71" s="157">
        <v>1.4999999999999999E-4</v>
      </c>
      <c r="F71" s="157">
        <v>1E-4</v>
      </c>
      <c r="G71" s="157">
        <v>1.21E-2</v>
      </c>
      <c r="H71" s="157">
        <v>1.184E-2</v>
      </c>
      <c r="I71" s="157">
        <v>1.6000000000000001E-4</v>
      </c>
      <c r="J71" s="157">
        <v>1.0000000000000001E-5</v>
      </c>
      <c r="K71" s="157">
        <v>2.0000000000000002E-5</v>
      </c>
      <c r="L71" s="157">
        <v>6.8000000000000005E-4</v>
      </c>
      <c r="M71" s="157">
        <v>2.0999999999999999E-3</v>
      </c>
      <c r="N71" s="157">
        <v>2.97E-3</v>
      </c>
      <c r="O71" s="157">
        <v>0</v>
      </c>
      <c r="P71" s="157">
        <v>8.0000000000000007E-5</v>
      </c>
      <c r="Q71" s="157">
        <v>6.9999999999999994E-5</v>
      </c>
      <c r="R71" s="157">
        <v>5.8E-4</v>
      </c>
      <c r="S71" s="157">
        <v>1.09E-3</v>
      </c>
      <c r="T71" s="157">
        <v>5.2399999999999999E-3</v>
      </c>
      <c r="U71" s="157">
        <v>6.9999999999999994E-5</v>
      </c>
      <c r="V71" s="157">
        <v>2.9E-4</v>
      </c>
      <c r="W71" s="157">
        <v>2.9E-4</v>
      </c>
      <c r="X71" s="162">
        <v>1.8409999999999999E-2</v>
      </c>
      <c r="Y71" s="163">
        <v>2.0200000000000001E-3</v>
      </c>
      <c r="Z71" s="164">
        <v>1.2199999999999999E-3</v>
      </c>
      <c r="AA71" s="163">
        <v>1.8519999999999998E-2</v>
      </c>
      <c r="AB71" s="164">
        <v>1.8450000000000001E-2</v>
      </c>
      <c r="AC71" s="163">
        <v>3.7039999999999997E-2</v>
      </c>
      <c r="AD71" s="165">
        <v>3.6900000000000002E-2</v>
      </c>
    </row>
    <row r="72" spans="1:30" hidden="1">
      <c r="A72" s="166">
        <v>562.34130000000005</v>
      </c>
      <c r="B72" s="157">
        <v>0</v>
      </c>
      <c r="C72" s="157">
        <v>2.7899999999999999E-3</v>
      </c>
      <c r="D72" s="157">
        <v>1.2600000000000001E-3</v>
      </c>
      <c r="E72" s="157">
        <v>1.4999999999999999E-4</v>
      </c>
      <c r="F72" s="157">
        <v>1E-4</v>
      </c>
      <c r="G72" s="157">
        <v>1.21E-2</v>
      </c>
      <c r="H72" s="157">
        <v>1.183E-2</v>
      </c>
      <c r="I72" s="157">
        <v>1.8000000000000001E-4</v>
      </c>
      <c r="J72" s="157">
        <v>1.0000000000000001E-5</v>
      </c>
      <c r="K72" s="157">
        <v>3.0000000000000001E-5</v>
      </c>
      <c r="L72" s="157">
        <v>6.6E-4</v>
      </c>
      <c r="M72" s="157">
        <v>2.0999999999999999E-3</v>
      </c>
      <c r="N72" s="157">
        <v>2.97E-3</v>
      </c>
      <c r="O72" s="157">
        <v>0</v>
      </c>
      <c r="P72" s="157">
        <v>8.0000000000000007E-5</v>
      </c>
      <c r="Q72" s="157">
        <v>6.9999999999999994E-5</v>
      </c>
      <c r="R72" s="157">
        <v>5.5000000000000003E-4</v>
      </c>
      <c r="S72" s="157">
        <v>1.09E-3</v>
      </c>
      <c r="T72" s="157">
        <v>5.2399999999999999E-3</v>
      </c>
      <c r="U72" s="157">
        <v>6.9999999999999994E-5</v>
      </c>
      <c r="V72" s="157">
        <v>2.9E-4</v>
      </c>
      <c r="W72" s="157">
        <v>2.9E-4</v>
      </c>
      <c r="X72" s="162">
        <v>1.84E-2</v>
      </c>
      <c r="Y72" s="163">
        <v>1.98E-3</v>
      </c>
      <c r="Z72" s="164">
        <v>1.42E-3</v>
      </c>
      <c r="AA72" s="163">
        <v>1.8509999999999999E-2</v>
      </c>
      <c r="AB72" s="164">
        <v>1.8460000000000001E-2</v>
      </c>
      <c r="AC72" s="163">
        <v>3.7019999999999997E-2</v>
      </c>
      <c r="AD72" s="165">
        <v>3.6920000000000001E-2</v>
      </c>
    </row>
    <row r="73" spans="1:30" hidden="1">
      <c r="A73" s="166">
        <v>595.66229999999996</v>
      </c>
      <c r="B73" s="157">
        <v>0</v>
      </c>
      <c r="C73" s="157">
        <v>2.8E-3</v>
      </c>
      <c r="D73" s="157">
        <v>1.2800000000000001E-3</v>
      </c>
      <c r="E73" s="157">
        <v>1.4999999999999999E-4</v>
      </c>
      <c r="F73" s="157">
        <v>1E-4</v>
      </c>
      <c r="G73" s="157">
        <v>1.21E-2</v>
      </c>
      <c r="H73" s="157">
        <v>1.183E-2</v>
      </c>
      <c r="I73" s="157">
        <v>2.0000000000000001E-4</v>
      </c>
      <c r="J73" s="157">
        <v>1.0000000000000001E-5</v>
      </c>
      <c r="K73" s="157">
        <v>3.0000000000000001E-5</v>
      </c>
      <c r="L73" s="157">
        <v>6.4000000000000005E-4</v>
      </c>
      <c r="M73" s="157">
        <v>2.0999999999999999E-3</v>
      </c>
      <c r="N73" s="157">
        <v>2.97E-3</v>
      </c>
      <c r="O73" s="157">
        <v>0</v>
      </c>
      <c r="P73" s="157">
        <v>8.0000000000000007E-5</v>
      </c>
      <c r="Q73" s="157">
        <v>6.9999999999999994E-5</v>
      </c>
      <c r="R73" s="157">
        <v>5.2999999999999998E-4</v>
      </c>
      <c r="S73" s="157">
        <v>1.09E-3</v>
      </c>
      <c r="T73" s="157">
        <v>5.2399999999999999E-3</v>
      </c>
      <c r="U73" s="157">
        <v>6.9999999999999994E-5</v>
      </c>
      <c r="V73" s="157">
        <v>2.9E-4</v>
      </c>
      <c r="W73" s="157">
        <v>2.9E-4</v>
      </c>
      <c r="X73" s="162">
        <v>1.84E-2</v>
      </c>
      <c r="Y73" s="163">
        <v>2E-3</v>
      </c>
      <c r="Z73" s="164">
        <v>1.2800000000000001E-3</v>
      </c>
      <c r="AA73" s="163">
        <v>1.8509999999999999E-2</v>
      </c>
      <c r="AB73" s="164">
        <v>1.8440000000000002E-2</v>
      </c>
      <c r="AC73" s="163">
        <v>3.7019999999999997E-2</v>
      </c>
      <c r="AD73" s="165">
        <v>3.6889999999999999E-2</v>
      </c>
    </row>
    <row r="74" spans="1:30">
      <c r="A74" s="166">
        <v>630.95719999999994</v>
      </c>
      <c r="B74" s="157">
        <v>0</v>
      </c>
      <c r="C74" s="157">
        <v>2.8E-3</v>
      </c>
      <c r="D74" s="157">
        <v>1.2899999999999999E-3</v>
      </c>
      <c r="E74" s="157">
        <v>1.4999999999999999E-4</v>
      </c>
      <c r="F74" s="157">
        <v>1E-4</v>
      </c>
      <c r="G74" s="157">
        <v>1.21E-2</v>
      </c>
      <c r="H74" s="157">
        <v>1.1820000000000001E-2</v>
      </c>
      <c r="I74" s="157">
        <v>2.2000000000000001E-4</v>
      </c>
      <c r="J74" s="157">
        <v>1.0000000000000001E-5</v>
      </c>
      <c r="K74" s="157">
        <v>4.0000000000000003E-5</v>
      </c>
      <c r="L74" s="157">
        <v>6.2E-4</v>
      </c>
      <c r="M74" s="157">
        <v>2.0999999999999999E-3</v>
      </c>
      <c r="N74" s="157">
        <v>2.97E-3</v>
      </c>
      <c r="O74" s="157">
        <v>0</v>
      </c>
      <c r="P74" s="157">
        <v>8.0000000000000007E-5</v>
      </c>
      <c r="Q74" s="157">
        <v>6.9999999999999994E-5</v>
      </c>
      <c r="R74" s="157">
        <v>4.8999999999999998E-4</v>
      </c>
      <c r="S74" s="157">
        <v>1.09E-3</v>
      </c>
      <c r="T74" s="157">
        <v>5.2399999999999999E-3</v>
      </c>
      <c r="U74" s="157">
        <v>6.9999999999999994E-5</v>
      </c>
      <c r="V74" s="157">
        <v>2.9E-4</v>
      </c>
      <c r="W74" s="157">
        <v>2.9E-4</v>
      </c>
      <c r="X74" s="162">
        <v>1.84E-2</v>
      </c>
      <c r="Y74" s="163">
        <v>2.0799999999999998E-3</v>
      </c>
      <c r="Z74" s="164">
        <v>1.2199999999999999E-3</v>
      </c>
      <c r="AA74" s="163">
        <v>1.8509999999999999E-2</v>
      </c>
      <c r="AB74" s="164">
        <v>1.8440000000000002E-2</v>
      </c>
      <c r="AC74" s="163">
        <v>3.7019999999999997E-2</v>
      </c>
      <c r="AD74" s="165">
        <v>3.687E-2</v>
      </c>
    </row>
    <row r="75" spans="1:30" hidden="1">
      <c r="A75" s="166">
        <v>668.34400000000005</v>
      </c>
      <c r="B75" s="157">
        <v>0</v>
      </c>
      <c r="C75" s="157">
        <v>2.8E-3</v>
      </c>
      <c r="D75" s="157">
        <v>1.31E-3</v>
      </c>
      <c r="E75" s="157">
        <v>1.6000000000000001E-4</v>
      </c>
      <c r="F75" s="157">
        <v>1.1E-4</v>
      </c>
      <c r="G75" s="157">
        <v>1.21E-2</v>
      </c>
      <c r="H75" s="157">
        <v>1.1809999999999999E-2</v>
      </c>
      <c r="I75" s="157">
        <v>2.5000000000000001E-4</v>
      </c>
      <c r="J75" s="157">
        <v>0</v>
      </c>
      <c r="K75" s="157">
        <v>4.0000000000000003E-5</v>
      </c>
      <c r="L75" s="157">
        <v>5.9999999999999995E-4</v>
      </c>
      <c r="M75" s="157">
        <v>2.0999999999999999E-3</v>
      </c>
      <c r="N75" s="157">
        <v>2.97E-3</v>
      </c>
      <c r="O75" s="157">
        <v>0</v>
      </c>
      <c r="P75" s="157">
        <v>8.0000000000000007E-5</v>
      </c>
      <c r="Q75" s="157">
        <v>8.0000000000000007E-5</v>
      </c>
      <c r="R75" s="157">
        <v>4.4000000000000002E-4</v>
      </c>
      <c r="S75" s="157">
        <v>1.09E-3</v>
      </c>
      <c r="T75" s="157">
        <v>5.2399999999999999E-3</v>
      </c>
      <c r="U75" s="157">
        <v>6.9999999999999994E-5</v>
      </c>
      <c r="V75" s="157">
        <v>2.9E-4</v>
      </c>
      <c r="W75" s="157">
        <v>2.9E-4</v>
      </c>
      <c r="X75" s="162">
        <v>1.839E-2</v>
      </c>
      <c r="Y75" s="163">
        <v>1.92E-3</v>
      </c>
      <c r="Z75" s="164">
        <v>1.56E-3</v>
      </c>
      <c r="AA75" s="163">
        <v>1.8489999999999999E-2</v>
      </c>
      <c r="AB75" s="164">
        <v>1.8460000000000001E-2</v>
      </c>
      <c r="AC75" s="163">
        <v>3.6979999999999999E-2</v>
      </c>
      <c r="AD75" s="165">
        <v>3.6909999999999998E-2</v>
      </c>
    </row>
    <row r="76" spans="1:30" hidden="1">
      <c r="A76" s="166">
        <v>707.94560000000001</v>
      </c>
      <c r="B76" s="157">
        <v>0</v>
      </c>
      <c r="C76" s="157">
        <v>2.8E-3</v>
      </c>
      <c r="D76" s="157">
        <v>1.34E-3</v>
      </c>
      <c r="E76" s="157">
        <v>1.6000000000000001E-4</v>
      </c>
      <c r="F76" s="157">
        <v>1.1E-4</v>
      </c>
      <c r="G76" s="157">
        <v>1.21E-2</v>
      </c>
      <c r="H76" s="157">
        <v>1.18E-2</v>
      </c>
      <c r="I76" s="157">
        <v>2.7999999999999998E-4</v>
      </c>
      <c r="J76" s="157">
        <v>0</v>
      </c>
      <c r="K76" s="157">
        <v>4.0000000000000003E-5</v>
      </c>
      <c r="L76" s="157">
        <v>5.8E-4</v>
      </c>
      <c r="M76" s="157">
        <v>2.0999999999999999E-3</v>
      </c>
      <c r="N76" s="157">
        <v>2.96E-3</v>
      </c>
      <c r="O76" s="157">
        <v>0</v>
      </c>
      <c r="P76" s="157">
        <v>8.0000000000000007E-5</v>
      </c>
      <c r="Q76" s="157">
        <v>8.0000000000000007E-5</v>
      </c>
      <c r="R76" s="157">
        <v>4.4999999999999999E-4</v>
      </c>
      <c r="S76" s="157">
        <v>1.09E-3</v>
      </c>
      <c r="T76" s="157">
        <v>5.2399999999999999E-3</v>
      </c>
      <c r="U76" s="157">
        <v>6.9999999999999994E-5</v>
      </c>
      <c r="V76" s="157">
        <v>2.9E-4</v>
      </c>
      <c r="W76" s="157">
        <v>2.9E-4</v>
      </c>
      <c r="X76" s="162">
        <v>1.839E-2</v>
      </c>
      <c r="Y76" s="163">
        <v>2.0500000000000002E-3</v>
      </c>
      <c r="Z76" s="164">
        <v>1.5299999999999999E-3</v>
      </c>
      <c r="AA76" s="163">
        <v>1.8499999999999999E-2</v>
      </c>
      <c r="AB76" s="164">
        <v>1.8450000000000001E-2</v>
      </c>
      <c r="AC76" s="163">
        <v>3.6999999999999998E-2</v>
      </c>
      <c r="AD76" s="165">
        <v>3.6900000000000002E-2</v>
      </c>
    </row>
    <row r="77" spans="1:30" hidden="1">
      <c r="A77" s="166">
        <v>749.89419999999996</v>
      </c>
      <c r="B77" s="157">
        <v>0</v>
      </c>
      <c r="C77" s="157">
        <v>2.81E-3</v>
      </c>
      <c r="D77" s="157">
        <v>1.3600000000000001E-3</v>
      </c>
      <c r="E77" s="157">
        <v>1.6000000000000001E-4</v>
      </c>
      <c r="F77" s="157">
        <v>1.2E-4</v>
      </c>
      <c r="G77" s="157">
        <v>1.2109999999999999E-2</v>
      </c>
      <c r="H77" s="157">
        <v>1.179E-2</v>
      </c>
      <c r="I77" s="157">
        <v>3.1E-4</v>
      </c>
      <c r="J77" s="157">
        <v>0</v>
      </c>
      <c r="K77" s="157">
        <v>5.0000000000000002E-5</v>
      </c>
      <c r="L77" s="157">
        <v>5.6999999999999998E-4</v>
      </c>
      <c r="M77" s="157">
        <v>2.0999999999999999E-3</v>
      </c>
      <c r="N77" s="157">
        <v>2.96E-3</v>
      </c>
      <c r="O77" s="157">
        <v>0</v>
      </c>
      <c r="P77" s="157">
        <v>8.0000000000000007E-5</v>
      </c>
      <c r="Q77" s="157">
        <v>8.0000000000000007E-5</v>
      </c>
      <c r="R77" s="157">
        <v>4.4000000000000002E-4</v>
      </c>
      <c r="S77" s="157">
        <v>1.09E-3</v>
      </c>
      <c r="T77" s="157">
        <v>5.2399999999999999E-3</v>
      </c>
      <c r="U77" s="157">
        <v>6.9999999999999994E-5</v>
      </c>
      <c r="V77" s="157">
        <v>2.9E-4</v>
      </c>
      <c r="W77" s="157">
        <v>2.9E-4</v>
      </c>
      <c r="X77" s="162">
        <v>1.8380000000000001E-2</v>
      </c>
      <c r="Y77" s="163">
        <v>2.2100000000000002E-3</v>
      </c>
      <c r="Z77" s="164">
        <v>1.41E-3</v>
      </c>
      <c r="AA77" s="163">
        <v>1.8509999999999999E-2</v>
      </c>
      <c r="AB77" s="164">
        <v>1.8429999999999998E-2</v>
      </c>
      <c r="AC77" s="163">
        <v>3.703E-2</v>
      </c>
      <c r="AD77" s="165">
        <v>3.687E-2</v>
      </c>
    </row>
    <row r="78" spans="1:30">
      <c r="A78" s="166">
        <v>794.32849999999996</v>
      </c>
      <c r="B78" s="157">
        <v>0</v>
      </c>
      <c r="C78" s="157">
        <v>2.81E-3</v>
      </c>
      <c r="D78" s="157">
        <v>1.39E-3</v>
      </c>
      <c r="E78" s="157">
        <v>1.6000000000000001E-4</v>
      </c>
      <c r="F78" s="157">
        <v>1.2E-4</v>
      </c>
      <c r="G78" s="157">
        <v>1.2109999999999999E-2</v>
      </c>
      <c r="H78" s="157">
        <v>1.1769999999999999E-2</v>
      </c>
      <c r="I78" s="157">
        <v>3.5E-4</v>
      </c>
      <c r="J78" s="157">
        <v>0</v>
      </c>
      <c r="K78" s="157">
        <v>6.0000000000000002E-5</v>
      </c>
      <c r="L78" s="157">
        <v>5.5000000000000003E-4</v>
      </c>
      <c r="M78" s="157">
        <v>2.1099999999999999E-3</v>
      </c>
      <c r="N78" s="157">
        <v>2.96E-3</v>
      </c>
      <c r="O78" s="157">
        <v>0</v>
      </c>
      <c r="P78" s="157">
        <v>8.0000000000000007E-5</v>
      </c>
      <c r="Q78" s="157">
        <v>8.0000000000000007E-5</v>
      </c>
      <c r="R78" s="157">
        <v>4.4999999999999999E-4</v>
      </c>
      <c r="S78" s="157">
        <v>1.09E-3</v>
      </c>
      <c r="T78" s="157">
        <v>5.2399999999999999E-3</v>
      </c>
      <c r="U78" s="157">
        <v>6.9999999999999994E-5</v>
      </c>
      <c r="V78" s="157">
        <v>2.9E-4</v>
      </c>
      <c r="W78" s="157">
        <v>2.9E-4</v>
      </c>
      <c r="X78" s="162">
        <v>1.8380000000000001E-2</v>
      </c>
      <c r="Y78" s="163">
        <v>2.1900000000000001E-3</v>
      </c>
      <c r="Z78" s="164">
        <v>1.5E-3</v>
      </c>
      <c r="AA78" s="163">
        <v>1.8509999999999999E-2</v>
      </c>
      <c r="AB78" s="164">
        <v>1.8440000000000002E-2</v>
      </c>
      <c r="AC78" s="163">
        <v>3.7010000000000001E-2</v>
      </c>
      <c r="AD78" s="165">
        <v>3.687E-2</v>
      </c>
    </row>
    <row r="79" spans="1:30" hidden="1">
      <c r="A79" s="166">
        <v>841.39499999999998</v>
      </c>
      <c r="B79" s="157">
        <v>0</v>
      </c>
      <c r="C79" s="157">
        <v>2.81E-3</v>
      </c>
      <c r="D79" s="157">
        <v>1.42E-3</v>
      </c>
      <c r="E79" s="157">
        <v>1.6000000000000001E-4</v>
      </c>
      <c r="F79" s="157">
        <v>1.2999999999999999E-4</v>
      </c>
      <c r="G79" s="157">
        <v>1.2109999999999999E-2</v>
      </c>
      <c r="H79" s="157">
        <v>1.176E-2</v>
      </c>
      <c r="I79" s="157">
        <v>3.8999999999999999E-4</v>
      </c>
      <c r="J79" s="157">
        <v>0</v>
      </c>
      <c r="K79" s="157">
        <v>6.0000000000000002E-5</v>
      </c>
      <c r="L79" s="157">
        <v>5.2999999999999998E-4</v>
      </c>
      <c r="M79" s="157">
        <v>2.1099999999999999E-3</v>
      </c>
      <c r="N79" s="157">
        <v>2.96E-3</v>
      </c>
      <c r="O79" s="157">
        <v>0</v>
      </c>
      <c r="P79" s="157">
        <v>8.0000000000000007E-5</v>
      </c>
      <c r="Q79" s="157">
        <v>8.0000000000000007E-5</v>
      </c>
      <c r="R79" s="157">
        <v>4.4000000000000002E-4</v>
      </c>
      <c r="S79" s="157">
        <v>1.09E-3</v>
      </c>
      <c r="T79" s="157">
        <v>5.2399999999999999E-3</v>
      </c>
      <c r="U79" s="157">
        <v>6.9999999999999994E-5</v>
      </c>
      <c r="V79" s="157">
        <v>2.9E-4</v>
      </c>
      <c r="W79" s="157">
        <v>2.9E-4</v>
      </c>
      <c r="X79" s="162">
        <v>1.8370000000000001E-2</v>
      </c>
      <c r="Y79" s="163">
        <v>2.1700000000000001E-3</v>
      </c>
      <c r="Z79" s="164">
        <v>1.7099999999999999E-3</v>
      </c>
      <c r="AA79" s="163">
        <v>1.8499999999999999E-2</v>
      </c>
      <c r="AB79" s="164">
        <v>1.8450000000000001E-2</v>
      </c>
      <c r="AC79" s="163">
        <v>3.6990000000000002E-2</v>
      </c>
      <c r="AD79" s="165">
        <v>3.6900000000000002E-2</v>
      </c>
    </row>
    <row r="80" spans="1:30" hidden="1">
      <c r="A80" s="166">
        <v>891.25099999999998</v>
      </c>
      <c r="B80" s="157">
        <v>0</v>
      </c>
      <c r="C80" s="157">
        <v>2.82E-3</v>
      </c>
      <c r="D80" s="157">
        <v>1.4499999999999999E-3</v>
      </c>
      <c r="E80" s="157">
        <v>1.6000000000000001E-4</v>
      </c>
      <c r="F80" s="157">
        <v>1.4999999999999999E-4</v>
      </c>
      <c r="G80" s="157">
        <v>1.2109999999999999E-2</v>
      </c>
      <c r="H80" s="157">
        <v>1.174E-2</v>
      </c>
      <c r="I80" s="157">
        <v>4.2999999999999999E-4</v>
      </c>
      <c r="J80" s="157">
        <v>1.0000000000000001E-5</v>
      </c>
      <c r="K80" s="157">
        <v>6.9999999999999994E-5</v>
      </c>
      <c r="L80" s="157">
        <v>5.1999999999999995E-4</v>
      </c>
      <c r="M80" s="157">
        <v>2.1099999999999999E-3</v>
      </c>
      <c r="N80" s="157">
        <v>2.96E-3</v>
      </c>
      <c r="O80" s="157">
        <v>0</v>
      </c>
      <c r="P80" s="157">
        <v>8.0000000000000007E-5</v>
      </c>
      <c r="Q80" s="157">
        <v>8.0000000000000007E-5</v>
      </c>
      <c r="R80" s="157">
        <v>4.4999999999999999E-4</v>
      </c>
      <c r="S80" s="157">
        <v>1.09E-3</v>
      </c>
      <c r="T80" s="157">
        <v>5.2399999999999999E-3</v>
      </c>
      <c r="U80" s="157">
        <v>6.9999999999999994E-5</v>
      </c>
      <c r="V80" s="157">
        <v>2.9E-4</v>
      </c>
      <c r="W80" s="157">
        <v>2.9E-4</v>
      </c>
      <c r="X80" s="162">
        <v>1.8360000000000001E-2</v>
      </c>
      <c r="Y80" s="163">
        <v>2.15E-3</v>
      </c>
      <c r="Z80" s="164">
        <v>1.6800000000000001E-3</v>
      </c>
      <c r="AA80" s="163">
        <v>1.8489999999999999E-2</v>
      </c>
      <c r="AB80" s="164">
        <v>1.8440000000000002E-2</v>
      </c>
      <c r="AC80" s="163">
        <v>3.6979999999999999E-2</v>
      </c>
      <c r="AD80" s="165">
        <v>3.6880000000000003E-2</v>
      </c>
    </row>
    <row r="81" spans="1:30" hidden="1">
      <c r="A81" s="166">
        <v>944.0607</v>
      </c>
      <c r="B81" s="157">
        <v>0</v>
      </c>
      <c r="C81" s="157">
        <v>2.82E-3</v>
      </c>
      <c r="D81" s="157">
        <v>1.49E-3</v>
      </c>
      <c r="E81" s="157">
        <v>1.6000000000000001E-4</v>
      </c>
      <c r="F81" s="157">
        <v>1.6000000000000001E-4</v>
      </c>
      <c r="G81" s="157">
        <v>1.2120000000000001E-2</v>
      </c>
      <c r="H81" s="157">
        <v>1.171E-2</v>
      </c>
      <c r="I81" s="157">
        <v>4.8000000000000001E-4</v>
      </c>
      <c r="J81" s="157">
        <v>1.0000000000000001E-5</v>
      </c>
      <c r="K81" s="157">
        <v>8.0000000000000007E-5</v>
      </c>
      <c r="L81" s="157">
        <v>5.0000000000000001E-4</v>
      </c>
      <c r="M81" s="157">
        <v>2.1099999999999999E-3</v>
      </c>
      <c r="N81" s="157">
        <v>2.9499999999999999E-3</v>
      </c>
      <c r="O81" s="157">
        <v>0</v>
      </c>
      <c r="P81" s="157">
        <v>8.0000000000000007E-5</v>
      </c>
      <c r="Q81" s="157">
        <v>8.0000000000000007E-5</v>
      </c>
      <c r="R81" s="157">
        <v>4.4999999999999999E-4</v>
      </c>
      <c r="S81" s="157">
        <v>1.09E-3</v>
      </c>
      <c r="T81" s="157">
        <v>5.2399999999999999E-3</v>
      </c>
      <c r="U81" s="157">
        <v>6.9999999999999994E-5</v>
      </c>
      <c r="V81" s="157">
        <v>2.9E-4</v>
      </c>
      <c r="W81" s="157">
        <v>2.9E-4</v>
      </c>
      <c r="X81" s="162">
        <v>1.8350000000000002E-2</v>
      </c>
      <c r="Y81" s="163">
        <v>2.2100000000000002E-3</v>
      </c>
      <c r="Z81" s="164">
        <v>1.6299999999999999E-3</v>
      </c>
      <c r="AA81" s="163">
        <v>1.8489999999999999E-2</v>
      </c>
      <c r="AB81" s="164">
        <v>1.8429999999999998E-2</v>
      </c>
      <c r="AC81" s="163">
        <v>3.6970000000000003E-2</v>
      </c>
      <c r="AD81" s="165">
        <v>3.6850000000000001E-2</v>
      </c>
    </row>
    <row r="82" spans="1:30">
      <c r="A82" s="167">
        <v>1000</v>
      </c>
      <c r="B82" s="157">
        <v>0</v>
      </c>
      <c r="C82" s="157">
        <v>2.8300000000000001E-3</v>
      </c>
      <c r="D82" s="157">
        <v>1.5200000000000001E-3</v>
      </c>
      <c r="E82" s="157">
        <v>1.6000000000000001E-4</v>
      </c>
      <c r="F82" s="157">
        <v>1.7000000000000001E-4</v>
      </c>
      <c r="G82" s="157">
        <v>1.2120000000000001E-2</v>
      </c>
      <c r="H82" s="157">
        <v>1.1690000000000001E-2</v>
      </c>
      <c r="I82" s="157">
        <v>5.4000000000000001E-4</v>
      </c>
      <c r="J82" s="157">
        <v>1.0000000000000001E-5</v>
      </c>
      <c r="K82" s="157">
        <v>9.0000000000000006E-5</v>
      </c>
      <c r="L82" s="157">
        <v>4.8999999999999998E-4</v>
      </c>
      <c r="M82" s="157">
        <v>2.1099999999999999E-3</v>
      </c>
      <c r="N82" s="157">
        <v>2.9499999999999999E-3</v>
      </c>
      <c r="O82" s="157">
        <v>0</v>
      </c>
      <c r="P82" s="157">
        <v>8.0000000000000007E-5</v>
      </c>
      <c r="Q82" s="157">
        <v>8.0000000000000007E-5</v>
      </c>
      <c r="R82" s="157">
        <v>4.4000000000000002E-4</v>
      </c>
      <c r="S82" s="157">
        <v>1.09E-3</v>
      </c>
      <c r="T82" s="157">
        <v>5.2399999999999999E-3</v>
      </c>
      <c r="U82" s="157">
        <v>6.9999999999999994E-5</v>
      </c>
      <c r="V82" s="157">
        <v>2.9E-4</v>
      </c>
      <c r="W82" s="157">
        <v>2.9E-4</v>
      </c>
      <c r="X82" s="162">
        <v>1.8350000000000002E-2</v>
      </c>
      <c r="Y82" s="163">
        <v>2.3999999999999998E-3</v>
      </c>
      <c r="Z82" s="164">
        <v>1.5200000000000001E-3</v>
      </c>
      <c r="AA82" s="163">
        <v>1.8499999999999999E-2</v>
      </c>
      <c r="AB82" s="164">
        <v>1.8409999999999999E-2</v>
      </c>
      <c r="AC82" s="163">
        <v>3.6999999999999998E-2</v>
      </c>
      <c r="AD82" s="165">
        <v>3.6819999999999999E-2</v>
      </c>
    </row>
    <row r="83" spans="1:30" hidden="1">
      <c r="A83" s="167">
        <v>1059.2539999999999</v>
      </c>
      <c r="B83" s="157">
        <v>0</v>
      </c>
      <c r="C83" s="157">
        <v>2.8400000000000001E-3</v>
      </c>
      <c r="D83" s="157">
        <v>1.56E-3</v>
      </c>
      <c r="E83" s="157">
        <v>1.6000000000000001E-4</v>
      </c>
      <c r="F83" s="157">
        <v>1.9000000000000001E-4</v>
      </c>
      <c r="G83" s="157">
        <v>1.2120000000000001E-2</v>
      </c>
      <c r="H83" s="157">
        <v>1.166E-2</v>
      </c>
      <c r="I83" s="157">
        <v>6.0999999999999997E-4</v>
      </c>
      <c r="J83" s="157">
        <v>2.0000000000000002E-5</v>
      </c>
      <c r="K83" s="157">
        <v>1E-4</v>
      </c>
      <c r="L83" s="157">
        <v>4.6999999999999999E-4</v>
      </c>
      <c r="M83" s="157">
        <v>2.1099999999999999E-3</v>
      </c>
      <c r="N83" s="157">
        <v>2.9399999999999999E-3</v>
      </c>
      <c r="O83" s="157">
        <v>0</v>
      </c>
      <c r="P83" s="157">
        <v>8.0000000000000007E-5</v>
      </c>
      <c r="Q83" s="157">
        <v>8.0000000000000007E-5</v>
      </c>
      <c r="R83" s="157">
        <v>4.4999999999999999E-4</v>
      </c>
      <c r="S83" s="157">
        <v>1.09E-3</v>
      </c>
      <c r="T83" s="157">
        <v>5.2399999999999999E-3</v>
      </c>
      <c r="U83" s="157">
        <v>6.9999999999999994E-5</v>
      </c>
      <c r="V83" s="157">
        <v>2.9E-4</v>
      </c>
      <c r="W83" s="157">
        <v>2.9E-4</v>
      </c>
      <c r="X83" s="162">
        <v>1.8339999999999999E-2</v>
      </c>
      <c r="Y83" s="163">
        <v>2.1700000000000001E-3</v>
      </c>
      <c r="Z83" s="164">
        <v>2.1299999999999999E-3</v>
      </c>
      <c r="AA83" s="163">
        <v>1.847E-2</v>
      </c>
      <c r="AB83" s="164">
        <v>1.8460000000000001E-2</v>
      </c>
      <c r="AC83" s="163">
        <v>3.6929999999999998E-2</v>
      </c>
      <c r="AD83" s="165">
        <v>3.6920000000000001E-2</v>
      </c>
    </row>
    <row r="84" spans="1:30" hidden="1">
      <c r="A84" s="167">
        <v>1122.018</v>
      </c>
      <c r="B84" s="157">
        <v>0</v>
      </c>
      <c r="C84" s="157">
        <v>2.8400000000000001E-3</v>
      </c>
      <c r="D84" s="157">
        <v>1.6100000000000001E-3</v>
      </c>
      <c r="E84" s="157">
        <v>1.6000000000000001E-4</v>
      </c>
      <c r="F84" s="157">
        <v>2.1000000000000001E-4</v>
      </c>
      <c r="G84" s="157">
        <v>1.213E-2</v>
      </c>
      <c r="H84" s="157">
        <v>1.163E-2</v>
      </c>
      <c r="I84" s="157">
        <v>6.8000000000000005E-4</v>
      </c>
      <c r="J84" s="157">
        <v>2.0000000000000002E-5</v>
      </c>
      <c r="K84" s="157">
        <v>1.1E-4</v>
      </c>
      <c r="L84" s="157">
        <v>4.6000000000000001E-4</v>
      </c>
      <c r="M84" s="157">
        <v>2.1099999999999999E-3</v>
      </c>
      <c r="N84" s="157">
        <v>2.9399999999999999E-3</v>
      </c>
      <c r="O84" s="157">
        <v>0</v>
      </c>
      <c r="P84" s="157">
        <v>8.0000000000000007E-5</v>
      </c>
      <c r="Q84" s="157">
        <v>9.0000000000000006E-5</v>
      </c>
      <c r="R84" s="157">
        <v>4.4000000000000002E-4</v>
      </c>
      <c r="S84" s="157">
        <v>1.09E-3</v>
      </c>
      <c r="T84" s="157">
        <v>5.2399999999999999E-3</v>
      </c>
      <c r="U84" s="157">
        <v>6.9999999999999994E-5</v>
      </c>
      <c r="V84" s="157">
        <v>2.9E-4</v>
      </c>
      <c r="W84" s="157">
        <v>2.9E-4</v>
      </c>
      <c r="X84" s="162">
        <v>1.8329999999999999E-2</v>
      </c>
      <c r="Y84" s="163">
        <v>2.3600000000000001E-3</v>
      </c>
      <c r="Z84" s="164">
        <v>1.74E-3</v>
      </c>
      <c r="AA84" s="163">
        <v>1.848E-2</v>
      </c>
      <c r="AB84" s="164">
        <v>1.8409999999999999E-2</v>
      </c>
      <c r="AC84" s="163">
        <v>3.6949999999999997E-2</v>
      </c>
      <c r="AD84" s="165">
        <v>3.6819999999999999E-2</v>
      </c>
    </row>
    <row r="85" spans="1:30" hidden="1">
      <c r="A85" s="167">
        <v>1188.502</v>
      </c>
      <c r="B85" s="157">
        <v>0</v>
      </c>
      <c r="C85" s="157">
        <v>2.8500000000000001E-3</v>
      </c>
      <c r="D85" s="157">
        <v>1.66E-3</v>
      </c>
      <c r="E85" s="157">
        <v>1.7000000000000001E-4</v>
      </c>
      <c r="F85" s="157">
        <v>2.3000000000000001E-4</v>
      </c>
      <c r="G85" s="157">
        <v>1.214E-2</v>
      </c>
      <c r="H85" s="157">
        <v>1.159E-2</v>
      </c>
      <c r="I85" s="157">
        <v>7.6000000000000004E-4</v>
      </c>
      <c r="J85" s="157">
        <v>3.0000000000000001E-5</v>
      </c>
      <c r="K85" s="157">
        <v>1.2E-4</v>
      </c>
      <c r="L85" s="157">
        <v>4.4000000000000002E-4</v>
      </c>
      <c r="M85" s="157">
        <v>2.1099999999999999E-3</v>
      </c>
      <c r="N85" s="157">
        <v>2.9299999999999999E-3</v>
      </c>
      <c r="O85" s="157">
        <v>0</v>
      </c>
      <c r="P85" s="157">
        <v>8.0000000000000007E-5</v>
      </c>
      <c r="Q85" s="157">
        <v>9.0000000000000006E-5</v>
      </c>
      <c r="R85" s="157">
        <v>4.4000000000000002E-4</v>
      </c>
      <c r="S85" s="157">
        <v>1.09E-3</v>
      </c>
      <c r="T85" s="157">
        <v>5.2399999999999999E-3</v>
      </c>
      <c r="U85" s="157">
        <v>6.9999999999999994E-5</v>
      </c>
      <c r="V85" s="157">
        <v>2.9E-4</v>
      </c>
      <c r="W85" s="157">
        <v>2.9E-4</v>
      </c>
      <c r="X85" s="162">
        <v>1.831E-2</v>
      </c>
      <c r="Y85" s="163">
        <v>2.7499999999999998E-3</v>
      </c>
      <c r="Z85" s="164">
        <v>2.14E-3</v>
      </c>
      <c r="AA85" s="163">
        <v>1.8519999999999998E-2</v>
      </c>
      <c r="AB85" s="164">
        <v>1.8440000000000002E-2</v>
      </c>
      <c r="AC85" s="163">
        <v>3.7039999999999997E-2</v>
      </c>
      <c r="AD85" s="165">
        <v>3.6880000000000003E-2</v>
      </c>
    </row>
    <row r="86" spans="1:30">
      <c r="A86" s="167">
        <v>1258.925</v>
      </c>
      <c r="B86" s="157">
        <v>1.0000000000000001E-5</v>
      </c>
      <c r="C86" s="157">
        <v>2.8600000000000001E-3</v>
      </c>
      <c r="D86" s="157">
        <v>1.7099999999999999E-3</v>
      </c>
      <c r="E86" s="157">
        <v>1.7000000000000001E-4</v>
      </c>
      <c r="F86" s="157">
        <v>2.5000000000000001E-4</v>
      </c>
      <c r="G86" s="157">
        <v>1.214E-2</v>
      </c>
      <c r="H86" s="157">
        <v>1.155E-2</v>
      </c>
      <c r="I86" s="157">
        <v>8.4999999999999995E-4</v>
      </c>
      <c r="J86" s="157">
        <v>3.0000000000000001E-5</v>
      </c>
      <c r="K86" s="157">
        <v>1.3999999999999999E-4</v>
      </c>
      <c r="L86" s="157">
        <v>4.2999999999999999E-4</v>
      </c>
      <c r="M86" s="157">
        <v>2.1099999999999999E-3</v>
      </c>
      <c r="N86" s="157">
        <v>2.9299999999999999E-3</v>
      </c>
      <c r="O86" s="157">
        <v>0</v>
      </c>
      <c r="P86" s="157">
        <v>8.0000000000000007E-5</v>
      </c>
      <c r="Q86" s="157">
        <v>9.0000000000000006E-5</v>
      </c>
      <c r="R86" s="157">
        <v>4.4000000000000002E-4</v>
      </c>
      <c r="S86" s="157">
        <v>1.09E-3</v>
      </c>
      <c r="T86" s="157">
        <v>5.2399999999999999E-3</v>
      </c>
      <c r="U86" s="157">
        <v>6.9999999999999994E-5</v>
      </c>
      <c r="V86" s="157">
        <v>2.9E-4</v>
      </c>
      <c r="W86" s="157">
        <v>2.9E-4</v>
      </c>
      <c r="X86" s="162">
        <v>1.83E-2</v>
      </c>
      <c r="Y86" s="163">
        <v>2.48E-3</v>
      </c>
      <c r="Z86" s="164">
        <v>1.9599999999999999E-3</v>
      </c>
      <c r="AA86" s="163">
        <v>1.847E-2</v>
      </c>
      <c r="AB86" s="164">
        <v>1.8409999999999999E-2</v>
      </c>
      <c r="AC86" s="163">
        <v>3.6940000000000001E-2</v>
      </c>
      <c r="AD86" s="165">
        <v>3.6810000000000002E-2</v>
      </c>
    </row>
    <row r="87" spans="1:30" hidden="1">
      <c r="A87" s="167">
        <v>1333.521</v>
      </c>
      <c r="B87" s="157">
        <v>1.0000000000000001E-5</v>
      </c>
      <c r="C87" s="157">
        <v>2.8700000000000002E-3</v>
      </c>
      <c r="D87" s="157">
        <v>1.7600000000000001E-3</v>
      </c>
      <c r="E87" s="157">
        <v>1.7000000000000001E-4</v>
      </c>
      <c r="F87" s="157">
        <v>2.7999999999999998E-4</v>
      </c>
      <c r="G87" s="157">
        <v>1.2149999999999999E-2</v>
      </c>
      <c r="H87" s="157">
        <v>1.1509999999999999E-2</v>
      </c>
      <c r="I87" s="157">
        <v>9.5E-4</v>
      </c>
      <c r="J87" s="157">
        <v>4.0000000000000003E-5</v>
      </c>
      <c r="K87" s="157">
        <v>1.6000000000000001E-4</v>
      </c>
      <c r="L87" s="157">
        <v>4.2000000000000002E-4</v>
      </c>
      <c r="M87" s="157">
        <v>2.1199999999999999E-3</v>
      </c>
      <c r="N87" s="157">
        <v>2.9199999999999999E-3</v>
      </c>
      <c r="O87" s="157">
        <v>0</v>
      </c>
      <c r="P87" s="157">
        <v>8.0000000000000007E-5</v>
      </c>
      <c r="Q87" s="157">
        <v>9.0000000000000006E-5</v>
      </c>
      <c r="R87" s="157">
        <v>4.4000000000000002E-4</v>
      </c>
      <c r="S87" s="157">
        <v>1.09E-3</v>
      </c>
      <c r="T87" s="157">
        <v>5.2399999999999999E-3</v>
      </c>
      <c r="U87" s="157">
        <v>6.9999999999999994E-5</v>
      </c>
      <c r="V87" s="157">
        <v>2.9E-4</v>
      </c>
      <c r="W87" s="157">
        <v>2.9E-4</v>
      </c>
      <c r="X87" s="162">
        <v>1.8290000000000001E-2</v>
      </c>
      <c r="Y87" s="163">
        <v>2.3500000000000001E-3</v>
      </c>
      <c r="Z87" s="164">
        <v>1.7899999999999999E-3</v>
      </c>
      <c r="AA87" s="163">
        <v>1.8440000000000002E-2</v>
      </c>
      <c r="AB87" s="164">
        <v>1.8380000000000001E-2</v>
      </c>
      <c r="AC87" s="163">
        <v>3.6880000000000003E-2</v>
      </c>
      <c r="AD87" s="165">
        <v>3.6749999999999998E-2</v>
      </c>
    </row>
    <row r="88" spans="1:30" hidden="1">
      <c r="A88" s="167">
        <v>1412.538</v>
      </c>
      <c r="B88" s="157">
        <v>0</v>
      </c>
      <c r="C88" s="157">
        <v>2.8800000000000002E-3</v>
      </c>
      <c r="D88" s="157">
        <v>1.74E-3</v>
      </c>
      <c r="E88" s="157">
        <v>1.6000000000000001E-4</v>
      </c>
      <c r="F88" s="157">
        <v>2.5999999999999998E-4</v>
      </c>
      <c r="G88" s="157">
        <v>1.4E-2</v>
      </c>
      <c r="H88" s="157">
        <v>1.3259999999999999E-2</v>
      </c>
      <c r="I88" s="157">
        <v>1.2099999999999999E-3</v>
      </c>
      <c r="J88" s="157">
        <v>6.9999999999999994E-5</v>
      </c>
      <c r="K88" s="157">
        <v>2.1000000000000001E-4</v>
      </c>
      <c r="L88" s="157">
        <v>4.6999999999999999E-4</v>
      </c>
      <c r="M88" s="157">
        <v>1.5299999999999999E-3</v>
      </c>
      <c r="N88" s="157">
        <v>2.9199999999999999E-3</v>
      </c>
      <c r="O88" s="157">
        <v>0</v>
      </c>
      <c r="P88" s="157">
        <v>9.0000000000000006E-5</v>
      </c>
      <c r="Q88" s="157">
        <v>3.0000000000000001E-5</v>
      </c>
      <c r="R88" s="157">
        <v>4.4000000000000002E-4</v>
      </c>
      <c r="S88" s="157">
        <v>1.09E-3</v>
      </c>
      <c r="T88" s="157">
        <v>5.2399999999999999E-3</v>
      </c>
      <c r="U88" s="157">
        <v>6.9999999999999994E-5</v>
      </c>
      <c r="V88" s="157">
        <v>2.9E-4</v>
      </c>
      <c r="W88" s="157">
        <v>2.9E-4</v>
      </c>
      <c r="X88" s="162">
        <v>2.061E-2</v>
      </c>
      <c r="Y88" s="163">
        <v>1.8799999999999999E-3</v>
      </c>
      <c r="Z88" s="164">
        <v>1.5E-3</v>
      </c>
      <c r="AA88" s="163">
        <v>2.07E-2</v>
      </c>
      <c r="AB88" s="164">
        <v>2.0670000000000001E-2</v>
      </c>
      <c r="AC88" s="163">
        <v>4.1399999999999999E-2</v>
      </c>
      <c r="AD88" s="165">
        <v>4.1340000000000002E-2</v>
      </c>
    </row>
    <row r="89" spans="1:30" hidden="1">
      <c r="A89" s="167">
        <v>1496.2349999999999</v>
      </c>
      <c r="B89" s="157">
        <v>0</v>
      </c>
      <c r="C89" s="157">
        <v>2.8900000000000002E-3</v>
      </c>
      <c r="D89" s="157">
        <v>1.7899999999999999E-3</v>
      </c>
      <c r="E89" s="157">
        <v>1.7000000000000001E-4</v>
      </c>
      <c r="F89" s="157">
        <v>2.7999999999999998E-4</v>
      </c>
      <c r="G89" s="157">
        <v>1.401E-2</v>
      </c>
      <c r="H89" s="157">
        <v>1.321E-2</v>
      </c>
      <c r="I89" s="157">
        <v>1.3600000000000001E-3</v>
      </c>
      <c r="J89" s="157">
        <v>8.0000000000000007E-5</v>
      </c>
      <c r="K89" s="157">
        <v>2.4000000000000001E-4</v>
      </c>
      <c r="L89" s="157">
        <v>4.4999999999999999E-4</v>
      </c>
      <c r="M89" s="157">
        <v>1.5299999999999999E-3</v>
      </c>
      <c r="N89" s="157">
        <v>2.9099999999999998E-3</v>
      </c>
      <c r="O89" s="157">
        <v>0</v>
      </c>
      <c r="P89" s="157">
        <v>9.0000000000000006E-5</v>
      </c>
      <c r="Q89" s="157">
        <v>3.0000000000000001E-5</v>
      </c>
      <c r="R89" s="157">
        <v>4.4000000000000002E-4</v>
      </c>
      <c r="S89" s="157">
        <v>1.09E-3</v>
      </c>
      <c r="T89" s="157">
        <v>5.2399999999999999E-3</v>
      </c>
      <c r="U89" s="157">
        <v>6.9999999999999994E-5</v>
      </c>
      <c r="V89" s="157">
        <v>2.9E-4</v>
      </c>
      <c r="W89" s="157">
        <v>2.9E-4</v>
      </c>
      <c r="X89" s="162">
        <v>2.06E-2</v>
      </c>
      <c r="Y89" s="163">
        <v>1.8799999999999999E-3</v>
      </c>
      <c r="Z89" s="164">
        <v>1.4E-3</v>
      </c>
      <c r="AA89" s="163">
        <v>2.069E-2</v>
      </c>
      <c r="AB89" s="164">
        <v>2.0650000000000002E-2</v>
      </c>
      <c r="AC89" s="163">
        <v>4.1369999999999997E-2</v>
      </c>
      <c r="AD89" s="165">
        <v>4.129E-2</v>
      </c>
    </row>
    <row r="90" spans="1:30">
      <c r="A90" s="167">
        <v>1584.893</v>
      </c>
      <c r="B90" s="157">
        <v>0</v>
      </c>
      <c r="C90" s="157">
        <v>2.8999999999999998E-3</v>
      </c>
      <c r="D90" s="157">
        <v>1.8500000000000001E-3</v>
      </c>
      <c r="E90" s="157">
        <v>1.7000000000000001E-4</v>
      </c>
      <c r="F90" s="157">
        <v>3.1E-4</v>
      </c>
      <c r="G90" s="157">
        <v>1.4030000000000001E-2</v>
      </c>
      <c r="H90" s="157">
        <v>1.3140000000000001E-2</v>
      </c>
      <c r="I90" s="157">
        <v>1.5200000000000001E-3</v>
      </c>
      <c r="J90" s="157">
        <v>9.0000000000000006E-5</v>
      </c>
      <c r="K90" s="157">
        <v>2.5999999999999998E-4</v>
      </c>
      <c r="L90" s="157">
        <v>4.4000000000000002E-4</v>
      </c>
      <c r="M90" s="157">
        <v>1.5299999999999999E-3</v>
      </c>
      <c r="N90" s="157">
        <v>2.8999999999999998E-3</v>
      </c>
      <c r="O90" s="157">
        <v>0</v>
      </c>
      <c r="P90" s="157">
        <v>9.0000000000000006E-5</v>
      </c>
      <c r="Q90" s="157">
        <v>3.0000000000000001E-5</v>
      </c>
      <c r="R90" s="157">
        <v>4.2000000000000002E-4</v>
      </c>
      <c r="S90" s="157">
        <v>1.09E-3</v>
      </c>
      <c r="T90" s="157">
        <v>5.2399999999999999E-3</v>
      </c>
      <c r="U90" s="157">
        <v>6.9999999999999994E-5</v>
      </c>
      <c r="V90" s="157">
        <v>2.9E-4</v>
      </c>
      <c r="W90" s="157">
        <v>2.9E-4</v>
      </c>
      <c r="X90" s="162">
        <v>2.0590000000000001E-2</v>
      </c>
      <c r="Y90" s="163">
        <v>1.6100000000000001E-3</v>
      </c>
      <c r="Z90" s="164">
        <v>1.1299999999999999E-3</v>
      </c>
      <c r="AA90" s="163">
        <v>2.0650000000000002E-2</v>
      </c>
      <c r="AB90" s="164">
        <v>2.0619999999999999E-2</v>
      </c>
      <c r="AC90" s="163">
        <v>4.1300000000000003E-2</v>
      </c>
      <c r="AD90" s="165">
        <v>4.1230000000000003E-2</v>
      </c>
    </row>
    <row r="91" spans="1:30" hidden="1">
      <c r="A91" s="167">
        <v>1678.8040000000001</v>
      </c>
      <c r="B91" s="157">
        <v>1.0000000000000001E-5</v>
      </c>
      <c r="C91" s="157">
        <v>2.9199999999999999E-3</v>
      </c>
      <c r="D91" s="157">
        <v>1.91E-3</v>
      </c>
      <c r="E91" s="157">
        <v>1.7000000000000001E-4</v>
      </c>
      <c r="F91" s="157">
        <v>3.5E-4</v>
      </c>
      <c r="G91" s="157">
        <v>1.404E-2</v>
      </c>
      <c r="H91" s="157">
        <v>1.307E-2</v>
      </c>
      <c r="I91" s="157">
        <v>1.6999999999999999E-3</v>
      </c>
      <c r="J91" s="157">
        <v>1.1E-4</v>
      </c>
      <c r="K91" s="157">
        <v>2.9999999999999997E-4</v>
      </c>
      <c r="L91" s="157">
        <v>4.2000000000000002E-4</v>
      </c>
      <c r="M91" s="157">
        <v>1.5299999999999999E-3</v>
      </c>
      <c r="N91" s="157">
        <v>2.8900000000000002E-3</v>
      </c>
      <c r="O91" s="157">
        <v>0</v>
      </c>
      <c r="P91" s="157">
        <v>9.0000000000000006E-5</v>
      </c>
      <c r="Q91" s="157">
        <v>3.0000000000000001E-5</v>
      </c>
      <c r="R91" s="157">
        <v>4.2999999999999999E-4</v>
      </c>
      <c r="S91" s="157">
        <v>1.09E-3</v>
      </c>
      <c r="T91" s="157">
        <v>5.2399999999999999E-3</v>
      </c>
      <c r="U91" s="157">
        <v>6.9999999999999994E-5</v>
      </c>
      <c r="V91" s="157">
        <v>2.9E-4</v>
      </c>
      <c r="W91" s="157">
        <v>2.9E-4</v>
      </c>
      <c r="X91" s="162">
        <v>2.0570000000000001E-2</v>
      </c>
      <c r="Y91" s="163">
        <v>1.8799999999999999E-3</v>
      </c>
      <c r="Z91" s="164">
        <v>1.34E-3</v>
      </c>
      <c r="AA91" s="163">
        <v>2.0660000000000001E-2</v>
      </c>
      <c r="AB91" s="164">
        <v>2.0619999999999999E-2</v>
      </c>
      <c r="AC91" s="163">
        <v>4.1320000000000003E-2</v>
      </c>
      <c r="AD91" s="165">
        <v>4.1230000000000003E-2</v>
      </c>
    </row>
    <row r="92" spans="1:30" hidden="1">
      <c r="A92" s="167">
        <v>1778.279</v>
      </c>
      <c r="B92" s="157">
        <v>1.0000000000000001E-5</v>
      </c>
      <c r="C92" s="157">
        <v>2.9399999999999999E-3</v>
      </c>
      <c r="D92" s="157">
        <v>1.99E-3</v>
      </c>
      <c r="E92" s="157">
        <v>1.7000000000000001E-4</v>
      </c>
      <c r="F92" s="157">
        <v>3.8000000000000002E-4</v>
      </c>
      <c r="G92" s="157">
        <v>1.406E-2</v>
      </c>
      <c r="H92" s="157">
        <v>1.299E-2</v>
      </c>
      <c r="I92" s="157">
        <v>1.9E-3</v>
      </c>
      <c r="J92" s="157">
        <v>1.2E-4</v>
      </c>
      <c r="K92" s="157">
        <v>3.3E-4</v>
      </c>
      <c r="L92" s="157">
        <v>4.0999999999999999E-4</v>
      </c>
      <c r="M92" s="157">
        <v>1.5299999999999999E-3</v>
      </c>
      <c r="N92" s="157">
        <v>2.8700000000000002E-3</v>
      </c>
      <c r="O92" s="157">
        <v>0</v>
      </c>
      <c r="P92" s="157">
        <v>9.0000000000000006E-5</v>
      </c>
      <c r="Q92" s="157">
        <v>3.0000000000000001E-5</v>
      </c>
      <c r="R92" s="157">
        <v>3.8999999999999999E-4</v>
      </c>
      <c r="S92" s="157">
        <v>1.09E-3</v>
      </c>
      <c r="T92" s="157">
        <v>5.2399999999999999E-3</v>
      </c>
      <c r="U92" s="157">
        <v>6.9999999999999994E-5</v>
      </c>
      <c r="V92" s="157">
        <v>2.9E-4</v>
      </c>
      <c r="W92" s="157">
        <v>2.9E-4</v>
      </c>
      <c r="X92" s="162">
        <v>2.0559999999999998E-2</v>
      </c>
      <c r="Y92" s="163">
        <v>2.0100000000000001E-3</v>
      </c>
      <c r="Z92" s="164">
        <v>1.49E-3</v>
      </c>
      <c r="AA92" s="163">
        <v>2.0660000000000001E-2</v>
      </c>
      <c r="AB92" s="164">
        <v>2.061E-2</v>
      </c>
      <c r="AC92" s="163">
        <v>4.1309999999999999E-2</v>
      </c>
      <c r="AD92" s="165">
        <v>4.122E-2</v>
      </c>
    </row>
    <row r="93" spans="1:30" hidden="1">
      <c r="A93" s="167">
        <v>1883.65</v>
      </c>
      <c r="B93" s="157">
        <v>1.0000000000000001E-5</v>
      </c>
      <c r="C93" s="157">
        <v>2.9499999999999999E-3</v>
      </c>
      <c r="D93" s="157">
        <v>2.0600000000000002E-3</v>
      </c>
      <c r="E93" s="157">
        <v>1.7000000000000001E-4</v>
      </c>
      <c r="F93" s="157">
        <v>4.2000000000000002E-4</v>
      </c>
      <c r="G93" s="157">
        <v>1.4080000000000001E-2</v>
      </c>
      <c r="H93" s="157">
        <v>1.29E-2</v>
      </c>
      <c r="I93" s="157">
        <v>2.1199999999999999E-3</v>
      </c>
      <c r="J93" s="157">
        <v>1.3999999999999999E-4</v>
      </c>
      <c r="K93" s="157">
        <v>3.6999999999999999E-4</v>
      </c>
      <c r="L93" s="157">
        <v>4.0000000000000002E-4</v>
      </c>
      <c r="M93" s="157">
        <v>1.5399999999999999E-3</v>
      </c>
      <c r="N93" s="157">
        <v>2.8600000000000001E-3</v>
      </c>
      <c r="O93" s="157">
        <v>0</v>
      </c>
      <c r="P93" s="157">
        <v>9.0000000000000006E-5</v>
      </c>
      <c r="Q93" s="157">
        <v>3.0000000000000001E-5</v>
      </c>
      <c r="R93" s="157">
        <v>3.8999999999999999E-4</v>
      </c>
      <c r="S93" s="157">
        <v>1.09E-3</v>
      </c>
      <c r="T93" s="157">
        <v>5.2399999999999999E-3</v>
      </c>
      <c r="U93" s="157">
        <v>6.9999999999999994E-5</v>
      </c>
      <c r="V93" s="157">
        <v>2.9E-4</v>
      </c>
      <c r="W93" s="157">
        <v>2.9E-4</v>
      </c>
      <c r="X93" s="162">
        <v>2.0549999999999999E-2</v>
      </c>
      <c r="Y93" s="163">
        <v>2.6099999999999999E-3</v>
      </c>
      <c r="Z93" s="164">
        <v>2.5400000000000002E-3</v>
      </c>
      <c r="AA93" s="163">
        <v>2.0709999999999999E-2</v>
      </c>
      <c r="AB93" s="164">
        <v>2.07E-2</v>
      </c>
      <c r="AC93" s="163">
        <v>4.1419999999999998E-2</v>
      </c>
      <c r="AD93" s="165">
        <v>4.1410000000000002E-2</v>
      </c>
    </row>
    <row r="94" spans="1:30">
      <c r="A94" s="167">
        <v>1995.2619999999999</v>
      </c>
      <c r="B94" s="157">
        <v>1.0000000000000001E-5</v>
      </c>
      <c r="C94" s="157">
        <v>2.98E-3</v>
      </c>
      <c r="D94" s="157">
        <v>2.15E-3</v>
      </c>
      <c r="E94" s="157">
        <v>1.7000000000000001E-4</v>
      </c>
      <c r="F94" s="157">
        <v>4.6999999999999999E-4</v>
      </c>
      <c r="G94" s="157">
        <v>1.4109999999999999E-2</v>
      </c>
      <c r="H94" s="157">
        <v>1.2800000000000001E-2</v>
      </c>
      <c r="I94" s="157">
        <v>2.3700000000000001E-3</v>
      </c>
      <c r="J94" s="157">
        <v>1.6000000000000001E-4</v>
      </c>
      <c r="K94" s="157">
        <v>4.2000000000000002E-4</v>
      </c>
      <c r="L94" s="157">
        <v>3.8000000000000002E-4</v>
      </c>
      <c r="M94" s="157">
        <v>1.5399999999999999E-3</v>
      </c>
      <c r="N94" s="157">
        <v>2.8500000000000001E-3</v>
      </c>
      <c r="O94" s="157">
        <v>0</v>
      </c>
      <c r="P94" s="157">
        <v>9.0000000000000006E-5</v>
      </c>
      <c r="Q94" s="157">
        <v>4.0000000000000003E-5</v>
      </c>
      <c r="R94" s="157">
        <v>4.0999999999999999E-4</v>
      </c>
      <c r="S94" s="157">
        <v>1.09E-3</v>
      </c>
      <c r="T94" s="157">
        <v>5.2399999999999999E-3</v>
      </c>
      <c r="U94" s="157">
        <v>6.9999999999999994E-5</v>
      </c>
      <c r="V94" s="157">
        <v>2.9E-4</v>
      </c>
      <c r="W94" s="157">
        <v>2.9E-4</v>
      </c>
      <c r="X94" s="162">
        <v>2.0539999999999999E-2</v>
      </c>
      <c r="Y94" s="163">
        <v>2.2399999999999998E-3</v>
      </c>
      <c r="Z94" s="164">
        <v>1.7600000000000001E-3</v>
      </c>
      <c r="AA94" s="163">
        <v>2.0660000000000001E-2</v>
      </c>
      <c r="AB94" s="164">
        <v>2.061E-2</v>
      </c>
      <c r="AC94" s="163">
        <v>4.1320000000000003E-2</v>
      </c>
      <c r="AD94" s="165">
        <v>4.1230000000000003E-2</v>
      </c>
    </row>
    <row r="95" spans="1:30" hidden="1">
      <c r="A95" s="167">
        <v>2113.489</v>
      </c>
      <c r="B95" s="157">
        <v>1.0000000000000001E-5</v>
      </c>
      <c r="C95" s="157">
        <v>3.0000000000000001E-3</v>
      </c>
      <c r="D95" s="157">
        <v>2.2499999999999998E-3</v>
      </c>
      <c r="E95" s="157">
        <v>1.8000000000000001E-4</v>
      </c>
      <c r="F95" s="157">
        <v>5.1999999999999995E-4</v>
      </c>
      <c r="G95" s="157">
        <v>1.413E-2</v>
      </c>
      <c r="H95" s="157">
        <v>1.268E-2</v>
      </c>
      <c r="I95" s="157">
        <v>2.65E-3</v>
      </c>
      <c r="J95" s="157">
        <v>1.9000000000000001E-4</v>
      </c>
      <c r="K95" s="157">
        <v>4.6999999999999999E-4</v>
      </c>
      <c r="L95" s="157">
        <v>3.6999999999999999E-4</v>
      </c>
      <c r="M95" s="157">
        <v>1.5399999999999999E-3</v>
      </c>
      <c r="N95" s="157">
        <v>2.8300000000000001E-3</v>
      </c>
      <c r="O95" s="157">
        <v>0</v>
      </c>
      <c r="P95" s="157">
        <v>9.0000000000000006E-5</v>
      </c>
      <c r="Q95" s="157">
        <v>4.0000000000000003E-5</v>
      </c>
      <c r="R95" s="157">
        <v>4.2000000000000002E-4</v>
      </c>
      <c r="S95" s="157">
        <v>1.09E-3</v>
      </c>
      <c r="T95" s="157">
        <v>5.2399999999999999E-3</v>
      </c>
      <c r="U95" s="157">
        <v>6.9999999999999994E-5</v>
      </c>
      <c r="V95" s="157">
        <v>2.9E-4</v>
      </c>
      <c r="W95" s="157">
        <v>2.9E-4</v>
      </c>
      <c r="X95" s="162">
        <v>2.053E-2</v>
      </c>
      <c r="Y95" s="163">
        <v>2.0799999999999998E-3</v>
      </c>
      <c r="Z95" s="164">
        <v>1.34E-3</v>
      </c>
      <c r="AA95" s="163">
        <v>2.0639999999999999E-2</v>
      </c>
      <c r="AB95" s="164">
        <v>2.0580000000000001E-2</v>
      </c>
      <c r="AC95" s="163">
        <v>4.1279999999999997E-2</v>
      </c>
      <c r="AD95" s="165">
        <v>4.1149999999999999E-2</v>
      </c>
    </row>
    <row r="96" spans="1:30" hidden="1">
      <c r="A96" s="167">
        <v>2238.721</v>
      </c>
      <c r="B96" s="157">
        <v>1.0000000000000001E-5</v>
      </c>
      <c r="C96" s="157">
        <v>3.0300000000000001E-3</v>
      </c>
      <c r="D96" s="157">
        <v>2.3700000000000001E-3</v>
      </c>
      <c r="E96" s="157">
        <v>1.8000000000000001E-4</v>
      </c>
      <c r="F96" s="157">
        <v>5.8E-4</v>
      </c>
      <c r="G96" s="157">
        <v>1.4160000000000001E-2</v>
      </c>
      <c r="H96" s="157">
        <v>1.255E-2</v>
      </c>
      <c r="I96" s="157">
        <v>2.9499999999999999E-3</v>
      </c>
      <c r="J96" s="157">
        <v>2.2000000000000001E-4</v>
      </c>
      <c r="K96" s="157">
        <v>5.1999999999999995E-4</v>
      </c>
      <c r="L96" s="157">
        <v>3.6000000000000002E-4</v>
      </c>
      <c r="M96" s="157">
        <v>1.5399999999999999E-3</v>
      </c>
      <c r="N96" s="157">
        <v>2.81E-3</v>
      </c>
      <c r="O96" s="157">
        <v>0</v>
      </c>
      <c r="P96" s="157">
        <v>9.0000000000000006E-5</v>
      </c>
      <c r="Q96" s="157">
        <v>4.0000000000000003E-5</v>
      </c>
      <c r="R96" s="157">
        <v>3.6999999999999999E-4</v>
      </c>
      <c r="S96" s="157">
        <v>1.09E-3</v>
      </c>
      <c r="T96" s="157">
        <v>5.2399999999999999E-3</v>
      </c>
      <c r="U96" s="157">
        <v>6.9999999999999994E-5</v>
      </c>
      <c r="V96" s="157">
        <v>2.9E-4</v>
      </c>
      <c r="W96" s="157">
        <v>2.9E-4</v>
      </c>
      <c r="X96" s="162">
        <v>2.053E-2</v>
      </c>
      <c r="Y96" s="163">
        <v>2.0600000000000002E-3</v>
      </c>
      <c r="Z96" s="164">
        <v>1.1199999999999999E-3</v>
      </c>
      <c r="AA96" s="163">
        <v>2.0639999999999999E-2</v>
      </c>
      <c r="AB96" s="164">
        <v>2.0559999999999998E-2</v>
      </c>
      <c r="AC96" s="163">
        <v>4.1270000000000001E-2</v>
      </c>
      <c r="AD96" s="165">
        <v>4.113E-2</v>
      </c>
    </row>
    <row r="97" spans="1:30" hidden="1">
      <c r="A97" s="167">
        <v>2371.3739999999998</v>
      </c>
      <c r="B97" s="157">
        <v>1.0000000000000001E-5</v>
      </c>
      <c r="C97" s="157">
        <v>3.0599999999999998E-3</v>
      </c>
      <c r="D97" s="157">
        <v>2.5000000000000001E-3</v>
      </c>
      <c r="E97" s="157">
        <v>1.8000000000000001E-4</v>
      </c>
      <c r="F97" s="157">
        <v>6.4999999999999997E-4</v>
      </c>
      <c r="G97" s="157">
        <v>1.4189999999999999E-2</v>
      </c>
      <c r="H97" s="157">
        <v>1.2409999999999999E-2</v>
      </c>
      <c r="I97" s="157">
        <v>3.3E-3</v>
      </c>
      <c r="J97" s="157">
        <v>2.5000000000000001E-4</v>
      </c>
      <c r="K97" s="157">
        <v>5.8E-4</v>
      </c>
      <c r="L97" s="157">
        <v>3.5E-4</v>
      </c>
      <c r="M97" s="157">
        <v>1.5499999999999999E-3</v>
      </c>
      <c r="N97" s="157">
        <v>2.7899999999999999E-3</v>
      </c>
      <c r="O97" s="157">
        <v>0</v>
      </c>
      <c r="P97" s="157">
        <v>9.0000000000000006E-5</v>
      </c>
      <c r="Q97" s="157">
        <v>4.0000000000000003E-5</v>
      </c>
      <c r="R97" s="157">
        <v>3.8999999999999999E-4</v>
      </c>
      <c r="S97" s="157">
        <v>1.09E-3</v>
      </c>
      <c r="T97" s="157">
        <v>5.2399999999999999E-3</v>
      </c>
      <c r="U97" s="157">
        <v>6.9999999999999994E-5</v>
      </c>
      <c r="V97" s="157">
        <v>2.9E-4</v>
      </c>
      <c r="W97" s="157">
        <v>2.9E-4</v>
      </c>
      <c r="X97" s="162">
        <v>2.0539999999999999E-2</v>
      </c>
      <c r="Y97" s="163">
        <v>2.47E-3</v>
      </c>
      <c r="Z97" s="164">
        <v>1.48E-3</v>
      </c>
      <c r="AA97" s="163">
        <v>2.069E-2</v>
      </c>
      <c r="AB97" s="164">
        <v>2.06E-2</v>
      </c>
      <c r="AC97" s="163">
        <v>4.138E-2</v>
      </c>
      <c r="AD97" s="165">
        <v>4.1189999999999997E-2</v>
      </c>
    </row>
    <row r="98" spans="1:30">
      <c r="A98" s="167">
        <v>2511.8870000000002</v>
      </c>
      <c r="B98" s="157">
        <v>1.0000000000000001E-5</v>
      </c>
      <c r="C98" s="157">
        <v>3.0899999999999999E-3</v>
      </c>
      <c r="D98" s="157">
        <v>2.65E-3</v>
      </c>
      <c r="E98" s="157">
        <v>1.9000000000000001E-4</v>
      </c>
      <c r="F98" s="157">
        <v>7.2000000000000005E-4</v>
      </c>
      <c r="G98" s="157">
        <v>1.423E-2</v>
      </c>
      <c r="H98" s="157">
        <v>1.225E-2</v>
      </c>
      <c r="I98" s="157">
        <v>3.6800000000000001E-3</v>
      </c>
      <c r="J98" s="157">
        <v>2.7999999999999998E-4</v>
      </c>
      <c r="K98" s="157">
        <v>6.4999999999999997E-4</v>
      </c>
      <c r="L98" s="157">
        <v>3.3E-4</v>
      </c>
      <c r="M98" s="157">
        <v>1.5499999999999999E-3</v>
      </c>
      <c r="N98" s="157">
        <v>2.7599999999999999E-3</v>
      </c>
      <c r="O98" s="157">
        <v>0</v>
      </c>
      <c r="P98" s="157">
        <v>9.0000000000000006E-5</v>
      </c>
      <c r="Q98" s="157">
        <v>4.0000000000000003E-5</v>
      </c>
      <c r="R98" s="157">
        <v>4.2000000000000002E-4</v>
      </c>
      <c r="S98" s="157">
        <v>1.09E-3</v>
      </c>
      <c r="T98" s="157">
        <v>5.2399999999999999E-3</v>
      </c>
      <c r="U98" s="157">
        <v>6.9999999999999994E-5</v>
      </c>
      <c r="V98" s="157">
        <v>2.9E-4</v>
      </c>
      <c r="W98" s="157">
        <v>2.9E-4</v>
      </c>
      <c r="X98" s="162">
        <v>2.0559999999999998E-2</v>
      </c>
      <c r="Y98" s="163">
        <v>2.7599999999999999E-3</v>
      </c>
      <c r="Z98" s="164">
        <v>1.73E-3</v>
      </c>
      <c r="AA98" s="163">
        <v>2.0750000000000001E-2</v>
      </c>
      <c r="AB98" s="164">
        <v>2.0639999999999999E-2</v>
      </c>
      <c r="AC98" s="163">
        <v>4.1500000000000002E-2</v>
      </c>
      <c r="AD98" s="165">
        <v>4.1270000000000001E-2</v>
      </c>
    </row>
    <row r="99" spans="1:30" hidden="1">
      <c r="A99" s="167">
        <v>2660.7249999999999</v>
      </c>
      <c r="B99" s="157">
        <v>1.0000000000000001E-5</v>
      </c>
      <c r="C99" s="157">
        <v>3.13E-3</v>
      </c>
      <c r="D99" s="157">
        <v>2.8300000000000001E-3</v>
      </c>
      <c r="E99" s="157">
        <v>1.9000000000000001E-4</v>
      </c>
      <c r="F99" s="157">
        <v>8.0000000000000004E-4</v>
      </c>
      <c r="G99" s="157">
        <v>1.427E-2</v>
      </c>
      <c r="H99" s="157">
        <v>1.2070000000000001E-2</v>
      </c>
      <c r="I99" s="157">
        <v>4.1000000000000003E-3</v>
      </c>
      <c r="J99" s="157">
        <v>3.2000000000000003E-4</v>
      </c>
      <c r="K99" s="157">
        <v>7.2999999999999996E-4</v>
      </c>
      <c r="L99" s="157">
        <v>3.2000000000000003E-4</v>
      </c>
      <c r="M99" s="157">
        <v>1.56E-3</v>
      </c>
      <c r="N99" s="157">
        <v>2.7399999999999998E-3</v>
      </c>
      <c r="O99" s="157">
        <v>0</v>
      </c>
      <c r="P99" s="157">
        <v>9.0000000000000006E-5</v>
      </c>
      <c r="Q99" s="157">
        <v>4.0000000000000003E-5</v>
      </c>
      <c r="R99" s="157">
        <v>4.4000000000000002E-4</v>
      </c>
      <c r="S99" s="157">
        <v>1.09E-3</v>
      </c>
      <c r="T99" s="157">
        <v>5.2399999999999999E-3</v>
      </c>
      <c r="U99" s="157">
        <v>6.9999999999999994E-5</v>
      </c>
      <c r="V99" s="157">
        <v>2.9E-4</v>
      </c>
      <c r="W99" s="157">
        <v>2.9E-4</v>
      </c>
      <c r="X99" s="162">
        <v>2.06E-2</v>
      </c>
      <c r="Y99" s="163">
        <v>3.1199999999999999E-3</v>
      </c>
      <c r="Z99" s="164">
        <v>2.2000000000000001E-3</v>
      </c>
      <c r="AA99" s="163">
        <v>2.0830000000000001E-2</v>
      </c>
      <c r="AB99" s="164">
        <v>2.0719999999999999E-2</v>
      </c>
      <c r="AC99" s="163">
        <v>4.1669999999999999E-2</v>
      </c>
      <c r="AD99" s="165">
        <v>4.1430000000000002E-2</v>
      </c>
    </row>
    <row r="100" spans="1:30" hidden="1">
      <c r="A100" s="167">
        <v>2818.3829999999998</v>
      </c>
      <c r="B100" s="157">
        <v>1.0000000000000001E-5</v>
      </c>
      <c r="C100" s="157">
        <v>3.1800000000000001E-3</v>
      </c>
      <c r="D100" s="157">
        <v>3.0400000000000002E-3</v>
      </c>
      <c r="E100" s="157">
        <v>1.9000000000000001E-4</v>
      </c>
      <c r="F100" s="157">
        <v>8.9999999999999998E-4</v>
      </c>
      <c r="G100" s="157">
        <v>1.4319999999999999E-2</v>
      </c>
      <c r="H100" s="157">
        <v>1.187E-2</v>
      </c>
      <c r="I100" s="157">
        <v>4.5700000000000003E-3</v>
      </c>
      <c r="J100" s="157">
        <v>3.6999999999999999E-4</v>
      </c>
      <c r="K100" s="157">
        <v>8.1999999999999998E-4</v>
      </c>
      <c r="L100" s="157">
        <v>3.1E-4</v>
      </c>
      <c r="M100" s="157">
        <v>1.56E-3</v>
      </c>
      <c r="N100" s="157">
        <v>2.7000000000000001E-3</v>
      </c>
      <c r="O100" s="157">
        <v>0</v>
      </c>
      <c r="P100" s="157">
        <v>9.0000000000000006E-5</v>
      </c>
      <c r="Q100" s="157">
        <v>4.0000000000000003E-5</v>
      </c>
      <c r="R100" s="157">
        <v>4.4000000000000002E-4</v>
      </c>
      <c r="S100" s="157">
        <v>1.09E-3</v>
      </c>
      <c r="T100" s="157">
        <v>5.2399999999999999E-3</v>
      </c>
      <c r="U100" s="157">
        <v>6.9999999999999994E-5</v>
      </c>
      <c r="V100" s="157">
        <v>2.9E-4</v>
      </c>
      <c r="W100" s="157">
        <v>2.9E-4</v>
      </c>
      <c r="X100" s="162">
        <v>2.0650000000000002E-2</v>
      </c>
      <c r="Y100" s="163">
        <v>4.3400000000000001E-3</v>
      </c>
      <c r="Z100" s="164">
        <v>3.46E-3</v>
      </c>
      <c r="AA100" s="163">
        <v>2.1100000000000001E-2</v>
      </c>
      <c r="AB100" s="164">
        <v>2.094E-2</v>
      </c>
      <c r="AC100" s="163">
        <v>4.2209999999999998E-2</v>
      </c>
      <c r="AD100" s="165">
        <v>4.1880000000000001E-2</v>
      </c>
    </row>
    <row r="101" spans="1:30" hidden="1">
      <c r="A101" s="167">
        <v>2985.3820000000001</v>
      </c>
      <c r="B101" s="157">
        <v>2.0000000000000002E-5</v>
      </c>
      <c r="C101" s="157">
        <v>3.2299999999999998E-3</v>
      </c>
      <c r="D101" s="157">
        <v>3.2799999999999999E-3</v>
      </c>
      <c r="E101" s="157">
        <v>2.0000000000000001E-4</v>
      </c>
      <c r="F101" s="157">
        <v>1E-3</v>
      </c>
      <c r="G101" s="157">
        <v>1.4370000000000001E-2</v>
      </c>
      <c r="H101" s="157">
        <v>1.1650000000000001E-2</v>
      </c>
      <c r="I101" s="157">
        <v>5.0899999999999999E-3</v>
      </c>
      <c r="J101" s="157">
        <v>4.2000000000000002E-4</v>
      </c>
      <c r="K101" s="157">
        <v>9.1E-4</v>
      </c>
      <c r="L101" s="157">
        <v>2.9999999999999997E-4</v>
      </c>
      <c r="M101" s="157">
        <v>1.57E-3</v>
      </c>
      <c r="N101" s="157">
        <v>2.6700000000000001E-3</v>
      </c>
      <c r="O101" s="157">
        <v>0</v>
      </c>
      <c r="P101" s="157">
        <v>9.0000000000000006E-5</v>
      </c>
      <c r="Q101" s="157">
        <v>4.0000000000000003E-5</v>
      </c>
      <c r="R101" s="157">
        <v>4.4000000000000002E-4</v>
      </c>
      <c r="S101" s="157">
        <v>1.09E-3</v>
      </c>
      <c r="T101" s="157">
        <v>5.2399999999999999E-3</v>
      </c>
      <c r="U101" s="157">
        <v>6.9999999999999994E-5</v>
      </c>
      <c r="V101" s="157">
        <v>2.9E-4</v>
      </c>
      <c r="W101" s="157">
        <v>2.9E-4</v>
      </c>
      <c r="X101" s="162">
        <v>2.0729999999999998E-2</v>
      </c>
      <c r="Y101" s="163">
        <v>4.4000000000000003E-3</v>
      </c>
      <c r="Z101" s="164">
        <v>2.97E-3</v>
      </c>
      <c r="AA101" s="163">
        <v>2.1190000000000001E-2</v>
      </c>
      <c r="AB101" s="164">
        <v>2.094E-2</v>
      </c>
      <c r="AC101" s="163">
        <v>4.2389999999999997E-2</v>
      </c>
      <c r="AD101" s="165">
        <v>4.1889999999999997E-2</v>
      </c>
    </row>
    <row r="102" spans="1:30">
      <c r="A102" s="167">
        <v>3162.2779999999998</v>
      </c>
      <c r="B102" s="157">
        <v>2.0000000000000002E-5</v>
      </c>
      <c r="C102" s="157">
        <v>3.2799999999999999E-3</v>
      </c>
      <c r="D102" s="157">
        <v>3.5599999999999998E-3</v>
      </c>
      <c r="E102" s="157">
        <v>2.0000000000000001E-4</v>
      </c>
      <c r="F102" s="157">
        <v>1.1199999999999999E-3</v>
      </c>
      <c r="G102" s="157">
        <v>1.443E-2</v>
      </c>
      <c r="H102" s="157">
        <v>1.14E-2</v>
      </c>
      <c r="I102" s="157">
        <v>5.6600000000000001E-3</v>
      </c>
      <c r="J102" s="157">
        <v>4.6999999999999999E-4</v>
      </c>
      <c r="K102" s="157">
        <v>1.0200000000000001E-3</v>
      </c>
      <c r="L102" s="157">
        <v>2.9E-4</v>
      </c>
      <c r="M102" s="157">
        <v>1.57E-3</v>
      </c>
      <c r="N102" s="157">
        <v>2.63E-3</v>
      </c>
      <c r="O102" s="157">
        <v>0</v>
      </c>
      <c r="P102" s="157">
        <v>9.0000000000000006E-5</v>
      </c>
      <c r="Q102" s="157">
        <v>4.0000000000000003E-5</v>
      </c>
      <c r="R102" s="157">
        <v>4.4000000000000002E-4</v>
      </c>
      <c r="S102" s="157">
        <v>1.09E-3</v>
      </c>
      <c r="T102" s="157">
        <v>5.2399999999999999E-3</v>
      </c>
      <c r="U102" s="157">
        <v>6.9999999999999994E-5</v>
      </c>
      <c r="V102" s="157">
        <v>2.9E-4</v>
      </c>
      <c r="W102" s="157">
        <v>2.9E-4</v>
      </c>
      <c r="X102" s="162">
        <v>2.0840000000000001E-2</v>
      </c>
      <c r="Y102" s="163">
        <v>5.1200000000000004E-3</v>
      </c>
      <c r="Z102" s="164">
        <v>3.3400000000000001E-3</v>
      </c>
      <c r="AA102" s="163">
        <v>2.146E-2</v>
      </c>
      <c r="AB102" s="164">
        <v>2.111E-2</v>
      </c>
      <c r="AC102" s="163">
        <v>4.2930000000000003E-2</v>
      </c>
      <c r="AD102" s="165">
        <v>4.2220000000000001E-2</v>
      </c>
    </row>
    <row r="103" spans="1:30" hidden="1">
      <c r="A103" s="167">
        <v>3349.6550000000002</v>
      </c>
      <c r="B103" s="157">
        <v>2.0000000000000002E-5</v>
      </c>
      <c r="C103" s="157">
        <v>3.3500000000000001E-3</v>
      </c>
      <c r="D103" s="157">
        <v>3.8800000000000002E-3</v>
      </c>
      <c r="E103" s="157">
        <v>2.1000000000000001E-4</v>
      </c>
      <c r="F103" s="157">
        <v>1.25E-3</v>
      </c>
      <c r="G103" s="157">
        <v>1.4489999999999999E-2</v>
      </c>
      <c r="H103" s="157">
        <v>1.112E-2</v>
      </c>
      <c r="I103" s="157">
        <v>6.28E-3</v>
      </c>
      <c r="J103" s="157">
        <v>5.4000000000000001E-4</v>
      </c>
      <c r="K103" s="157">
        <v>1.14E-3</v>
      </c>
      <c r="L103" s="157">
        <v>2.7999999999999998E-4</v>
      </c>
      <c r="M103" s="157">
        <v>1.58E-3</v>
      </c>
      <c r="N103" s="157">
        <v>2.5899999999999999E-3</v>
      </c>
      <c r="O103" s="157">
        <v>0</v>
      </c>
      <c r="P103" s="157">
        <v>9.0000000000000006E-5</v>
      </c>
      <c r="Q103" s="157">
        <v>4.0000000000000003E-5</v>
      </c>
      <c r="R103" s="157">
        <v>4.4000000000000002E-4</v>
      </c>
      <c r="S103" s="157">
        <v>1.09E-3</v>
      </c>
      <c r="T103" s="157">
        <v>5.2399999999999999E-3</v>
      </c>
      <c r="U103" s="157">
        <v>6.9999999999999994E-5</v>
      </c>
      <c r="V103" s="157">
        <v>2.9E-4</v>
      </c>
      <c r="W103" s="157">
        <v>2.9E-4</v>
      </c>
      <c r="X103" s="162">
        <v>2.0990000000000002E-2</v>
      </c>
      <c r="Y103" s="163">
        <v>5.8199999999999997E-3</v>
      </c>
      <c r="Z103" s="164">
        <v>4.1700000000000001E-3</v>
      </c>
      <c r="AA103" s="163">
        <v>2.179E-2</v>
      </c>
      <c r="AB103" s="164">
        <v>2.1399999999999999E-2</v>
      </c>
      <c r="AC103" s="163">
        <v>4.3580000000000001E-2</v>
      </c>
      <c r="AD103" s="165">
        <v>4.2810000000000001E-2</v>
      </c>
    </row>
    <row r="104" spans="1:30" hidden="1">
      <c r="A104" s="167">
        <v>3548.134</v>
      </c>
      <c r="B104" s="157">
        <v>2.0000000000000002E-5</v>
      </c>
      <c r="C104" s="157">
        <v>3.4199999999999999E-3</v>
      </c>
      <c r="D104" s="157">
        <v>4.2500000000000003E-3</v>
      </c>
      <c r="E104" s="157">
        <v>2.2000000000000001E-4</v>
      </c>
      <c r="F104" s="157">
        <v>1.4E-3</v>
      </c>
      <c r="G104" s="157">
        <v>1.456E-2</v>
      </c>
      <c r="H104" s="157">
        <v>1.082E-2</v>
      </c>
      <c r="I104" s="157">
        <v>6.96E-3</v>
      </c>
      <c r="J104" s="157">
        <v>6.0999999999999997E-4</v>
      </c>
      <c r="K104" s="157">
        <v>1.2700000000000001E-3</v>
      </c>
      <c r="L104" s="157">
        <v>2.5999999999999998E-4</v>
      </c>
      <c r="M104" s="157">
        <v>1.5900000000000001E-3</v>
      </c>
      <c r="N104" s="157">
        <v>2.5400000000000002E-3</v>
      </c>
      <c r="O104" s="157">
        <v>0</v>
      </c>
      <c r="P104" s="157">
        <v>9.0000000000000006E-5</v>
      </c>
      <c r="Q104" s="157">
        <v>5.0000000000000002E-5</v>
      </c>
      <c r="R104" s="157">
        <v>4.4000000000000002E-4</v>
      </c>
      <c r="S104" s="157">
        <v>1.09E-3</v>
      </c>
      <c r="T104" s="157">
        <v>5.2399999999999999E-3</v>
      </c>
      <c r="U104" s="157">
        <v>6.9999999999999994E-5</v>
      </c>
      <c r="V104" s="157">
        <v>2.9E-4</v>
      </c>
      <c r="W104" s="157">
        <v>2.9E-4</v>
      </c>
      <c r="X104" s="162">
        <v>2.12E-2</v>
      </c>
      <c r="Y104" s="163">
        <v>5.8500000000000002E-3</v>
      </c>
      <c r="Z104" s="164">
        <v>4.3400000000000001E-3</v>
      </c>
      <c r="AA104" s="163">
        <v>2.1989999999999999E-2</v>
      </c>
      <c r="AB104" s="164">
        <v>2.164E-2</v>
      </c>
      <c r="AC104" s="163">
        <v>4.3979999999999998E-2</v>
      </c>
      <c r="AD104" s="165">
        <v>4.3270000000000003E-2</v>
      </c>
    </row>
    <row r="105" spans="1:30" hidden="1">
      <c r="A105" s="167">
        <v>3758.3739999999998</v>
      </c>
      <c r="B105" s="157">
        <v>2.0000000000000002E-5</v>
      </c>
      <c r="C105" s="157">
        <v>3.5100000000000001E-3</v>
      </c>
      <c r="D105" s="157">
        <v>4.6699999999999997E-3</v>
      </c>
      <c r="E105" s="157">
        <v>2.2000000000000001E-4</v>
      </c>
      <c r="F105" s="157">
        <v>1.57E-3</v>
      </c>
      <c r="G105" s="157">
        <v>1.464E-2</v>
      </c>
      <c r="H105" s="157">
        <v>1.048E-2</v>
      </c>
      <c r="I105" s="157">
        <v>7.7099999999999998E-3</v>
      </c>
      <c r="J105" s="157">
        <v>6.8999999999999997E-4</v>
      </c>
      <c r="K105" s="157">
        <v>1.42E-3</v>
      </c>
      <c r="L105" s="157">
        <v>2.5000000000000001E-4</v>
      </c>
      <c r="M105" s="157">
        <v>1.5900000000000001E-3</v>
      </c>
      <c r="N105" s="157">
        <v>2.48E-3</v>
      </c>
      <c r="O105" s="157">
        <v>0</v>
      </c>
      <c r="P105" s="157">
        <v>1E-4</v>
      </c>
      <c r="Q105" s="157">
        <v>5.0000000000000002E-5</v>
      </c>
      <c r="R105" s="157">
        <v>4.4000000000000002E-4</v>
      </c>
      <c r="S105" s="157">
        <v>1.09E-3</v>
      </c>
      <c r="T105" s="157">
        <v>5.2399999999999999E-3</v>
      </c>
      <c r="U105" s="157">
        <v>6.9999999999999994E-5</v>
      </c>
      <c r="V105" s="157">
        <v>2.9E-4</v>
      </c>
      <c r="W105" s="157">
        <v>2.9E-4</v>
      </c>
      <c r="X105" s="162">
        <v>2.145E-2</v>
      </c>
      <c r="Y105" s="163">
        <v>6.8100000000000001E-3</v>
      </c>
      <c r="Z105" s="164">
        <v>4.8399999999999997E-3</v>
      </c>
      <c r="AA105" s="163">
        <v>2.2509999999999999E-2</v>
      </c>
      <c r="AB105" s="164">
        <v>2.1989999999999999E-2</v>
      </c>
      <c r="AC105" s="163">
        <v>4.5019999999999998E-2</v>
      </c>
      <c r="AD105" s="165">
        <v>4.3990000000000001E-2</v>
      </c>
    </row>
    <row r="106" spans="1:30">
      <c r="A106" s="167">
        <v>3981.0709999999999</v>
      </c>
      <c r="B106" s="157">
        <v>3.0000000000000001E-5</v>
      </c>
      <c r="C106" s="157">
        <v>3.5999999999999999E-3</v>
      </c>
      <c r="D106" s="157">
        <v>5.13E-3</v>
      </c>
      <c r="E106" s="157">
        <v>2.3000000000000001E-4</v>
      </c>
      <c r="F106" s="157">
        <v>1.7600000000000001E-3</v>
      </c>
      <c r="G106" s="157">
        <v>1.473E-2</v>
      </c>
      <c r="H106" s="157">
        <v>1.0109999999999999E-2</v>
      </c>
      <c r="I106" s="157">
        <v>8.5100000000000002E-3</v>
      </c>
      <c r="J106" s="157">
        <v>7.9000000000000001E-4</v>
      </c>
      <c r="K106" s="157">
        <v>1.58E-3</v>
      </c>
      <c r="L106" s="157">
        <v>2.4000000000000001E-4</v>
      </c>
      <c r="M106" s="157">
        <v>1.6000000000000001E-3</v>
      </c>
      <c r="N106" s="157">
        <v>2.4099999999999998E-3</v>
      </c>
      <c r="O106" s="157">
        <v>0</v>
      </c>
      <c r="P106" s="157">
        <v>1E-4</v>
      </c>
      <c r="Q106" s="157">
        <v>5.0000000000000002E-5</v>
      </c>
      <c r="R106" s="157">
        <v>4.4000000000000002E-4</v>
      </c>
      <c r="S106" s="157">
        <v>1.09E-3</v>
      </c>
      <c r="T106" s="157">
        <v>5.2399999999999999E-3</v>
      </c>
      <c r="U106" s="157">
        <v>6.9999999999999994E-5</v>
      </c>
      <c r="V106" s="157">
        <v>2.9E-4</v>
      </c>
      <c r="W106" s="157">
        <v>2.9E-4</v>
      </c>
      <c r="X106" s="162">
        <v>2.1780000000000001E-2</v>
      </c>
      <c r="Y106" s="163">
        <v>7.79E-3</v>
      </c>
      <c r="Z106" s="164">
        <v>5.4400000000000004E-3</v>
      </c>
      <c r="AA106" s="163">
        <v>2.3130000000000001E-2</v>
      </c>
      <c r="AB106" s="164">
        <v>2.2450000000000001E-2</v>
      </c>
      <c r="AC106" s="163">
        <v>4.6260000000000003E-2</v>
      </c>
      <c r="AD106" s="165">
        <v>4.4900000000000002E-2</v>
      </c>
    </row>
    <row r="107" spans="1:30" hidden="1">
      <c r="A107" s="167">
        <v>4216.9650000000001</v>
      </c>
      <c r="B107" s="157">
        <v>3.0000000000000001E-5</v>
      </c>
      <c r="C107" s="157">
        <v>3.7000000000000002E-3</v>
      </c>
      <c r="D107" s="157">
        <v>5.6499999999999996E-3</v>
      </c>
      <c r="E107" s="157">
        <v>2.4000000000000001E-4</v>
      </c>
      <c r="F107" s="157">
        <v>1.97E-3</v>
      </c>
      <c r="G107" s="157">
        <v>1.482E-2</v>
      </c>
      <c r="H107" s="157">
        <v>9.6900000000000007E-3</v>
      </c>
      <c r="I107" s="157">
        <v>9.3799999999999994E-3</v>
      </c>
      <c r="J107" s="157">
        <v>8.8999999999999995E-4</v>
      </c>
      <c r="K107" s="157">
        <v>1.75E-3</v>
      </c>
      <c r="L107" s="157">
        <v>2.3000000000000001E-4</v>
      </c>
      <c r="M107" s="157">
        <v>1.6100000000000001E-3</v>
      </c>
      <c r="N107" s="157">
        <v>2.3500000000000001E-3</v>
      </c>
      <c r="O107" s="157">
        <v>0</v>
      </c>
      <c r="P107" s="157">
        <v>1E-4</v>
      </c>
      <c r="Q107" s="157">
        <v>5.0000000000000002E-5</v>
      </c>
      <c r="R107" s="157">
        <v>4.4000000000000002E-4</v>
      </c>
      <c r="S107" s="157">
        <v>1.09E-3</v>
      </c>
      <c r="T107" s="157">
        <v>5.2399999999999999E-3</v>
      </c>
      <c r="U107" s="157">
        <v>6.9999999999999994E-5</v>
      </c>
      <c r="V107" s="157">
        <v>2.9E-4</v>
      </c>
      <c r="W107" s="157">
        <v>2.9E-4</v>
      </c>
      <c r="X107" s="162">
        <v>2.2179999999999998E-2</v>
      </c>
      <c r="Y107" s="163">
        <v>8.5299999999999994E-3</v>
      </c>
      <c r="Z107" s="164">
        <v>6.1599999999999997E-3</v>
      </c>
      <c r="AA107" s="163">
        <v>2.3769999999999999E-2</v>
      </c>
      <c r="AB107" s="164">
        <v>2.3019999999999999E-2</v>
      </c>
      <c r="AC107" s="163">
        <v>4.7539999999999999E-2</v>
      </c>
      <c r="AD107" s="165">
        <v>4.6050000000000001E-2</v>
      </c>
    </row>
    <row r="108" spans="1:30" hidden="1">
      <c r="A108" s="167">
        <v>4466.8370000000004</v>
      </c>
      <c r="B108" s="157">
        <v>3.0000000000000001E-5</v>
      </c>
      <c r="C108" s="157">
        <v>3.8E-3</v>
      </c>
      <c r="D108" s="157">
        <v>6.1999999999999998E-3</v>
      </c>
      <c r="E108" s="157">
        <v>2.5000000000000001E-4</v>
      </c>
      <c r="F108" s="157">
        <v>2.2100000000000002E-3</v>
      </c>
      <c r="G108" s="157">
        <v>1.4930000000000001E-2</v>
      </c>
      <c r="H108" s="157">
        <v>9.2399999999999999E-3</v>
      </c>
      <c r="I108" s="157">
        <v>1.03E-2</v>
      </c>
      <c r="J108" s="157">
        <v>1.01E-3</v>
      </c>
      <c r="K108" s="157">
        <v>1.9499999999999999E-3</v>
      </c>
      <c r="L108" s="157">
        <v>2.2000000000000001E-4</v>
      </c>
      <c r="M108" s="157">
        <v>1.6199999999999999E-3</v>
      </c>
      <c r="N108" s="157">
        <v>2.2899999999999999E-3</v>
      </c>
      <c r="O108" s="157">
        <v>0</v>
      </c>
      <c r="P108" s="157">
        <v>1E-4</v>
      </c>
      <c r="Q108" s="157">
        <v>5.0000000000000002E-5</v>
      </c>
      <c r="R108" s="157">
        <v>4.4000000000000002E-4</v>
      </c>
      <c r="S108" s="157">
        <v>1.09E-3</v>
      </c>
      <c r="T108" s="157">
        <v>5.2399999999999999E-3</v>
      </c>
      <c r="U108" s="157">
        <v>6.9999999999999994E-5</v>
      </c>
      <c r="V108" s="157">
        <v>2.9E-4</v>
      </c>
      <c r="W108" s="157">
        <v>2.9E-4</v>
      </c>
      <c r="X108" s="162">
        <v>2.2669999999999999E-2</v>
      </c>
      <c r="Y108" s="163">
        <v>9.0299999999999998E-3</v>
      </c>
      <c r="Z108" s="164">
        <v>8.1300000000000001E-3</v>
      </c>
      <c r="AA108" s="163">
        <v>2.4400000000000002E-2</v>
      </c>
      <c r="AB108" s="164">
        <v>2.409E-2</v>
      </c>
      <c r="AC108" s="163">
        <v>4.8809999999999999E-2</v>
      </c>
      <c r="AD108" s="165">
        <v>4.8169999999999998E-2</v>
      </c>
    </row>
    <row r="109" spans="1:30" hidden="1">
      <c r="A109" s="167">
        <v>4731.5119999999997</v>
      </c>
      <c r="B109" s="157">
        <v>4.0000000000000003E-5</v>
      </c>
      <c r="C109" s="157">
        <v>3.9199999999999999E-3</v>
      </c>
      <c r="D109" s="157">
        <v>6.7999999999999996E-3</v>
      </c>
      <c r="E109" s="157">
        <v>2.5999999999999998E-4</v>
      </c>
      <c r="F109" s="157">
        <v>2.47E-3</v>
      </c>
      <c r="G109" s="157">
        <v>1.5049999999999999E-2</v>
      </c>
      <c r="H109" s="157">
        <v>8.7500000000000008E-3</v>
      </c>
      <c r="I109" s="157">
        <v>1.1270000000000001E-2</v>
      </c>
      <c r="J109" s="157">
        <v>1.15E-3</v>
      </c>
      <c r="K109" s="157">
        <v>2.16E-3</v>
      </c>
      <c r="L109" s="157">
        <v>2.1000000000000001E-4</v>
      </c>
      <c r="M109" s="157">
        <v>1.64E-3</v>
      </c>
      <c r="N109" s="157">
        <v>2.2300000000000002E-3</v>
      </c>
      <c r="O109" s="157">
        <v>0</v>
      </c>
      <c r="P109" s="157">
        <v>1E-4</v>
      </c>
      <c r="Q109" s="157">
        <v>5.0000000000000002E-5</v>
      </c>
      <c r="R109" s="157">
        <v>4.4000000000000002E-4</v>
      </c>
      <c r="S109" s="157">
        <v>1.09E-3</v>
      </c>
      <c r="T109" s="157">
        <v>5.2399999999999999E-3</v>
      </c>
      <c r="U109" s="157">
        <v>6.9999999999999994E-5</v>
      </c>
      <c r="V109" s="157">
        <v>2.9E-4</v>
      </c>
      <c r="W109" s="157">
        <v>2.9E-4</v>
      </c>
      <c r="X109" s="162">
        <v>2.325E-2</v>
      </c>
      <c r="Y109" s="163">
        <v>1.0880000000000001E-2</v>
      </c>
      <c r="Z109" s="164">
        <v>7.0200000000000002E-3</v>
      </c>
      <c r="AA109" s="163">
        <v>2.5669999999999998E-2</v>
      </c>
      <c r="AB109" s="164">
        <v>2.4279999999999999E-2</v>
      </c>
      <c r="AC109" s="163">
        <v>5.1330000000000001E-2</v>
      </c>
      <c r="AD109" s="165">
        <v>4.8570000000000002E-2</v>
      </c>
    </row>
    <row r="110" spans="1:30">
      <c r="A110" s="167">
        <v>5011.8729999999996</v>
      </c>
      <c r="B110" s="157">
        <v>4.0000000000000003E-5</v>
      </c>
      <c r="C110" s="157">
        <v>4.0299999999999997E-3</v>
      </c>
      <c r="D110" s="157">
        <v>7.4200000000000004E-3</v>
      </c>
      <c r="E110" s="157">
        <v>2.7999999999999998E-4</v>
      </c>
      <c r="F110" s="157">
        <v>2.7699999999999999E-3</v>
      </c>
      <c r="G110" s="157">
        <v>1.5169999999999999E-2</v>
      </c>
      <c r="H110" s="157">
        <v>8.2100000000000003E-3</v>
      </c>
      <c r="I110" s="157">
        <v>1.2279999999999999E-2</v>
      </c>
      <c r="J110" s="157">
        <v>1.2999999999999999E-3</v>
      </c>
      <c r="K110" s="157">
        <v>2.3900000000000002E-3</v>
      </c>
      <c r="L110" s="157">
        <v>1.9000000000000001E-4</v>
      </c>
      <c r="M110" s="157">
        <v>1.65E-3</v>
      </c>
      <c r="N110" s="157">
        <v>2.16E-3</v>
      </c>
      <c r="O110" s="157">
        <v>0</v>
      </c>
      <c r="P110" s="157">
        <v>1E-4</v>
      </c>
      <c r="Q110" s="157">
        <v>6.0000000000000002E-5</v>
      </c>
      <c r="R110" s="157">
        <v>4.4000000000000002E-4</v>
      </c>
      <c r="S110" s="157">
        <v>1.09E-3</v>
      </c>
      <c r="T110" s="157">
        <v>5.2399999999999999E-3</v>
      </c>
      <c r="U110" s="157">
        <v>6.9999999999999994E-5</v>
      </c>
      <c r="V110" s="157">
        <v>2.9E-4</v>
      </c>
      <c r="W110" s="157">
        <v>2.9E-4</v>
      </c>
      <c r="X110" s="162">
        <v>2.3910000000000001E-2</v>
      </c>
      <c r="Y110" s="163">
        <v>1.142E-2</v>
      </c>
      <c r="Z110" s="164">
        <v>7.5599999999999999E-3</v>
      </c>
      <c r="AA110" s="163">
        <v>2.649E-2</v>
      </c>
      <c r="AB110" s="164">
        <v>2.5069999999999999E-2</v>
      </c>
      <c r="AC110" s="163">
        <v>5.2979999999999999E-2</v>
      </c>
      <c r="AD110" s="165">
        <v>5.015E-2</v>
      </c>
    </row>
    <row r="111" spans="1:30" hidden="1">
      <c r="A111" s="167">
        <v>5308.8429999999998</v>
      </c>
      <c r="B111" s="157">
        <v>5.0000000000000002E-5</v>
      </c>
      <c r="C111" s="157">
        <v>4.1399999999999996E-3</v>
      </c>
      <c r="D111" s="157">
        <v>8.0599999999999995E-3</v>
      </c>
      <c r="E111" s="157">
        <v>2.9E-4</v>
      </c>
      <c r="F111" s="157">
        <v>3.0999999999999999E-3</v>
      </c>
      <c r="G111" s="157">
        <v>1.532E-2</v>
      </c>
      <c r="H111" s="157">
        <v>7.6299999999999996E-3</v>
      </c>
      <c r="I111" s="157">
        <v>1.332E-2</v>
      </c>
      <c r="J111" s="157">
        <v>1.48E-3</v>
      </c>
      <c r="K111" s="157">
        <v>2.64E-3</v>
      </c>
      <c r="L111" s="157">
        <v>1.8000000000000001E-4</v>
      </c>
      <c r="M111" s="157">
        <v>1.67E-3</v>
      </c>
      <c r="N111" s="157">
        <v>2.0799999999999998E-3</v>
      </c>
      <c r="O111" s="157">
        <v>0</v>
      </c>
      <c r="P111" s="157">
        <v>1E-4</v>
      </c>
      <c r="Q111" s="157">
        <v>6.0000000000000002E-5</v>
      </c>
      <c r="R111" s="157">
        <v>4.4000000000000002E-4</v>
      </c>
      <c r="S111" s="157">
        <v>1.09E-3</v>
      </c>
      <c r="T111" s="157">
        <v>5.2399999999999999E-3</v>
      </c>
      <c r="U111" s="157">
        <v>6.9999999999999994E-5</v>
      </c>
      <c r="V111" s="157">
        <v>2.9E-4</v>
      </c>
      <c r="W111" s="157">
        <v>2.9E-4</v>
      </c>
      <c r="X111" s="162">
        <v>2.4639999999999999E-2</v>
      </c>
      <c r="Y111" s="163">
        <v>1.242E-2</v>
      </c>
      <c r="Z111" s="164">
        <v>8.8000000000000005E-3</v>
      </c>
      <c r="AA111" s="163">
        <v>2.759E-2</v>
      </c>
      <c r="AB111" s="164">
        <v>2.6169999999999999E-2</v>
      </c>
      <c r="AC111" s="163">
        <v>5.5190000000000003E-2</v>
      </c>
      <c r="AD111" s="165">
        <v>5.2339999999999998E-2</v>
      </c>
    </row>
    <row r="112" spans="1:30" hidden="1">
      <c r="A112" s="167">
        <v>5623.4129999999996</v>
      </c>
      <c r="B112" s="157">
        <v>5.0000000000000002E-5</v>
      </c>
      <c r="C112" s="157">
        <v>4.2399999999999998E-3</v>
      </c>
      <c r="D112" s="157">
        <v>8.6800000000000002E-3</v>
      </c>
      <c r="E112" s="157">
        <v>3.1E-4</v>
      </c>
      <c r="F112" s="157">
        <v>3.47E-3</v>
      </c>
      <c r="G112" s="157">
        <v>1.5469999999999999E-2</v>
      </c>
      <c r="H112" s="157">
        <v>7.0099999999999997E-3</v>
      </c>
      <c r="I112" s="157">
        <v>1.436E-2</v>
      </c>
      <c r="J112" s="157">
        <v>1.6800000000000001E-3</v>
      </c>
      <c r="K112" s="157">
        <v>2.8999999999999998E-3</v>
      </c>
      <c r="L112" s="157">
        <v>1.7000000000000001E-4</v>
      </c>
      <c r="M112" s="157">
        <v>1.6900000000000001E-3</v>
      </c>
      <c r="N112" s="157">
        <v>2E-3</v>
      </c>
      <c r="O112" s="157">
        <v>0</v>
      </c>
      <c r="P112" s="157">
        <v>1E-4</v>
      </c>
      <c r="Q112" s="157">
        <v>6.0000000000000002E-5</v>
      </c>
      <c r="R112" s="157">
        <v>4.4000000000000002E-4</v>
      </c>
      <c r="S112" s="157">
        <v>1.09E-3</v>
      </c>
      <c r="T112" s="157">
        <v>5.2399999999999999E-3</v>
      </c>
      <c r="U112" s="157">
        <v>6.9999999999999994E-5</v>
      </c>
      <c r="V112" s="157">
        <v>2.9E-4</v>
      </c>
      <c r="W112" s="157">
        <v>2.9E-4</v>
      </c>
      <c r="X112" s="162">
        <v>2.5440000000000001E-2</v>
      </c>
      <c r="Y112" s="163">
        <v>1.023E-2</v>
      </c>
      <c r="Z112" s="164">
        <v>7.8600000000000007E-3</v>
      </c>
      <c r="AA112" s="163">
        <v>2.742E-2</v>
      </c>
      <c r="AB112" s="164">
        <v>2.6630000000000001E-2</v>
      </c>
      <c r="AC112" s="163">
        <v>5.4829999999999997E-2</v>
      </c>
      <c r="AD112" s="165">
        <v>5.3249999999999999E-2</v>
      </c>
    </row>
    <row r="113" spans="1:30" hidden="1">
      <c r="A113" s="167">
        <v>5956.6229999999996</v>
      </c>
      <c r="B113" s="157">
        <v>6.0000000000000002E-5</v>
      </c>
      <c r="C113" s="157">
        <v>4.3200000000000001E-3</v>
      </c>
      <c r="D113" s="157">
        <v>9.2700000000000005E-3</v>
      </c>
      <c r="E113" s="157">
        <v>3.3E-4</v>
      </c>
      <c r="F113" s="157">
        <v>3.8899999999999998E-3</v>
      </c>
      <c r="G113" s="157">
        <v>1.5640000000000001E-2</v>
      </c>
      <c r="H113" s="157">
        <v>6.3400000000000001E-3</v>
      </c>
      <c r="I113" s="157">
        <v>1.5350000000000001E-2</v>
      </c>
      <c r="J113" s="157">
        <v>1.92E-3</v>
      </c>
      <c r="K113" s="157">
        <v>3.1900000000000001E-3</v>
      </c>
      <c r="L113" s="157">
        <v>1.4999999999999999E-4</v>
      </c>
      <c r="M113" s="157">
        <v>1.7099999999999999E-3</v>
      </c>
      <c r="N113" s="157">
        <v>1.9E-3</v>
      </c>
      <c r="O113" s="157">
        <v>0</v>
      </c>
      <c r="P113" s="157">
        <v>1E-4</v>
      </c>
      <c r="Q113" s="157">
        <v>6.0000000000000002E-5</v>
      </c>
      <c r="R113" s="157">
        <v>4.4000000000000002E-4</v>
      </c>
      <c r="S113" s="157">
        <v>1.09E-3</v>
      </c>
      <c r="T113" s="157">
        <v>5.2399999999999999E-3</v>
      </c>
      <c r="U113" s="157">
        <v>6.9999999999999994E-5</v>
      </c>
      <c r="V113" s="157">
        <v>2.9E-4</v>
      </c>
      <c r="W113" s="157">
        <v>2.9E-4</v>
      </c>
      <c r="X113" s="162">
        <v>2.6259999999999999E-2</v>
      </c>
      <c r="Y113" s="163">
        <v>9.2700000000000005E-3</v>
      </c>
      <c r="Z113" s="164">
        <v>7.5100000000000002E-3</v>
      </c>
      <c r="AA113" s="163">
        <v>2.785E-2</v>
      </c>
      <c r="AB113" s="164">
        <v>2.7310000000000001E-2</v>
      </c>
      <c r="AC113" s="163">
        <v>5.57E-2</v>
      </c>
      <c r="AD113" s="165">
        <v>5.4629999999999998E-2</v>
      </c>
    </row>
    <row r="114" spans="1:30">
      <c r="A114" s="167">
        <v>6309.5730000000003</v>
      </c>
      <c r="B114" s="157">
        <v>6.0000000000000002E-5</v>
      </c>
      <c r="C114" s="157">
        <v>4.3800000000000002E-3</v>
      </c>
      <c r="D114" s="157">
        <v>9.7900000000000001E-3</v>
      </c>
      <c r="E114" s="157">
        <v>3.5E-4</v>
      </c>
      <c r="F114" s="157">
        <v>4.3600000000000002E-3</v>
      </c>
      <c r="G114" s="157">
        <v>1.5810000000000001E-2</v>
      </c>
      <c r="H114" s="157">
        <v>5.64E-3</v>
      </c>
      <c r="I114" s="157">
        <v>1.6250000000000001E-2</v>
      </c>
      <c r="J114" s="157">
        <v>2.1900000000000001E-3</v>
      </c>
      <c r="K114" s="157">
        <v>3.48E-3</v>
      </c>
      <c r="L114" s="157">
        <v>1.3999999999999999E-4</v>
      </c>
      <c r="M114" s="157">
        <v>1.73E-3</v>
      </c>
      <c r="N114" s="157">
        <v>1.8E-3</v>
      </c>
      <c r="O114" s="157">
        <v>0</v>
      </c>
      <c r="P114" s="157">
        <v>1E-4</v>
      </c>
      <c r="Q114" s="157">
        <v>6.0000000000000002E-5</v>
      </c>
      <c r="R114" s="157">
        <v>4.4000000000000002E-4</v>
      </c>
      <c r="S114" s="157">
        <v>1.09E-3</v>
      </c>
      <c r="T114" s="157">
        <v>5.2399999999999999E-3</v>
      </c>
      <c r="U114" s="157">
        <v>6.9999999999999994E-5</v>
      </c>
      <c r="V114" s="157">
        <v>2.9E-4</v>
      </c>
      <c r="W114" s="157">
        <v>2.9E-4</v>
      </c>
      <c r="X114" s="162">
        <v>2.7060000000000001E-2</v>
      </c>
      <c r="Y114" s="163">
        <v>8.5800000000000008E-3</v>
      </c>
      <c r="Z114" s="164">
        <v>8.1099999999999992E-3</v>
      </c>
      <c r="AA114" s="163">
        <v>2.8379999999999999E-2</v>
      </c>
      <c r="AB114" s="164">
        <v>2.8250000000000001E-2</v>
      </c>
      <c r="AC114" s="163">
        <v>5.6770000000000001E-2</v>
      </c>
      <c r="AD114" s="165">
        <v>5.6489999999999999E-2</v>
      </c>
    </row>
    <row r="115" spans="1:30" hidden="1">
      <c r="A115" s="167">
        <v>6683.44</v>
      </c>
      <c r="B115" s="157">
        <v>6.9999999999999994E-5</v>
      </c>
      <c r="C115" s="157">
        <v>4.3800000000000002E-3</v>
      </c>
      <c r="D115" s="157">
        <v>1.0200000000000001E-2</v>
      </c>
      <c r="E115" s="157">
        <v>3.6999999999999999E-4</v>
      </c>
      <c r="F115" s="157">
        <v>4.8799999999999998E-3</v>
      </c>
      <c r="G115" s="157">
        <v>1.6E-2</v>
      </c>
      <c r="H115" s="157">
        <v>4.9300000000000004E-3</v>
      </c>
      <c r="I115" s="157">
        <v>1.6959999999999999E-2</v>
      </c>
      <c r="J115" s="157">
        <v>2.5200000000000001E-3</v>
      </c>
      <c r="K115" s="157">
        <v>3.79E-3</v>
      </c>
      <c r="L115" s="157">
        <v>1.2999999999999999E-4</v>
      </c>
      <c r="M115" s="157">
        <v>1.75E-3</v>
      </c>
      <c r="N115" s="157">
        <v>1.6900000000000001E-3</v>
      </c>
      <c r="O115" s="157">
        <v>0</v>
      </c>
      <c r="P115" s="157">
        <v>1E-4</v>
      </c>
      <c r="Q115" s="157">
        <v>6.9999999999999994E-5</v>
      </c>
      <c r="R115" s="157">
        <v>4.4000000000000002E-4</v>
      </c>
      <c r="S115" s="157">
        <v>1.09E-3</v>
      </c>
      <c r="T115" s="157">
        <v>5.2399999999999999E-3</v>
      </c>
      <c r="U115" s="157">
        <v>6.9999999999999994E-5</v>
      </c>
      <c r="V115" s="157">
        <v>2.9E-4</v>
      </c>
      <c r="W115" s="157">
        <v>2.9E-4</v>
      </c>
      <c r="X115" s="162">
        <v>2.776E-2</v>
      </c>
      <c r="Y115" s="163">
        <v>6.6699999999999997E-3</v>
      </c>
      <c r="Z115" s="164">
        <v>6.9499999999999996E-3</v>
      </c>
      <c r="AA115" s="163">
        <v>2.8549999999999999E-2</v>
      </c>
      <c r="AB115" s="164">
        <v>2.862E-2</v>
      </c>
      <c r="AC115" s="163">
        <v>5.7099999999999998E-2</v>
      </c>
      <c r="AD115" s="165">
        <v>5.7239999999999999E-2</v>
      </c>
    </row>
    <row r="116" spans="1:30" hidden="1">
      <c r="A116" s="167">
        <v>7079.4560000000001</v>
      </c>
      <c r="B116" s="157">
        <v>6.9999999999999994E-5</v>
      </c>
      <c r="C116" s="157">
        <v>4.3299999999999996E-3</v>
      </c>
      <c r="D116" s="157">
        <v>1.047E-2</v>
      </c>
      <c r="E116" s="157">
        <v>3.8999999999999999E-4</v>
      </c>
      <c r="F116" s="157">
        <v>5.45E-3</v>
      </c>
      <c r="G116" s="157">
        <v>1.6199999999999999E-2</v>
      </c>
      <c r="H116" s="157">
        <v>4.1999999999999997E-3</v>
      </c>
      <c r="I116" s="157">
        <v>1.7399999999999999E-2</v>
      </c>
      <c r="J116" s="157">
        <v>2.8999999999999998E-3</v>
      </c>
      <c r="K116" s="157">
        <v>4.1000000000000003E-3</v>
      </c>
      <c r="L116" s="157">
        <v>1.1E-4</v>
      </c>
      <c r="M116" s="157">
        <v>1.7700000000000001E-3</v>
      </c>
      <c r="N116" s="157">
        <v>1.57E-3</v>
      </c>
      <c r="O116" s="157">
        <v>0</v>
      </c>
      <c r="P116" s="157">
        <v>1.1E-4</v>
      </c>
      <c r="Q116" s="157">
        <v>6.9999999999999994E-5</v>
      </c>
      <c r="R116" s="157">
        <v>4.4000000000000002E-4</v>
      </c>
      <c r="S116" s="157">
        <v>1.09E-3</v>
      </c>
      <c r="T116" s="157">
        <v>5.2399999999999999E-3</v>
      </c>
      <c r="U116" s="157">
        <v>6.9999999999999994E-5</v>
      </c>
      <c r="V116" s="157">
        <v>2.9E-4</v>
      </c>
      <c r="W116" s="157">
        <v>2.9E-4</v>
      </c>
      <c r="X116" s="162">
        <v>2.8299999999999999E-2</v>
      </c>
      <c r="Y116" s="163">
        <v>4.2900000000000004E-3</v>
      </c>
      <c r="Z116" s="164">
        <v>5.5799999999999999E-3</v>
      </c>
      <c r="AA116" s="163">
        <v>2.862E-2</v>
      </c>
      <c r="AB116" s="164">
        <v>2.8840000000000001E-2</v>
      </c>
      <c r="AC116" s="163">
        <v>5.7250000000000002E-2</v>
      </c>
      <c r="AD116" s="165">
        <v>5.7689999999999998E-2</v>
      </c>
    </row>
    <row r="117" spans="1:30" hidden="1">
      <c r="A117" s="167">
        <v>7498.942</v>
      </c>
      <c r="B117" s="157">
        <v>8.0000000000000007E-5</v>
      </c>
      <c r="C117" s="157">
        <v>4.2100000000000002E-3</v>
      </c>
      <c r="D117" s="157">
        <v>1.0529999999999999E-2</v>
      </c>
      <c r="E117" s="157">
        <v>4.2000000000000002E-4</v>
      </c>
      <c r="F117" s="157">
        <v>6.0899999999999999E-3</v>
      </c>
      <c r="G117" s="157">
        <v>1.6400000000000001E-2</v>
      </c>
      <c r="H117" s="157">
        <v>3.49E-3</v>
      </c>
      <c r="I117" s="157">
        <v>1.746E-2</v>
      </c>
      <c r="J117" s="157">
        <v>3.3600000000000001E-3</v>
      </c>
      <c r="K117" s="157">
        <v>4.3899999999999998E-3</v>
      </c>
      <c r="L117" s="157">
        <v>1E-4</v>
      </c>
      <c r="M117" s="157">
        <v>1.7899999999999999E-3</v>
      </c>
      <c r="N117" s="157">
        <v>1.4300000000000001E-3</v>
      </c>
      <c r="O117" s="157">
        <v>0</v>
      </c>
      <c r="P117" s="157">
        <v>1.1E-4</v>
      </c>
      <c r="Q117" s="157">
        <v>6.9999999999999994E-5</v>
      </c>
      <c r="R117" s="157">
        <v>4.4000000000000002E-4</v>
      </c>
      <c r="S117" s="157">
        <v>1.09E-3</v>
      </c>
      <c r="T117" s="157">
        <v>5.2399999999999999E-3</v>
      </c>
      <c r="U117" s="157">
        <v>6.9999999999999994E-5</v>
      </c>
      <c r="V117" s="157">
        <v>2.9E-4</v>
      </c>
      <c r="W117" s="157">
        <v>2.9E-4</v>
      </c>
      <c r="X117" s="162">
        <v>2.8580000000000001E-2</v>
      </c>
      <c r="Y117" s="163">
        <v>2.47E-3</v>
      </c>
      <c r="Z117" s="164">
        <v>4.6499999999999996E-3</v>
      </c>
      <c r="AA117" s="163">
        <v>2.869E-2</v>
      </c>
      <c r="AB117" s="164">
        <v>2.895E-2</v>
      </c>
      <c r="AC117" s="163">
        <v>5.7369999999999997E-2</v>
      </c>
      <c r="AD117" s="165">
        <v>5.7910000000000003E-2</v>
      </c>
    </row>
    <row r="118" spans="1:30">
      <c r="A118" s="167">
        <v>7943.2839999999997</v>
      </c>
      <c r="B118" s="157">
        <v>9.0000000000000006E-5</v>
      </c>
      <c r="C118" s="157">
        <v>4.0000000000000001E-3</v>
      </c>
      <c r="D118" s="157">
        <v>1.0330000000000001E-2</v>
      </c>
      <c r="E118" s="157">
        <v>4.4999999999999999E-4</v>
      </c>
      <c r="F118" s="157">
        <v>6.7999999999999996E-3</v>
      </c>
      <c r="G118" s="157">
        <v>1.661E-2</v>
      </c>
      <c r="H118" s="157">
        <v>2.8400000000000001E-3</v>
      </c>
      <c r="I118" s="157">
        <v>1.6899999999999998E-2</v>
      </c>
      <c r="J118" s="157">
        <v>3.9199999999999999E-3</v>
      </c>
      <c r="K118" s="157">
        <v>4.6600000000000001E-3</v>
      </c>
      <c r="L118" s="157">
        <v>8.0000000000000007E-5</v>
      </c>
      <c r="M118" s="157">
        <v>1.82E-3</v>
      </c>
      <c r="N118" s="157">
        <v>1.2800000000000001E-3</v>
      </c>
      <c r="O118" s="157">
        <v>0</v>
      </c>
      <c r="P118" s="157">
        <v>1.1E-4</v>
      </c>
      <c r="Q118" s="157">
        <v>6.0000000000000002E-5</v>
      </c>
      <c r="R118" s="157">
        <v>4.4000000000000002E-4</v>
      </c>
      <c r="S118" s="157">
        <v>1.09E-3</v>
      </c>
      <c r="T118" s="157">
        <v>5.2399999999999999E-3</v>
      </c>
      <c r="U118" s="157">
        <v>6.9999999999999994E-5</v>
      </c>
      <c r="V118" s="157">
        <v>2.9E-4</v>
      </c>
      <c r="W118" s="157">
        <v>2.9E-4</v>
      </c>
      <c r="X118" s="162">
        <v>2.8459999999999999E-2</v>
      </c>
      <c r="Y118" s="163">
        <v>1.99E-3</v>
      </c>
      <c r="Z118" s="164">
        <v>3.5500000000000002E-3</v>
      </c>
      <c r="AA118" s="163">
        <v>2.853E-2</v>
      </c>
      <c r="AB118" s="164">
        <v>2.8680000000000001E-2</v>
      </c>
      <c r="AC118" s="163">
        <v>5.7049999999999997E-2</v>
      </c>
      <c r="AD118" s="165">
        <v>5.7349999999999998E-2</v>
      </c>
    </row>
    <row r="119" spans="1:30" hidden="1">
      <c r="A119" s="167">
        <v>8413.9500000000007</v>
      </c>
      <c r="B119" s="157">
        <v>1E-4</v>
      </c>
      <c r="C119" s="157">
        <v>3.6900000000000001E-3</v>
      </c>
      <c r="D119" s="157">
        <v>9.8171000000000005E-3</v>
      </c>
      <c r="E119" s="157">
        <v>4.8569999999999999E-4</v>
      </c>
      <c r="F119" s="157">
        <v>7.5756E-3</v>
      </c>
      <c r="G119" s="157">
        <v>1.6803499999999999E-2</v>
      </c>
      <c r="H119" s="157">
        <v>2.2980000000000001E-3</v>
      </c>
      <c r="I119" s="157">
        <v>1.5469399999999999E-2</v>
      </c>
      <c r="J119" s="157">
        <v>4.6001000000000002E-3</v>
      </c>
      <c r="K119" s="157">
        <v>4.8722000000000001E-3</v>
      </c>
      <c r="L119" s="157">
        <v>6.0800000000000001E-5</v>
      </c>
      <c r="M119" s="157">
        <v>1.8347999999999999E-3</v>
      </c>
      <c r="N119" s="157">
        <v>1.1113E-3</v>
      </c>
      <c r="O119" s="157">
        <v>0</v>
      </c>
      <c r="P119" s="157">
        <v>1.094E-4</v>
      </c>
      <c r="Q119" s="157">
        <v>7.47E-5</v>
      </c>
      <c r="R119" s="157">
        <v>4.392E-4</v>
      </c>
      <c r="S119" s="157">
        <v>1.0857362047581294E-3</v>
      </c>
      <c r="T119" s="157">
        <v>5.23620603957881E-3</v>
      </c>
      <c r="U119" s="157">
        <v>6.5144172285487768E-5</v>
      </c>
      <c r="V119" s="157">
        <v>2.886751345948129E-4</v>
      </c>
      <c r="W119" s="157">
        <v>2.886751345948129E-4</v>
      </c>
      <c r="X119" s="162">
        <v>2.7803782216905194E-2</v>
      </c>
      <c r="Y119" s="163">
        <v>2.6901188790343007E-3</v>
      </c>
      <c r="Z119" s="164">
        <v>1.7660222724154768E-3</v>
      </c>
      <c r="AA119" s="163">
        <v>2.793361854734238E-2</v>
      </c>
      <c r="AB119" s="164">
        <v>2.7859812279190991E-2</v>
      </c>
      <c r="AC119" s="163">
        <v>5.586723709468476E-2</v>
      </c>
      <c r="AD119" s="165">
        <v>5.5719624558381982E-2</v>
      </c>
    </row>
    <row r="120" spans="1:30" hidden="1">
      <c r="A120" s="167">
        <v>8912.5110000000004</v>
      </c>
      <c r="B120" s="157">
        <v>1.1E-4</v>
      </c>
      <c r="C120" s="157">
        <v>3.2801000000000002E-3</v>
      </c>
      <c r="D120" s="157">
        <v>8.9225999999999993E-3</v>
      </c>
      <c r="E120" s="157">
        <v>5.2249999999999996E-4</v>
      </c>
      <c r="F120" s="157">
        <v>8.4186999999999994E-3</v>
      </c>
      <c r="G120" s="157">
        <v>1.6982500000000001E-2</v>
      </c>
      <c r="H120" s="157">
        <v>1.9289999999999999E-3</v>
      </c>
      <c r="I120" s="157">
        <v>1.2796399999999999E-2</v>
      </c>
      <c r="J120" s="157">
        <v>5.4543999999999999E-3</v>
      </c>
      <c r="K120" s="157">
        <v>4.9979000000000004E-3</v>
      </c>
      <c r="L120" s="157">
        <v>4.1199999999999999E-5</v>
      </c>
      <c r="M120" s="157">
        <v>1.8557999999999999E-3</v>
      </c>
      <c r="N120" s="157">
        <v>9.278E-4</v>
      </c>
      <c r="O120" s="157">
        <v>0</v>
      </c>
      <c r="P120" s="157">
        <v>1.1069999999999999E-4</v>
      </c>
      <c r="Q120" s="157">
        <v>7.6699999999999994E-5</v>
      </c>
      <c r="R120" s="157">
        <v>4.392E-4</v>
      </c>
      <c r="S120" s="157">
        <v>1.0857362047581294E-3</v>
      </c>
      <c r="T120" s="157">
        <v>5.23620603957881E-3</v>
      </c>
      <c r="U120" s="157">
        <v>6.5144172285487768E-5</v>
      </c>
      <c r="V120" s="157">
        <v>2.886751345948129E-4</v>
      </c>
      <c r="W120" s="157">
        <v>2.886751345948129E-4</v>
      </c>
      <c r="X120" s="162">
        <v>2.6559746202573054E-2</v>
      </c>
      <c r="Y120" s="163">
        <v>7.7702281122674537E-3</v>
      </c>
      <c r="Z120" s="164">
        <v>4.2175433607730527E-3</v>
      </c>
      <c r="AA120" s="163">
        <v>2.7673029528075984E-2</v>
      </c>
      <c r="AB120" s="164">
        <v>2.6892522944958041E-2</v>
      </c>
      <c r="AC120" s="163">
        <v>5.5346059056151968E-2</v>
      </c>
      <c r="AD120" s="165">
        <v>5.3785045889916082E-2</v>
      </c>
    </row>
    <row r="121" spans="1:30" hidden="1">
      <c r="A121" s="167">
        <v>9440.6</v>
      </c>
      <c r="B121" s="157"/>
      <c r="C121" s="157"/>
      <c r="D121" s="157"/>
      <c r="E121" s="157"/>
      <c r="F121" s="157"/>
      <c r="G121" s="157"/>
      <c r="H121" s="157"/>
      <c r="I121" s="157"/>
      <c r="J121" s="157"/>
      <c r="K121" s="157"/>
      <c r="L121" s="157"/>
      <c r="M121" s="157"/>
      <c r="N121" s="157"/>
      <c r="O121" s="157"/>
      <c r="P121" s="157"/>
      <c r="Q121" s="157"/>
      <c r="R121" s="157"/>
      <c r="S121" s="157"/>
      <c r="T121" s="157"/>
      <c r="U121" s="157"/>
      <c r="V121" s="157"/>
      <c r="W121" s="157"/>
      <c r="X121" s="162"/>
      <c r="Y121" s="163"/>
      <c r="Z121" s="164"/>
      <c r="AA121" s="163"/>
      <c r="AB121" s="164"/>
      <c r="AC121" s="163"/>
      <c r="AD121" s="165"/>
    </row>
    <row r="122" spans="1:30" ht="15.75" thickBot="1">
      <c r="A122" s="168">
        <v>10000</v>
      </c>
      <c r="B122" s="157">
        <v>1.2999999999999999E-4</v>
      </c>
      <c r="C122" s="157">
        <v>2.2100000000000002E-3</v>
      </c>
      <c r="D122" s="157">
        <v>5.96E-3</v>
      </c>
      <c r="E122" s="157">
        <v>5.9999999999999995E-4</v>
      </c>
      <c r="F122" s="157">
        <v>1.0279999999999999E-2</v>
      </c>
      <c r="G122" s="157">
        <v>1.7229999999999999E-2</v>
      </c>
      <c r="H122" s="157">
        <v>3.8500000000000001E-3</v>
      </c>
      <c r="I122" s="157">
        <v>1.179E-2</v>
      </c>
      <c r="J122" s="157">
        <v>7.9100000000000004E-3</v>
      </c>
      <c r="K122" s="157">
        <v>4.7600000000000003E-3</v>
      </c>
      <c r="L122" s="157">
        <v>8.0000000000000007E-5</v>
      </c>
      <c r="M122" s="157">
        <v>1.89E-3</v>
      </c>
      <c r="N122" s="157">
        <v>1.1000000000000001E-3</v>
      </c>
      <c r="O122" s="157">
        <v>0</v>
      </c>
      <c r="P122" s="157">
        <v>1.1E-4</v>
      </c>
      <c r="Q122" s="157">
        <v>6.9999999999999994E-5</v>
      </c>
      <c r="R122" s="157">
        <v>4.4000000000000002E-4</v>
      </c>
      <c r="S122" s="157">
        <v>1.09E-3</v>
      </c>
      <c r="T122" s="157">
        <v>5.2399999999999999E-3</v>
      </c>
      <c r="U122" s="157">
        <v>6.9999999999999994E-5</v>
      </c>
      <c r="V122" s="157">
        <v>2.9E-4</v>
      </c>
      <c r="W122" s="157">
        <v>2.9E-4</v>
      </c>
      <c r="X122" s="169">
        <v>2.6759999999999999E-2</v>
      </c>
      <c r="Y122" s="170">
        <v>4.718E-2</v>
      </c>
      <c r="Z122" s="171">
        <v>4.3249999999999997E-2</v>
      </c>
      <c r="AA122" s="170">
        <v>5.4239999999999997E-2</v>
      </c>
      <c r="AB122" s="171">
        <v>5.0860000000000002E-2</v>
      </c>
      <c r="AC122" s="170">
        <v>0.10847</v>
      </c>
      <c r="AD122" s="172">
        <v>0.10170999999999999</v>
      </c>
    </row>
    <row r="123" spans="1:30" ht="15.75" thickTop="1"/>
  </sheetData>
  <mergeCells count="3">
    <mergeCell ref="Y2:Z2"/>
    <mergeCell ref="AA2:AB2"/>
    <mergeCell ref="AC2:AD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54"/>
  <sheetViews>
    <sheetView workbookViewId="0">
      <selection sqref="A1:B1"/>
    </sheetView>
  </sheetViews>
  <sheetFormatPr defaultRowHeight="15"/>
  <cols>
    <col min="1" max="1" width="30.85546875" customWidth="1"/>
    <col min="2" max="2" width="39.140625" customWidth="1"/>
    <col min="257" max="257" width="30.85546875" customWidth="1"/>
    <col min="258" max="258" width="39.140625" customWidth="1"/>
    <col min="513" max="513" width="30.85546875" customWidth="1"/>
    <col min="514" max="514" width="39.140625" customWidth="1"/>
    <col min="769" max="769" width="30.85546875" customWidth="1"/>
    <col min="770" max="770" width="39.140625" customWidth="1"/>
    <col min="1025" max="1025" width="30.85546875" customWidth="1"/>
    <col min="1026" max="1026" width="39.140625" customWidth="1"/>
    <col min="1281" max="1281" width="30.85546875" customWidth="1"/>
    <col min="1282" max="1282" width="39.140625" customWidth="1"/>
    <col min="1537" max="1537" width="30.85546875" customWidth="1"/>
    <col min="1538" max="1538" width="39.140625" customWidth="1"/>
    <col min="1793" max="1793" width="30.85546875" customWidth="1"/>
    <col min="1794" max="1794" width="39.140625" customWidth="1"/>
    <col min="2049" max="2049" width="30.85546875" customWidth="1"/>
    <col min="2050" max="2050" width="39.140625" customWidth="1"/>
    <col min="2305" max="2305" width="30.85546875" customWidth="1"/>
    <col min="2306" max="2306" width="39.140625" customWidth="1"/>
    <col min="2561" max="2561" width="30.85546875" customWidth="1"/>
    <col min="2562" max="2562" width="39.140625" customWidth="1"/>
    <col min="2817" max="2817" width="30.85546875" customWidth="1"/>
    <col min="2818" max="2818" width="39.140625" customWidth="1"/>
    <col min="3073" max="3073" width="30.85546875" customWidth="1"/>
    <col min="3074" max="3074" width="39.140625" customWidth="1"/>
    <col min="3329" max="3329" width="30.85546875" customWidth="1"/>
    <col min="3330" max="3330" width="39.140625" customWidth="1"/>
    <col min="3585" max="3585" width="30.85546875" customWidth="1"/>
    <col min="3586" max="3586" width="39.140625" customWidth="1"/>
    <col min="3841" max="3841" width="30.85546875" customWidth="1"/>
    <col min="3842" max="3842" width="39.140625" customWidth="1"/>
    <col min="4097" max="4097" width="30.85546875" customWidth="1"/>
    <col min="4098" max="4098" width="39.140625" customWidth="1"/>
    <col min="4353" max="4353" width="30.85546875" customWidth="1"/>
    <col min="4354" max="4354" width="39.140625" customWidth="1"/>
    <col min="4609" max="4609" width="30.85546875" customWidth="1"/>
    <col min="4610" max="4610" width="39.140625" customWidth="1"/>
    <col min="4865" max="4865" width="30.85546875" customWidth="1"/>
    <col min="4866" max="4866" width="39.140625" customWidth="1"/>
    <col min="5121" max="5121" width="30.85546875" customWidth="1"/>
    <col min="5122" max="5122" width="39.140625" customWidth="1"/>
    <col min="5377" max="5377" width="30.85546875" customWidth="1"/>
    <col min="5378" max="5378" width="39.140625" customWidth="1"/>
    <col min="5633" max="5633" width="30.85546875" customWidth="1"/>
    <col min="5634" max="5634" width="39.140625" customWidth="1"/>
    <col min="5889" max="5889" width="30.85546875" customWidth="1"/>
    <col min="5890" max="5890" width="39.140625" customWidth="1"/>
    <col min="6145" max="6145" width="30.85546875" customWidth="1"/>
    <col min="6146" max="6146" width="39.140625" customWidth="1"/>
    <col min="6401" max="6401" width="30.85546875" customWidth="1"/>
    <col min="6402" max="6402" width="39.140625" customWidth="1"/>
    <col min="6657" max="6657" width="30.85546875" customWidth="1"/>
    <col min="6658" max="6658" width="39.140625" customWidth="1"/>
    <col min="6913" max="6913" width="30.85546875" customWidth="1"/>
    <col min="6914" max="6914" width="39.140625" customWidth="1"/>
    <col min="7169" max="7169" width="30.85546875" customWidth="1"/>
    <col min="7170" max="7170" width="39.140625" customWidth="1"/>
    <col min="7425" max="7425" width="30.85546875" customWidth="1"/>
    <col min="7426" max="7426" width="39.140625" customWidth="1"/>
    <col min="7681" max="7681" width="30.85546875" customWidth="1"/>
    <col min="7682" max="7682" width="39.140625" customWidth="1"/>
    <col min="7937" max="7937" width="30.85546875" customWidth="1"/>
    <col min="7938" max="7938" width="39.140625" customWidth="1"/>
    <col min="8193" max="8193" width="30.85546875" customWidth="1"/>
    <col min="8194" max="8194" width="39.140625" customWidth="1"/>
    <col min="8449" max="8449" width="30.85546875" customWidth="1"/>
    <col min="8450" max="8450" width="39.140625" customWidth="1"/>
    <col min="8705" max="8705" width="30.85546875" customWidth="1"/>
    <col min="8706" max="8706" width="39.140625" customWidth="1"/>
    <col min="8961" max="8961" width="30.85546875" customWidth="1"/>
    <col min="8962" max="8962" width="39.140625" customWidth="1"/>
    <col min="9217" max="9217" width="30.85546875" customWidth="1"/>
    <col min="9218" max="9218" width="39.140625" customWidth="1"/>
    <col min="9473" max="9473" width="30.85546875" customWidth="1"/>
    <col min="9474" max="9474" width="39.140625" customWidth="1"/>
    <col min="9729" max="9729" width="30.85546875" customWidth="1"/>
    <col min="9730" max="9730" width="39.140625" customWidth="1"/>
    <col min="9985" max="9985" width="30.85546875" customWidth="1"/>
    <col min="9986" max="9986" width="39.140625" customWidth="1"/>
    <col min="10241" max="10241" width="30.85546875" customWidth="1"/>
    <col min="10242" max="10242" width="39.140625" customWidth="1"/>
    <col min="10497" max="10497" width="30.85546875" customWidth="1"/>
    <col min="10498" max="10498" width="39.140625" customWidth="1"/>
    <col min="10753" max="10753" width="30.85546875" customWidth="1"/>
    <col min="10754" max="10754" width="39.140625" customWidth="1"/>
    <col min="11009" max="11009" width="30.85546875" customWidth="1"/>
    <col min="11010" max="11010" width="39.140625" customWidth="1"/>
    <col min="11265" max="11265" width="30.85546875" customWidth="1"/>
    <col min="11266" max="11266" width="39.140625" customWidth="1"/>
    <col min="11521" max="11521" width="30.85546875" customWidth="1"/>
    <col min="11522" max="11522" width="39.140625" customWidth="1"/>
    <col min="11777" max="11777" width="30.85546875" customWidth="1"/>
    <col min="11778" max="11778" width="39.140625" customWidth="1"/>
    <col min="12033" max="12033" width="30.85546875" customWidth="1"/>
    <col min="12034" max="12034" width="39.140625" customWidth="1"/>
    <col min="12289" max="12289" width="30.85546875" customWidth="1"/>
    <col min="12290" max="12290" width="39.140625" customWidth="1"/>
    <col min="12545" max="12545" width="30.85546875" customWidth="1"/>
    <col min="12546" max="12546" width="39.140625" customWidth="1"/>
    <col min="12801" max="12801" width="30.85546875" customWidth="1"/>
    <col min="12802" max="12802" width="39.140625" customWidth="1"/>
    <col min="13057" max="13057" width="30.85546875" customWidth="1"/>
    <col min="13058" max="13058" width="39.140625" customWidth="1"/>
    <col min="13313" max="13313" width="30.85546875" customWidth="1"/>
    <col min="13314" max="13314" width="39.140625" customWidth="1"/>
    <col min="13569" max="13569" width="30.85546875" customWidth="1"/>
    <col min="13570" max="13570" width="39.140625" customWidth="1"/>
    <col min="13825" max="13825" width="30.85546875" customWidth="1"/>
    <col min="13826" max="13826" width="39.140625" customWidth="1"/>
    <col min="14081" max="14081" width="30.85546875" customWidth="1"/>
    <col min="14082" max="14082" width="39.140625" customWidth="1"/>
    <col min="14337" max="14337" width="30.85546875" customWidth="1"/>
    <col min="14338" max="14338" width="39.140625" customWidth="1"/>
    <col min="14593" max="14593" width="30.85546875" customWidth="1"/>
    <col min="14594" max="14594" width="39.140625" customWidth="1"/>
    <col min="14849" max="14849" width="30.85546875" customWidth="1"/>
    <col min="14850" max="14850" width="39.140625" customWidth="1"/>
    <col min="15105" max="15105" width="30.85546875" customWidth="1"/>
    <col min="15106" max="15106" width="39.140625" customWidth="1"/>
    <col min="15361" max="15361" width="30.85546875" customWidth="1"/>
    <col min="15362" max="15362" width="39.140625" customWidth="1"/>
    <col min="15617" max="15617" width="30.85546875" customWidth="1"/>
    <col min="15618" max="15618" width="39.140625" customWidth="1"/>
    <col min="15873" max="15873" width="30.85546875" customWidth="1"/>
    <col min="15874" max="15874" width="39.140625" customWidth="1"/>
    <col min="16129" max="16129" width="30.85546875" customWidth="1"/>
    <col min="16130" max="16130" width="39.140625" customWidth="1"/>
  </cols>
  <sheetData>
    <row r="1" spans="1:62" ht="26.25">
      <c r="A1" s="62" t="s">
        <v>1009</v>
      </c>
      <c r="B1" s="62" t="s">
        <v>767</v>
      </c>
    </row>
    <row r="5" spans="1:62">
      <c r="B5" s="173" t="s">
        <v>44</v>
      </c>
      <c r="C5">
        <v>20</v>
      </c>
      <c r="D5">
        <v>25</v>
      </c>
      <c r="E5">
        <v>31.5</v>
      </c>
      <c r="F5">
        <v>40</v>
      </c>
      <c r="G5">
        <v>50</v>
      </c>
      <c r="H5">
        <v>63</v>
      </c>
      <c r="I5">
        <v>80</v>
      </c>
      <c r="J5">
        <v>100</v>
      </c>
      <c r="K5">
        <v>125</v>
      </c>
      <c r="L5">
        <v>160</v>
      </c>
      <c r="M5">
        <v>200</v>
      </c>
      <c r="N5">
        <v>250</v>
      </c>
      <c r="O5">
        <v>315</v>
      </c>
      <c r="P5">
        <v>400</v>
      </c>
      <c r="Q5">
        <v>500</v>
      </c>
      <c r="R5">
        <v>630</v>
      </c>
      <c r="S5">
        <v>800</v>
      </c>
      <c r="T5" t="s">
        <v>5</v>
      </c>
      <c r="U5" t="s">
        <v>967</v>
      </c>
      <c r="V5" t="s">
        <v>968</v>
      </c>
      <c r="W5" t="s">
        <v>6</v>
      </c>
      <c r="X5" t="s">
        <v>969</v>
      </c>
      <c r="Y5" t="s">
        <v>970</v>
      </c>
      <c r="Z5" t="s">
        <v>9</v>
      </c>
      <c r="AA5" t="s">
        <v>10</v>
      </c>
      <c r="AB5" t="s">
        <v>971</v>
      </c>
      <c r="AC5" t="s">
        <v>12</v>
      </c>
      <c r="AD5" t="s">
        <v>13</v>
      </c>
      <c r="AI5">
        <v>20</v>
      </c>
      <c r="AJ5">
        <v>25</v>
      </c>
      <c r="AK5">
        <v>31.5</v>
      </c>
      <c r="AL5">
        <v>40</v>
      </c>
      <c r="AM5">
        <v>50</v>
      </c>
      <c r="AN5">
        <v>63</v>
      </c>
      <c r="AO5">
        <v>80</v>
      </c>
      <c r="AP5">
        <v>100</v>
      </c>
      <c r="AQ5">
        <v>125</v>
      </c>
      <c r="AR5">
        <v>160</v>
      </c>
      <c r="AS5">
        <v>200</v>
      </c>
      <c r="AT5">
        <v>250</v>
      </c>
      <c r="AU5">
        <v>315</v>
      </c>
      <c r="AV5">
        <v>400</v>
      </c>
      <c r="AW5">
        <v>500</v>
      </c>
      <c r="AX5">
        <v>630</v>
      </c>
      <c r="AY5">
        <v>800</v>
      </c>
      <c r="AZ5" t="s">
        <v>5</v>
      </c>
      <c r="BA5" t="s">
        <v>967</v>
      </c>
      <c r="BB5" t="s">
        <v>968</v>
      </c>
      <c r="BC5" t="s">
        <v>6</v>
      </c>
      <c r="BD5" t="s">
        <v>969</v>
      </c>
      <c r="BE5" t="s">
        <v>970</v>
      </c>
      <c r="BF5" t="s">
        <v>9</v>
      </c>
      <c r="BG5" t="s">
        <v>10</v>
      </c>
      <c r="BH5" t="s">
        <v>971</v>
      </c>
      <c r="BI5" t="s">
        <v>12</v>
      </c>
      <c r="BJ5" t="s">
        <v>13</v>
      </c>
    </row>
    <row r="6" spans="1:62">
      <c r="B6" t="s">
        <v>972</v>
      </c>
      <c r="C6" t="s">
        <v>973</v>
      </c>
    </row>
    <row r="7" spans="1:62">
      <c r="A7" t="s">
        <v>974</v>
      </c>
      <c r="B7" t="s">
        <v>975</v>
      </c>
      <c r="C7" s="174">
        <v>3.0000000000000001E-3</v>
      </c>
      <c r="D7" s="174">
        <v>2E-3</v>
      </c>
      <c r="E7" s="174">
        <v>1.6000000000000001E-3</v>
      </c>
      <c r="F7" s="174">
        <v>1.6000000000000001E-3</v>
      </c>
      <c r="G7" s="174">
        <v>1.6000000000000001E-3</v>
      </c>
      <c r="H7" s="174">
        <v>1.6000000000000001E-3</v>
      </c>
      <c r="I7" s="174">
        <v>1.6000000000000001E-3</v>
      </c>
      <c r="J7" s="174">
        <v>1.6000000000000001E-3</v>
      </c>
      <c r="K7" s="174">
        <v>1.4E-3</v>
      </c>
      <c r="L7" s="174">
        <v>1.4E-3</v>
      </c>
      <c r="M7" s="174">
        <v>1.4E-3</v>
      </c>
      <c r="N7" s="174">
        <v>1.4E-3</v>
      </c>
      <c r="O7" s="174">
        <v>1.4E-3</v>
      </c>
      <c r="P7" s="174">
        <v>1.4E-3</v>
      </c>
      <c r="Q7" s="174">
        <v>1.4E-3</v>
      </c>
      <c r="R7" s="174">
        <v>1.4E-3</v>
      </c>
      <c r="S7" s="174">
        <v>1.4E-3</v>
      </c>
      <c r="T7" s="174">
        <v>1.4E-3</v>
      </c>
      <c r="U7" s="174">
        <v>1.4E-3</v>
      </c>
      <c r="V7" s="174">
        <v>1.4E-3</v>
      </c>
      <c r="W7" s="174">
        <v>1.4E-3</v>
      </c>
      <c r="X7" s="174">
        <v>1.4E-3</v>
      </c>
      <c r="Y7" s="174">
        <v>1.4E-3</v>
      </c>
      <c r="Z7" s="174">
        <v>1.4E-3</v>
      </c>
      <c r="AA7" s="174">
        <v>1.4E-3</v>
      </c>
      <c r="AB7" s="174">
        <v>1.4E-3</v>
      </c>
      <c r="AC7" s="174">
        <v>1.4E-3</v>
      </c>
      <c r="AD7" s="174">
        <v>1.4E-3</v>
      </c>
      <c r="AI7">
        <f>C7^2</f>
        <v>9.0000000000000002E-6</v>
      </c>
      <c r="AJ7">
        <f t="shared" ref="AJ7:BJ16" si="0">D7^2</f>
        <v>3.9999999999999998E-6</v>
      </c>
      <c r="AK7">
        <f t="shared" si="0"/>
        <v>2.5600000000000001E-6</v>
      </c>
      <c r="AL7">
        <f t="shared" si="0"/>
        <v>2.5600000000000001E-6</v>
      </c>
      <c r="AM7">
        <f t="shared" si="0"/>
        <v>2.5600000000000001E-6</v>
      </c>
      <c r="AN7">
        <f t="shared" si="0"/>
        <v>2.5600000000000001E-6</v>
      </c>
      <c r="AO7">
        <f t="shared" si="0"/>
        <v>2.5600000000000001E-6</v>
      </c>
      <c r="AP7">
        <f t="shared" si="0"/>
        <v>2.5600000000000001E-6</v>
      </c>
      <c r="AQ7">
        <f t="shared" si="0"/>
        <v>1.9599999999999999E-6</v>
      </c>
      <c r="AR7">
        <f t="shared" si="0"/>
        <v>1.9599999999999999E-6</v>
      </c>
      <c r="AS7">
        <f t="shared" si="0"/>
        <v>1.9599999999999999E-6</v>
      </c>
      <c r="AT7">
        <f t="shared" si="0"/>
        <v>1.9599999999999999E-6</v>
      </c>
      <c r="AU7">
        <f t="shared" si="0"/>
        <v>1.9599999999999999E-6</v>
      </c>
      <c r="AV7">
        <f t="shared" si="0"/>
        <v>1.9599999999999999E-6</v>
      </c>
      <c r="AW7">
        <f t="shared" si="0"/>
        <v>1.9599999999999999E-6</v>
      </c>
      <c r="AX7">
        <f t="shared" si="0"/>
        <v>1.9599999999999999E-6</v>
      </c>
      <c r="AY7">
        <f t="shared" si="0"/>
        <v>1.9599999999999999E-6</v>
      </c>
      <c r="AZ7">
        <f t="shared" si="0"/>
        <v>1.9599999999999999E-6</v>
      </c>
      <c r="BA7">
        <f t="shared" si="0"/>
        <v>1.9599999999999999E-6</v>
      </c>
      <c r="BB7">
        <f t="shared" si="0"/>
        <v>1.9599999999999999E-6</v>
      </c>
      <c r="BC7">
        <f t="shared" si="0"/>
        <v>1.9599999999999999E-6</v>
      </c>
      <c r="BD7">
        <f t="shared" si="0"/>
        <v>1.9599999999999999E-6</v>
      </c>
      <c r="BE7">
        <f t="shared" si="0"/>
        <v>1.9599999999999999E-6</v>
      </c>
      <c r="BF7">
        <f t="shared" si="0"/>
        <v>1.9599999999999999E-6</v>
      </c>
      <c r="BG7">
        <f t="shared" si="0"/>
        <v>1.9599999999999999E-6</v>
      </c>
      <c r="BH7">
        <f t="shared" si="0"/>
        <v>1.9599999999999999E-6</v>
      </c>
      <c r="BI7">
        <f t="shared" si="0"/>
        <v>1.9599999999999999E-6</v>
      </c>
      <c r="BJ7">
        <f t="shared" si="0"/>
        <v>1.9599999999999999E-6</v>
      </c>
    </row>
    <row r="8" spans="1:62">
      <c r="B8" t="s">
        <v>976</v>
      </c>
      <c r="C8" s="174">
        <v>7.9000000000000008E-3</v>
      </c>
      <c r="D8" s="174">
        <v>7.9000000000000008E-3</v>
      </c>
      <c r="E8" s="174">
        <v>7.9000000000000008E-3</v>
      </c>
      <c r="F8" s="174">
        <v>7.9000000000000008E-3</v>
      </c>
      <c r="G8" s="174">
        <v>7.9000000000000008E-3</v>
      </c>
      <c r="H8" s="174">
        <v>7.9000000000000008E-3</v>
      </c>
      <c r="I8" s="174">
        <v>7.9000000000000008E-3</v>
      </c>
      <c r="J8" s="174">
        <v>7.9000000000000008E-3</v>
      </c>
      <c r="K8" s="174">
        <v>7.9000000000000008E-3</v>
      </c>
      <c r="L8" s="174">
        <v>7.9000000000000008E-3</v>
      </c>
      <c r="M8" s="174">
        <v>7.9000000000000008E-3</v>
      </c>
      <c r="N8" s="174">
        <v>7.9000000000000008E-3</v>
      </c>
      <c r="O8" s="174">
        <v>7.9000000000000008E-3</v>
      </c>
      <c r="P8" s="174">
        <v>7.9000000000000008E-3</v>
      </c>
      <c r="Q8" s="174">
        <v>7.9000000000000008E-3</v>
      </c>
      <c r="R8" s="174">
        <v>7.9000000000000008E-3</v>
      </c>
      <c r="S8" s="174">
        <v>7.9000000000000008E-3</v>
      </c>
      <c r="T8" s="174">
        <v>7.9000000000000008E-3</v>
      </c>
      <c r="U8" s="174">
        <v>7.9000000000000008E-3</v>
      </c>
      <c r="V8" s="174">
        <v>7.9000000000000008E-3</v>
      </c>
      <c r="W8" s="174">
        <v>7.9000000000000008E-3</v>
      </c>
      <c r="X8" s="174">
        <v>7.9000000000000008E-3</v>
      </c>
      <c r="Y8" s="174">
        <v>7.9000000000000008E-3</v>
      </c>
      <c r="Z8" s="174">
        <v>7.9000000000000008E-3</v>
      </c>
      <c r="AA8" s="174">
        <v>7.9000000000000008E-3</v>
      </c>
      <c r="AB8" s="174">
        <v>7.9000000000000008E-3</v>
      </c>
      <c r="AC8" s="174">
        <v>7.9000000000000008E-3</v>
      </c>
      <c r="AD8" s="174">
        <v>7.9000000000000008E-3</v>
      </c>
      <c r="AI8">
        <f t="shared" ref="AI8:AX35" si="1">C8^2</f>
        <v>6.2410000000000007E-5</v>
      </c>
      <c r="AJ8">
        <f t="shared" si="0"/>
        <v>6.2410000000000007E-5</v>
      </c>
      <c r="AK8">
        <f t="shared" si="0"/>
        <v>6.2410000000000007E-5</v>
      </c>
      <c r="AL8">
        <f t="shared" si="0"/>
        <v>6.2410000000000007E-5</v>
      </c>
      <c r="AM8">
        <f t="shared" si="0"/>
        <v>6.2410000000000007E-5</v>
      </c>
      <c r="AN8">
        <f t="shared" si="0"/>
        <v>6.2410000000000007E-5</v>
      </c>
      <c r="AO8">
        <f t="shared" si="0"/>
        <v>6.2410000000000007E-5</v>
      </c>
      <c r="AP8">
        <f t="shared" si="0"/>
        <v>6.2410000000000007E-5</v>
      </c>
      <c r="AQ8">
        <f t="shared" si="0"/>
        <v>6.2410000000000007E-5</v>
      </c>
      <c r="AR8">
        <f t="shared" si="0"/>
        <v>6.2410000000000007E-5</v>
      </c>
      <c r="AS8">
        <f t="shared" si="0"/>
        <v>6.2410000000000007E-5</v>
      </c>
      <c r="AT8">
        <f t="shared" si="0"/>
        <v>6.2410000000000007E-5</v>
      </c>
      <c r="AU8">
        <f t="shared" si="0"/>
        <v>6.2410000000000007E-5</v>
      </c>
      <c r="AV8">
        <f t="shared" si="0"/>
        <v>6.2410000000000007E-5</v>
      </c>
      <c r="AW8">
        <f t="shared" si="0"/>
        <v>6.2410000000000007E-5</v>
      </c>
      <c r="AX8">
        <f t="shared" si="0"/>
        <v>6.2410000000000007E-5</v>
      </c>
      <c r="AY8">
        <f t="shared" si="0"/>
        <v>6.2410000000000007E-5</v>
      </c>
      <c r="AZ8">
        <f t="shared" si="0"/>
        <v>6.2410000000000007E-5</v>
      </c>
      <c r="BA8">
        <f t="shared" si="0"/>
        <v>6.2410000000000007E-5</v>
      </c>
      <c r="BB8">
        <f t="shared" si="0"/>
        <v>6.2410000000000007E-5</v>
      </c>
      <c r="BC8">
        <f t="shared" si="0"/>
        <v>6.2410000000000007E-5</v>
      </c>
      <c r="BD8">
        <f t="shared" si="0"/>
        <v>6.2410000000000007E-5</v>
      </c>
      <c r="BE8">
        <f t="shared" si="0"/>
        <v>6.2410000000000007E-5</v>
      </c>
      <c r="BF8">
        <f t="shared" si="0"/>
        <v>6.2410000000000007E-5</v>
      </c>
      <c r="BG8">
        <f t="shared" si="0"/>
        <v>6.2410000000000007E-5</v>
      </c>
      <c r="BH8">
        <f t="shared" si="0"/>
        <v>6.2410000000000007E-5</v>
      </c>
      <c r="BI8">
        <f t="shared" si="0"/>
        <v>6.2410000000000007E-5</v>
      </c>
      <c r="BJ8">
        <f t="shared" si="0"/>
        <v>6.2410000000000007E-5</v>
      </c>
    </row>
    <row r="9" spans="1:62">
      <c r="B9" t="s">
        <v>977</v>
      </c>
      <c r="C9" s="174">
        <v>2.5999999999999999E-3</v>
      </c>
      <c r="D9" s="174">
        <v>2.5999999999999999E-3</v>
      </c>
      <c r="E9" s="174">
        <v>2.5999999999999999E-3</v>
      </c>
      <c r="F9" s="174">
        <v>2.5999999999999999E-3</v>
      </c>
      <c r="G9" s="174">
        <v>2.5999999999999999E-3</v>
      </c>
      <c r="H9" s="174">
        <v>2.5999999999999999E-3</v>
      </c>
      <c r="I9" s="174">
        <v>2.5999999999999999E-3</v>
      </c>
      <c r="J9" s="174">
        <v>2.5999999999999999E-3</v>
      </c>
      <c r="K9" s="174">
        <v>2.5999999999999999E-3</v>
      </c>
      <c r="L9" s="174">
        <v>2.5999999999999999E-3</v>
      </c>
      <c r="M9" s="174">
        <v>2.5999999999999999E-3</v>
      </c>
      <c r="N9" s="174">
        <v>2.5999999999999999E-3</v>
      </c>
      <c r="O9" s="174">
        <v>2.5999999999999999E-3</v>
      </c>
      <c r="P9" s="174">
        <v>2.5999999999999999E-3</v>
      </c>
      <c r="Q9" s="174">
        <v>2.5999999999999999E-3</v>
      </c>
      <c r="R9" s="174">
        <v>2.5999999999999999E-3</v>
      </c>
      <c r="S9" s="174">
        <v>2.5999999999999999E-3</v>
      </c>
      <c r="T9" s="174">
        <v>2.5999999999999999E-3</v>
      </c>
      <c r="U9" s="174">
        <v>2.5999999999999999E-3</v>
      </c>
      <c r="V9" s="174">
        <v>2.5999999999999999E-3</v>
      </c>
      <c r="W9" s="174">
        <v>2.5999999999999999E-3</v>
      </c>
      <c r="X9" s="174">
        <v>2.5999999999999999E-3</v>
      </c>
      <c r="Y9" s="174">
        <v>2.5999999999999999E-3</v>
      </c>
      <c r="Z9" s="174">
        <v>2.5999999999999999E-3</v>
      </c>
      <c r="AA9" s="174">
        <v>2.5999999999999999E-3</v>
      </c>
      <c r="AB9" s="174">
        <v>2.5999999999999999E-3</v>
      </c>
      <c r="AC9" s="174">
        <v>2.5999999999999999E-3</v>
      </c>
      <c r="AD9" s="174">
        <v>2.5999999999999999E-3</v>
      </c>
      <c r="AI9">
        <f t="shared" si="1"/>
        <v>6.7599999999999997E-6</v>
      </c>
      <c r="AJ9">
        <f t="shared" si="0"/>
        <v>6.7599999999999997E-6</v>
      </c>
      <c r="AK9">
        <f t="shared" si="0"/>
        <v>6.7599999999999997E-6</v>
      </c>
      <c r="AL9">
        <f t="shared" si="0"/>
        <v>6.7599999999999997E-6</v>
      </c>
      <c r="AM9">
        <f t="shared" si="0"/>
        <v>6.7599999999999997E-6</v>
      </c>
      <c r="AN9">
        <f t="shared" si="0"/>
        <v>6.7599999999999997E-6</v>
      </c>
      <c r="AO9">
        <f t="shared" si="0"/>
        <v>6.7599999999999997E-6</v>
      </c>
      <c r="AP9">
        <f t="shared" si="0"/>
        <v>6.7599999999999997E-6</v>
      </c>
      <c r="AQ9">
        <f t="shared" si="0"/>
        <v>6.7599999999999997E-6</v>
      </c>
      <c r="AR9">
        <f t="shared" si="0"/>
        <v>6.7599999999999997E-6</v>
      </c>
      <c r="AS9">
        <f t="shared" si="0"/>
        <v>6.7599999999999997E-6</v>
      </c>
      <c r="AT9">
        <f t="shared" si="0"/>
        <v>6.7599999999999997E-6</v>
      </c>
      <c r="AU9">
        <f t="shared" si="0"/>
        <v>6.7599999999999997E-6</v>
      </c>
      <c r="AV9">
        <f t="shared" si="0"/>
        <v>6.7599999999999997E-6</v>
      </c>
      <c r="AW9">
        <f t="shared" si="0"/>
        <v>6.7599999999999997E-6</v>
      </c>
      <c r="AX9">
        <f t="shared" si="0"/>
        <v>6.7599999999999997E-6</v>
      </c>
      <c r="AY9">
        <f t="shared" si="0"/>
        <v>6.7599999999999997E-6</v>
      </c>
      <c r="AZ9">
        <f t="shared" si="0"/>
        <v>6.7599999999999997E-6</v>
      </c>
      <c r="BA9">
        <f t="shared" si="0"/>
        <v>6.7599999999999997E-6</v>
      </c>
      <c r="BB9">
        <f t="shared" si="0"/>
        <v>6.7599999999999997E-6</v>
      </c>
      <c r="BC9">
        <f t="shared" si="0"/>
        <v>6.7599999999999997E-6</v>
      </c>
      <c r="BD9">
        <f t="shared" si="0"/>
        <v>6.7599999999999997E-6</v>
      </c>
      <c r="BE9">
        <f t="shared" si="0"/>
        <v>6.7599999999999997E-6</v>
      </c>
      <c r="BF9">
        <f t="shared" si="0"/>
        <v>6.7599999999999997E-6</v>
      </c>
      <c r="BG9">
        <f t="shared" si="0"/>
        <v>6.7599999999999997E-6</v>
      </c>
      <c r="BH9">
        <f t="shared" si="0"/>
        <v>6.7599999999999997E-6</v>
      </c>
      <c r="BI9">
        <f t="shared" si="0"/>
        <v>6.7599999999999997E-6</v>
      </c>
      <c r="BJ9">
        <f t="shared" si="0"/>
        <v>6.7599999999999997E-6</v>
      </c>
    </row>
    <row r="10" spans="1:62">
      <c r="C10" s="174"/>
      <c r="D10" s="174"/>
      <c r="E10" s="174"/>
      <c r="F10" s="174"/>
      <c r="G10" s="174"/>
      <c r="H10" s="174"/>
      <c r="I10" s="174"/>
      <c r="J10" s="174"/>
      <c r="K10" s="174"/>
      <c r="L10" s="174"/>
      <c r="M10" s="174"/>
      <c r="N10" s="174"/>
      <c r="O10" s="174"/>
      <c r="P10" s="174"/>
      <c r="Q10" s="174"/>
      <c r="R10" s="174"/>
      <c r="S10" s="174"/>
      <c r="T10" s="174"/>
      <c r="U10" s="174"/>
      <c r="V10" s="174"/>
      <c r="W10" s="174"/>
      <c r="X10" s="174"/>
      <c r="Y10" s="174"/>
      <c r="Z10" s="174"/>
      <c r="AA10" s="174"/>
      <c r="AB10" s="174"/>
      <c r="AC10" s="174"/>
      <c r="AD10" s="174"/>
      <c r="AI10">
        <f t="shared" si="1"/>
        <v>0</v>
      </c>
      <c r="AJ10">
        <f t="shared" si="0"/>
        <v>0</v>
      </c>
      <c r="AK10">
        <f t="shared" si="0"/>
        <v>0</v>
      </c>
      <c r="AL10">
        <f t="shared" si="0"/>
        <v>0</v>
      </c>
      <c r="AM10">
        <f t="shared" si="0"/>
        <v>0</v>
      </c>
      <c r="AN10">
        <f t="shared" si="0"/>
        <v>0</v>
      </c>
      <c r="AO10">
        <f t="shared" si="0"/>
        <v>0</v>
      </c>
      <c r="AP10">
        <f t="shared" si="0"/>
        <v>0</v>
      </c>
      <c r="AQ10">
        <f t="shared" si="0"/>
        <v>0</v>
      </c>
      <c r="AR10">
        <f t="shared" si="0"/>
        <v>0</v>
      </c>
      <c r="AS10">
        <f t="shared" si="0"/>
        <v>0</v>
      </c>
      <c r="AT10">
        <f t="shared" si="0"/>
        <v>0</v>
      </c>
      <c r="AU10">
        <f t="shared" si="0"/>
        <v>0</v>
      </c>
      <c r="AV10">
        <f t="shared" si="0"/>
        <v>0</v>
      </c>
      <c r="AW10">
        <f t="shared" si="0"/>
        <v>0</v>
      </c>
      <c r="AX10">
        <f t="shared" si="0"/>
        <v>0</v>
      </c>
      <c r="AY10">
        <f t="shared" si="0"/>
        <v>0</v>
      </c>
      <c r="AZ10">
        <f t="shared" si="0"/>
        <v>0</v>
      </c>
      <c r="BA10">
        <f t="shared" si="0"/>
        <v>0</v>
      </c>
      <c r="BB10">
        <f t="shared" si="0"/>
        <v>0</v>
      </c>
      <c r="BC10">
        <f t="shared" si="0"/>
        <v>0</v>
      </c>
      <c r="BD10">
        <f t="shared" si="0"/>
        <v>0</v>
      </c>
      <c r="BE10">
        <f t="shared" si="0"/>
        <v>0</v>
      </c>
      <c r="BF10">
        <f t="shared" si="0"/>
        <v>0</v>
      </c>
      <c r="BG10">
        <f t="shared" si="0"/>
        <v>0</v>
      </c>
      <c r="BH10">
        <f t="shared" si="0"/>
        <v>0</v>
      </c>
      <c r="BI10">
        <f t="shared" si="0"/>
        <v>0</v>
      </c>
      <c r="BJ10">
        <f t="shared" si="0"/>
        <v>0</v>
      </c>
    </row>
    <row r="11" spans="1:62">
      <c r="A11" t="s">
        <v>978</v>
      </c>
      <c r="B11" s="175" t="s">
        <v>979</v>
      </c>
      <c r="C11" s="174">
        <v>1E-3</v>
      </c>
      <c r="D11" s="174">
        <v>1E-3</v>
      </c>
      <c r="E11" s="174">
        <v>1E-3</v>
      </c>
      <c r="F11" s="174">
        <v>1E-3</v>
      </c>
      <c r="G11" s="174">
        <v>1E-3</v>
      </c>
      <c r="H11" s="174">
        <v>1E-3</v>
      </c>
      <c r="I11" s="174">
        <v>1E-3</v>
      </c>
      <c r="J11" s="174">
        <v>1E-3</v>
      </c>
      <c r="K11" s="174">
        <v>1E-3</v>
      </c>
      <c r="L11" s="174">
        <v>1E-3</v>
      </c>
      <c r="M11" s="174">
        <v>1E-3</v>
      </c>
      <c r="N11" s="174">
        <v>1E-3</v>
      </c>
      <c r="O11" s="174">
        <v>1E-3</v>
      </c>
      <c r="P11" s="174">
        <v>1E-3</v>
      </c>
      <c r="Q11" s="174">
        <v>1E-3</v>
      </c>
      <c r="R11" s="174">
        <v>1E-3</v>
      </c>
      <c r="S11" s="174">
        <v>1E-3</v>
      </c>
      <c r="T11" s="174">
        <v>1E-3</v>
      </c>
      <c r="U11" s="174">
        <v>1E-3</v>
      </c>
      <c r="V11" s="174">
        <v>1E-3</v>
      </c>
      <c r="W11" s="174">
        <v>1E-3</v>
      </c>
      <c r="X11" s="174">
        <v>1E-3</v>
      </c>
      <c r="Y11" s="174">
        <v>1E-3</v>
      </c>
      <c r="Z11" s="174">
        <v>1E-3</v>
      </c>
      <c r="AA11" s="174">
        <v>1E-3</v>
      </c>
      <c r="AB11" s="174">
        <v>1E-3</v>
      </c>
      <c r="AC11" s="174">
        <v>1E-3</v>
      </c>
      <c r="AD11" s="174">
        <v>1E-3</v>
      </c>
      <c r="AI11">
        <f t="shared" si="1"/>
        <v>9.9999999999999995E-7</v>
      </c>
      <c r="AJ11">
        <f t="shared" si="0"/>
        <v>9.9999999999999995E-7</v>
      </c>
      <c r="AK11">
        <f t="shared" si="0"/>
        <v>9.9999999999999995E-7</v>
      </c>
      <c r="AL11">
        <f t="shared" si="0"/>
        <v>9.9999999999999995E-7</v>
      </c>
      <c r="AM11">
        <f t="shared" si="0"/>
        <v>9.9999999999999995E-7</v>
      </c>
      <c r="AN11">
        <f t="shared" si="0"/>
        <v>9.9999999999999995E-7</v>
      </c>
      <c r="AO11">
        <f t="shared" si="0"/>
        <v>9.9999999999999995E-7</v>
      </c>
      <c r="AP11">
        <f t="shared" si="0"/>
        <v>9.9999999999999995E-7</v>
      </c>
      <c r="AQ11">
        <f t="shared" si="0"/>
        <v>9.9999999999999995E-7</v>
      </c>
      <c r="AR11">
        <f t="shared" si="0"/>
        <v>9.9999999999999995E-7</v>
      </c>
      <c r="AS11">
        <f t="shared" si="0"/>
        <v>9.9999999999999995E-7</v>
      </c>
      <c r="AT11">
        <f t="shared" si="0"/>
        <v>9.9999999999999995E-7</v>
      </c>
      <c r="AU11">
        <f t="shared" si="0"/>
        <v>9.9999999999999995E-7</v>
      </c>
      <c r="AV11">
        <f t="shared" si="0"/>
        <v>9.9999999999999995E-7</v>
      </c>
      <c r="AW11">
        <f t="shared" si="0"/>
        <v>9.9999999999999995E-7</v>
      </c>
      <c r="AX11">
        <f t="shared" si="0"/>
        <v>9.9999999999999995E-7</v>
      </c>
      <c r="AY11">
        <f t="shared" si="0"/>
        <v>9.9999999999999995E-7</v>
      </c>
      <c r="AZ11">
        <f t="shared" si="0"/>
        <v>9.9999999999999995E-7</v>
      </c>
      <c r="BA11">
        <f t="shared" si="0"/>
        <v>9.9999999999999995E-7</v>
      </c>
      <c r="BB11">
        <f t="shared" si="0"/>
        <v>9.9999999999999995E-7</v>
      </c>
      <c r="BC11">
        <f t="shared" si="0"/>
        <v>9.9999999999999995E-7</v>
      </c>
      <c r="BD11">
        <f t="shared" si="0"/>
        <v>9.9999999999999995E-7</v>
      </c>
      <c r="BE11">
        <f t="shared" si="0"/>
        <v>9.9999999999999995E-7</v>
      </c>
      <c r="BF11">
        <f t="shared" si="0"/>
        <v>9.9999999999999995E-7</v>
      </c>
      <c r="BG11">
        <f t="shared" si="0"/>
        <v>9.9999999999999995E-7</v>
      </c>
      <c r="BH11">
        <f t="shared" si="0"/>
        <v>9.9999999999999995E-7</v>
      </c>
      <c r="BI11">
        <f t="shared" si="0"/>
        <v>9.9999999999999995E-7</v>
      </c>
      <c r="BJ11">
        <f t="shared" si="0"/>
        <v>9.9999999999999995E-7</v>
      </c>
    </row>
    <row r="12" spans="1:62">
      <c r="B12" s="175" t="s">
        <v>980</v>
      </c>
      <c r="C12" s="174">
        <v>1.1999999999999999E-3</v>
      </c>
      <c r="D12" s="174">
        <v>1.1999999999999999E-3</v>
      </c>
      <c r="E12" s="174">
        <v>1.1999999999999999E-3</v>
      </c>
      <c r="F12" s="174">
        <v>1.1999999999999999E-3</v>
      </c>
      <c r="G12" s="174">
        <v>1.1999999999999999E-3</v>
      </c>
      <c r="H12" s="174">
        <v>1.1999999999999999E-3</v>
      </c>
      <c r="I12" s="174">
        <v>1.1999999999999999E-3</v>
      </c>
      <c r="J12" s="174">
        <v>1.1999999999999999E-3</v>
      </c>
      <c r="K12" s="174">
        <v>1.1999999999999999E-3</v>
      </c>
      <c r="L12" s="174">
        <v>1.1999999999999999E-3</v>
      </c>
      <c r="M12" s="174">
        <v>1.1999999999999999E-3</v>
      </c>
      <c r="N12" s="174">
        <v>1.1999999999999999E-3</v>
      </c>
      <c r="O12" s="174">
        <v>1.1999999999999999E-3</v>
      </c>
      <c r="P12" s="174">
        <v>1.1999999999999999E-3</v>
      </c>
      <c r="Q12" s="174">
        <v>1.1999999999999999E-3</v>
      </c>
      <c r="R12" s="174">
        <v>1.1999999999999999E-3</v>
      </c>
      <c r="S12" s="174">
        <v>1.1999999999999999E-3</v>
      </c>
      <c r="T12" s="174">
        <v>1.1999999999999999E-3</v>
      </c>
      <c r="U12" s="174">
        <v>1.1999999999999999E-3</v>
      </c>
      <c r="V12" s="174">
        <v>1.1999999999999999E-3</v>
      </c>
      <c r="W12" s="174">
        <v>1.1999999999999999E-3</v>
      </c>
      <c r="X12" s="174">
        <v>1.1999999999999999E-3</v>
      </c>
      <c r="Y12" s="174">
        <v>1.1999999999999999E-3</v>
      </c>
      <c r="Z12" s="174">
        <v>1.1999999999999999E-3</v>
      </c>
      <c r="AA12" s="174">
        <v>1.1999999999999999E-3</v>
      </c>
      <c r="AB12" s="174">
        <v>1.1999999999999999E-3</v>
      </c>
      <c r="AC12" s="174">
        <v>1.1999999999999999E-3</v>
      </c>
      <c r="AD12" s="174">
        <v>1.1999999999999999E-3</v>
      </c>
      <c r="AI12">
        <f t="shared" si="1"/>
        <v>1.4399999999999998E-6</v>
      </c>
      <c r="AJ12">
        <f t="shared" si="0"/>
        <v>1.4399999999999998E-6</v>
      </c>
      <c r="AK12">
        <f t="shared" si="0"/>
        <v>1.4399999999999998E-6</v>
      </c>
      <c r="AL12">
        <f t="shared" si="0"/>
        <v>1.4399999999999998E-6</v>
      </c>
      <c r="AM12">
        <f t="shared" si="0"/>
        <v>1.4399999999999998E-6</v>
      </c>
      <c r="AN12">
        <f t="shared" si="0"/>
        <v>1.4399999999999998E-6</v>
      </c>
      <c r="AO12">
        <f t="shared" si="0"/>
        <v>1.4399999999999998E-6</v>
      </c>
      <c r="AP12">
        <f t="shared" si="0"/>
        <v>1.4399999999999998E-6</v>
      </c>
      <c r="AQ12">
        <f t="shared" si="0"/>
        <v>1.4399999999999998E-6</v>
      </c>
      <c r="AR12">
        <f t="shared" si="0"/>
        <v>1.4399999999999998E-6</v>
      </c>
      <c r="AS12">
        <f t="shared" si="0"/>
        <v>1.4399999999999998E-6</v>
      </c>
      <c r="AT12">
        <f t="shared" si="0"/>
        <v>1.4399999999999998E-6</v>
      </c>
      <c r="AU12">
        <f t="shared" si="0"/>
        <v>1.4399999999999998E-6</v>
      </c>
      <c r="AV12">
        <f t="shared" si="0"/>
        <v>1.4399999999999998E-6</v>
      </c>
      <c r="AW12">
        <f t="shared" si="0"/>
        <v>1.4399999999999998E-6</v>
      </c>
      <c r="AX12">
        <f t="shared" si="0"/>
        <v>1.4399999999999998E-6</v>
      </c>
      <c r="AY12">
        <f t="shared" si="0"/>
        <v>1.4399999999999998E-6</v>
      </c>
      <c r="AZ12">
        <f t="shared" si="0"/>
        <v>1.4399999999999998E-6</v>
      </c>
      <c r="BA12">
        <f t="shared" si="0"/>
        <v>1.4399999999999998E-6</v>
      </c>
      <c r="BB12">
        <f t="shared" si="0"/>
        <v>1.4399999999999998E-6</v>
      </c>
      <c r="BC12">
        <f t="shared" si="0"/>
        <v>1.4399999999999998E-6</v>
      </c>
      <c r="BD12">
        <f t="shared" si="0"/>
        <v>1.4399999999999998E-6</v>
      </c>
      <c r="BE12">
        <f t="shared" si="0"/>
        <v>1.4399999999999998E-6</v>
      </c>
      <c r="BF12">
        <f t="shared" si="0"/>
        <v>1.4399999999999998E-6</v>
      </c>
      <c r="BG12">
        <f t="shared" si="0"/>
        <v>1.4399999999999998E-6</v>
      </c>
      <c r="BH12">
        <f t="shared" si="0"/>
        <v>1.4399999999999998E-6</v>
      </c>
      <c r="BI12">
        <f t="shared" si="0"/>
        <v>1.4399999999999998E-6</v>
      </c>
      <c r="BJ12">
        <f t="shared" si="0"/>
        <v>1.4399999999999998E-6</v>
      </c>
    </row>
    <row r="13" spans="1:62">
      <c r="B13" t="s">
        <v>981</v>
      </c>
      <c r="C13" s="174">
        <v>1.1999999999999999E-3</v>
      </c>
      <c r="D13" s="174">
        <v>1.1999999999999999E-3</v>
      </c>
      <c r="E13" s="174">
        <v>1.1999999999999999E-3</v>
      </c>
      <c r="F13" s="174">
        <v>1.1999999999999999E-3</v>
      </c>
      <c r="G13" s="174">
        <v>1.1999999999999999E-3</v>
      </c>
      <c r="H13" s="174">
        <v>1.1999999999999999E-3</v>
      </c>
      <c r="I13" s="174">
        <v>1.1999999999999999E-3</v>
      </c>
      <c r="J13" s="174">
        <v>1.1999999999999999E-3</v>
      </c>
      <c r="K13" s="174">
        <v>1.1999999999999999E-3</v>
      </c>
      <c r="L13" s="174">
        <v>1.1999999999999999E-3</v>
      </c>
      <c r="M13" s="174">
        <v>1.1999999999999999E-3</v>
      </c>
      <c r="N13" s="174">
        <v>1.1999999999999999E-3</v>
      </c>
      <c r="O13" s="174">
        <v>1.1999999999999999E-3</v>
      </c>
      <c r="P13" s="174">
        <v>1.1999999999999999E-3</v>
      </c>
      <c r="Q13" s="174">
        <v>1.1999999999999999E-3</v>
      </c>
      <c r="R13" s="174">
        <v>1.1999999999999999E-3</v>
      </c>
      <c r="S13" s="174">
        <v>1.1999999999999999E-3</v>
      </c>
      <c r="T13" s="174">
        <v>1.1999999999999999E-3</v>
      </c>
      <c r="U13" s="174">
        <v>1.1999999999999999E-3</v>
      </c>
      <c r="V13" s="174">
        <v>1.1999999999999999E-3</v>
      </c>
      <c r="W13" s="174">
        <v>1.1999999999999999E-3</v>
      </c>
      <c r="X13" s="174">
        <v>1.1999999999999999E-3</v>
      </c>
      <c r="Y13" s="174">
        <v>1.1999999999999999E-3</v>
      </c>
      <c r="Z13" s="174">
        <v>1.1999999999999999E-3</v>
      </c>
      <c r="AA13" s="174">
        <v>1.1999999999999999E-3</v>
      </c>
      <c r="AB13" s="174">
        <v>1.1999999999999999E-3</v>
      </c>
      <c r="AC13" s="174">
        <v>1.1999999999999999E-3</v>
      </c>
      <c r="AD13" s="174">
        <v>1.1999999999999999E-3</v>
      </c>
      <c r="AI13">
        <f t="shared" si="1"/>
        <v>1.4399999999999998E-6</v>
      </c>
      <c r="AJ13">
        <f t="shared" si="0"/>
        <v>1.4399999999999998E-6</v>
      </c>
      <c r="AK13">
        <f t="shared" si="0"/>
        <v>1.4399999999999998E-6</v>
      </c>
      <c r="AL13">
        <f t="shared" si="0"/>
        <v>1.4399999999999998E-6</v>
      </c>
      <c r="AM13">
        <f t="shared" si="0"/>
        <v>1.4399999999999998E-6</v>
      </c>
      <c r="AN13">
        <f t="shared" si="0"/>
        <v>1.4399999999999998E-6</v>
      </c>
      <c r="AO13">
        <f t="shared" si="0"/>
        <v>1.4399999999999998E-6</v>
      </c>
      <c r="AP13">
        <f t="shared" si="0"/>
        <v>1.4399999999999998E-6</v>
      </c>
      <c r="AQ13">
        <f t="shared" si="0"/>
        <v>1.4399999999999998E-6</v>
      </c>
      <c r="AR13">
        <f t="shared" si="0"/>
        <v>1.4399999999999998E-6</v>
      </c>
      <c r="AS13">
        <f t="shared" si="0"/>
        <v>1.4399999999999998E-6</v>
      </c>
      <c r="AT13">
        <f t="shared" si="0"/>
        <v>1.4399999999999998E-6</v>
      </c>
      <c r="AU13">
        <f t="shared" si="0"/>
        <v>1.4399999999999998E-6</v>
      </c>
      <c r="AV13">
        <f t="shared" si="0"/>
        <v>1.4399999999999998E-6</v>
      </c>
      <c r="AW13">
        <f t="shared" si="0"/>
        <v>1.4399999999999998E-6</v>
      </c>
      <c r="AX13">
        <f t="shared" si="0"/>
        <v>1.4399999999999998E-6</v>
      </c>
      <c r="AY13">
        <f t="shared" si="0"/>
        <v>1.4399999999999998E-6</v>
      </c>
      <c r="AZ13">
        <f t="shared" si="0"/>
        <v>1.4399999999999998E-6</v>
      </c>
      <c r="BA13">
        <f t="shared" si="0"/>
        <v>1.4399999999999998E-6</v>
      </c>
      <c r="BB13">
        <f t="shared" si="0"/>
        <v>1.4399999999999998E-6</v>
      </c>
      <c r="BC13">
        <f t="shared" si="0"/>
        <v>1.4399999999999998E-6</v>
      </c>
      <c r="BD13">
        <f t="shared" si="0"/>
        <v>1.4399999999999998E-6</v>
      </c>
      <c r="BE13">
        <f t="shared" si="0"/>
        <v>1.4399999999999998E-6</v>
      </c>
      <c r="BF13">
        <f t="shared" si="0"/>
        <v>1.4399999999999998E-6</v>
      </c>
      <c r="BG13">
        <f t="shared" si="0"/>
        <v>1.4399999999999998E-6</v>
      </c>
      <c r="BH13">
        <f t="shared" si="0"/>
        <v>1.4399999999999998E-6</v>
      </c>
      <c r="BI13">
        <f t="shared" si="0"/>
        <v>1.4399999999999998E-6</v>
      </c>
      <c r="BJ13">
        <f t="shared" si="0"/>
        <v>1.4399999999999998E-6</v>
      </c>
    </row>
    <row r="14" spans="1:62">
      <c r="B14" t="s">
        <v>982</v>
      </c>
      <c r="C14" s="174">
        <v>1.1999999999999999E-3</v>
      </c>
      <c r="D14" s="174">
        <v>1.1999999999999999E-3</v>
      </c>
      <c r="E14" s="174">
        <v>1.1999999999999999E-3</v>
      </c>
      <c r="F14" s="174">
        <v>1.1999999999999999E-3</v>
      </c>
      <c r="G14" s="174">
        <v>1.1999999999999999E-3</v>
      </c>
      <c r="H14" s="174">
        <v>1.1999999999999999E-3</v>
      </c>
      <c r="I14" s="174">
        <v>1.1999999999999999E-3</v>
      </c>
      <c r="J14" s="174">
        <v>1.1999999999999999E-3</v>
      </c>
      <c r="K14" s="174">
        <v>1.1999999999999999E-3</v>
      </c>
      <c r="L14" s="174">
        <v>1.1999999999999999E-3</v>
      </c>
      <c r="M14" s="174">
        <v>1.1999999999999999E-3</v>
      </c>
      <c r="N14" s="174">
        <v>1.1999999999999999E-3</v>
      </c>
      <c r="O14" s="174">
        <v>1.1999999999999999E-3</v>
      </c>
      <c r="P14" s="174">
        <v>1.1999999999999999E-3</v>
      </c>
      <c r="Q14" s="174">
        <v>1.1999999999999999E-3</v>
      </c>
      <c r="R14" s="174">
        <v>1.1999999999999999E-3</v>
      </c>
      <c r="S14" s="174">
        <v>1.1999999999999999E-3</v>
      </c>
      <c r="T14" s="174">
        <v>1.1999999999999999E-3</v>
      </c>
      <c r="U14" s="174">
        <v>1.1999999999999999E-3</v>
      </c>
      <c r="V14" s="174">
        <v>1.1999999999999999E-3</v>
      </c>
      <c r="W14" s="174">
        <v>1.1999999999999999E-3</v>
      </c>
      <c r="X14" s="174">
        <v>1.1999999999999999E-3</v>
      </c>
      <c r="Y14" s="174">
        <v>1.1999999999999999E-3</v>
      </c>
      <c r="Z14" s="174">
        <v>1.1999999999999999E-3</v>
      </c>
      <c r="AA14" s="174">
        <v>1.1999999999999999E-3</v>
      </c>
      <c r="AB14" s="174">
        <v>1.1999999999999999E-3</v>
      </c>
      <c r="AC14" s="174">
        <v>1.1999999999999999E-3</v>
      </c>
      <c r="AD14" s="174">
        <v>1.1999999999999999E-3</v>
      </c>
      <c r="AI14">
        <f t="shared" si="1"/>
        <v>1.4399999999999998E-6</v>
      </c>
      <c r="AJ14">
        <f t="shared" si="0"/>
        <v>1.4399999999999998E-6</v>
      </c>
      <c r="AK14">
        <f t="shared" si="0"/>
        <v>1.4399999999999998E-6</v>
      </c>
      <c r="AL14">
        <f t="shared" si="0"/>
        <v>1.4399999999999998E-6</v>
      </c>
      <c r="AM14">
        <f t="shared" si="0"/>
        <v>1.4399999999999998E-6</v>
      </c>
      <c r="AN14">
        <f t="shared" si="0"/>
        <v>1.4399999999999998E-6</v>
      </c>
      <c r="AO14">
        <f t="shared" si="0"/>
        <v>1.4399999999999998E-6</v>
      </c>
      <c r="AP14">
        <f t="shared" si="0"/>
        <v>1.4399999999999998E-6</v>
      </c>
      <c r="AQ14">
        <f t="shared" si="0"/>
        <v>1.4399999999999998E-6</v>
      </c>
      <c r="AR14">
        <f t="shared" si="0"/>
        <v>1.4399999999999998E-6</v>
      </c>
      <c r="AS14">
        <f t="shared" si="0"/>
        <v>1.4399999999999998E-6</v>
      </c>
      <c r="AT14">
        <f t="shared" si="0"/>
        <v>1.4399999999999998E-6</v>
      </c>
      <c r="AU14">
        <f t="shared" si="0"/>
        <v>1.4399999999999998E-6</v>
      </c>
      <c r="AV14">
        <f t="shared" si="0"/>
        <v>1.4399999999999998E-6</v>
      </c>
      <c r="AW14">
        <f t="shared" si="0"/>
        <v>1.4399999999999998E-6</v>
      </c>
      <c r="AX14">
        <f t="shared" si="0"/>
        <v>1.4399999999999998E-6</v>
      </c>
      <c r="AY14">
        <f t="shared" si="0"/>
        <v>1.4399999999999998E-6</v>
      </c>
      <c r="AZ14">
        <f t="shared" si="0"/>
        <v>1.4399999999999998E-6</v>
      </c>
      <c r="BA14">
        <f t="shared" si="0"/>
        <v>1.4399999999999998E-6</v>
      </c>
      <c r="BB14">
        <f t="shared" si="0"/>
        <v>1.4399999999999998E-6</v>
      </c>
      <c r="BC14">
        <f t="shared" si="0"/>
        <v>1.4399999999999998E-6</v>
      </c>
      <c r="BD14">
        <f t="shared" si="0"/>
        <v>1.4399999999999998E-6</v>
      </c>
      <c r="BE14">
        <f t="shared" si="0"/>
        <v>1.4399999999999998E-6</v>
      </c>
      <c r="BF14">
        <f t="shared" si="0"/>
        <v>1.4399999999999998E-6</v>
      </c>
      <c r="BG14">
        <f t="shared" si="0"/>
        <v>1.4399999999999998E-6</v>
      </c>
      <c r="BH14">
        <f t="shared" si="0"/>
        <v>1.4399999999999998E-6</v>
      </c>
      <c r="BI14">
        <f t="shared" si="0"/>
        <v>1.4399999999999998E-6</v>
      </c>
      <c r="BJ14">
        <f t="shared" si="0"/>
        <v>1.4399999999999998E-6</v>
      </c>
    </row>
    <row r="15" spans="1:62">
      <c r="C15" s="174"/>
      <c r="D15" s="174"/>
      <c r="E15" s="174"/>
      <c r="F15" s="174"/>
      <c r="G15" s="174"/>
      <c r="H15" s="174"/>
      <c r="I15" s="174"/>
      <c r="J15" s="174"/>
      <c r="K15" s="174"/>
      <c r="L15" s="174"/>
      <c r="M15" s="174"/>
      <c r="N15" s="174"/>
      <c r="O15" s="174"/>
      <c r="P15" s="174"/>
      <c r="Q15" s="174"/>
      <c r="R15" s="174"/>
      <c r="S15" s="174"/>
      <c r="T15" s="174"/>
      <c r="U15" s="174"/>
      <c r="V15" s="174"/>
      <c r="W15" s="174"/>
      <c r="X15" s="174"/>
      <c r="Y15" s="174"/>
      <c r="Z15" s="174"/>
      <c r="AA15" s="174"/>
      <c r="AB15" s="174"/>
      <c r="AC15" s="174"/>
      <c r="AD15" s="174"/>
      <c r="AI15">
        <f t="shared" si="1"/>
        <v>0</v>
      </c>
      <c r="AJ15">
        <f t="shared" si="0"/>
        <v>0</v>
      </c>
      <c r="AK15">
        <f t="shared" si="0"/>
        <v>0</v>
      </c>
      <c r="AL15">
        <f t="shared" si="0"/>
        <v>0</v>
      </c>
      <c r="AM15">
        <f t="shared" si="0"/>
        <v>0</v>
      </c>
      <c r="AN15">
        <f t="shared" si="0"/>
        <v>0</v>
      </c>
      <c r="AO15">
        <f t="shared" si="0"/>
        <v>0</v>
      </c>
      <c r="AP15">
        <f t="shared" si="0"/>
        <v>0</v>
      </c>
      <c r="AQ15">
        <f t="shared" si="0"/>
        <v>0</v>
      </c>
      <c r="AR15">
        <f t="shared" si="0"/>
        <v>0</v>
      </c>
      <c r="AS15">
        <f t="shared" si="0"/>
        <v>0</v>
      </c>
      <c r="AT15">
        <f t="shared" si="0"/>
        <v>0</v>
      </c>
      <c r="AU15">
        <f t="shared" si="0"/>
        <v>0</v>
      </c>
      <c r="AV15">
        <f t="shared" si="0"/>
        <v>0</v>
      </c>
      <c r="AW15">
        <f t="shared" si="0"/>
        <v>0</v>
      </c>
      <c r="AX15">
        <f t="shared" si="0"/>
        <v>0</v>
      </c>
      <c r="AY15">
        <f t="shared" si="0"/>
        <v>0</v>
      </c>
      <c r="AZ15">
        <f t="shared" si="0"/>
        <v>0</v>
      </c>
      <c r="BA15">
        <f t="shared" si="0"/>
        <v>0</v>
      </c>
      <c r="BB15">
        <f t="shared" si="0"/>
        <v>0</v>
      </c>
      <c r="BC15">
        <f t="shared" si="0"/>
        <v>0</v>
      </c>
      <c r="BD15">
        <f t="shared" si="0"/>
        <v>0</v>
      </c>
      <c r="BE15">
        <f t="shared" si="0"/>
        <v>0</v>
      </c>
      <c r="BF15">
        <f t="shared" si="0"/>
        <v>0</v>
      </c>
      <c r="BG15">
        <f t="shared" si="0"/>
        <v>0</v>
      </c>
      <c r="BH15">
        <f t="shared" si="0"/>
        <v>0</v>
      </c>
      <c r="BI15">
        <f t="shared" si="0"/>
        <v>0</v>
      </c>
      <c r="BJ15">
        <f t="shared" si="0"/>
        <v>0</v>
      </c>
    </row>
    <row r="16" spans="1:62">
      <c r="A16" s="175" t="s">
        <v>983</v>
      </c>
      <c r="B16" s="175" t="s">
        <v>67</v>
      </c>
      <c r="C16" s="174">
        <v>2.9999999999999997E-4</v>
      </c>
      <c r="D16" s="174">
        <v>2.9999999999999997E-4</v>
      </c>
      <c r="E16" s="174">
        <v>2.9999999999999997E-4</v>
      </c>
      <c r="F16" s="174">
        <v>2.9999999999999997E-4</v>
      </c>
      <c r="G16" s="174">
        <v>2.9999999999999997E-4</v>
      </c>
      <c r="H16" s="174">
        <v>2.9999999999999997E-4</v>
      </c>
      <c r="I16" s="174">
        <v>2.9999999999999997E-4</v>
      </c>
      <c r="J16" s="174">
        <v>2.9999999999999997E-4</v>
      </c>
      <c r="K16" s="174">
        <v>2.9999999999999997E-4</v>
      </c>
      <c r="L16" s="174">
        <v>2.9999999999999997E-4</v>
      </c>
      <c r="M16" s="174">
        <v>2.9999999999999997E-4</v>
      </c>
      <c r="N16" s="174">
        <v>2.9999999999999997E-4</v>
      </c>
      <c r="O16" s="174">
        <v>2.9999999999999997E-4</v>
      </c>
      <c r="P16" s="174">
        <v>2.9999999999999997E-4</v>
      </c>
      <c r="Q16" s="174">
        <v>2.9999999999999997E-4</v>
      </c>
      <c r="R16" s="174">
        <v>2.9999999999999997E-4</v>
      </c>
      <c r="S16" s="174">
        <v>2.9999999999999997E-4</v>
      </c>
      <c r="T16" s="174">
        <v>2.9999999999999997E-4</v>
      </c>
      <c r="U16" s="174">
        <v>2.9999999999999997E-4</v>
      </c>
      <c r="V16" s="174">
        <v>2.9999999999999997E-4</v>
      </c>
      <c r="W16" s="174">
        <v>2.9999999999999997E-4</v>
      </c>
      <c r="X16" s="174">
        <v>2.9999999999999997E-4</v>
      </c>
      <c r="Y16" s="174">
        <v>2.9999999999999997E-4</v>
      </c>
      <c r="Z16" s="174">
        <v>2.9999999999999997E-4</v>
      </c>
      <c r="AA16" s="174">
        <v>2.9999999999999997E-4</v>
      </c>
      <c r="AB16" s="174">
        <v>2.9999999999999997E-4</v>
      </c>
      <c r="AC16" s="174">
        <v>5.0000000000000001E-4</v>
      </c>
      <c r="AD16" s="174">
        <v>5.9999999999999995E-4</v>
      </c>
      <c r="AI16">
        <f t="shared" si="1"/>
        <v>8.9999999999999985E-8</v>
      </c>
      <c r="AJ16">
        <f t="shared" si="0"/>
        <v>8.9999999999999985E-8</v>
      </c>
      <c r="AK16">
        <f t="shared" si="0"/>
        <v>8.9999999999999985E-8</v>
      </c>
      <c r="AL16">
        <f t="shared" si="0"/>
        <v>8.9999999999999985E-8</v>
      </c>
      <c r="AM16">
        <f t="shared" si="0"/>
        <v>8.9999999999999985E-8</v>
      </c>
      <c r="AN16">
        <f t="shared" si="0"/>
        <v>8.9999999999999985E-8</v>
      </c>
      <c r="AO16">
        <f t="shared" si="0"/>
        <v>8.9999999999999985E-8</v>
      </c>
      <c r="AP16">
        <f t="shared" si="0"/>
        <v>8.9999999999999985E-8</v>
      </c>
      <c r="AQ16">
        <f t="shared" si="0"/>
        <v>8.9999999999999985E-8</v>
      </c>
      <c r="AR16">
        <f t="shared" si="0"/>
        <v>8.9999999999999985E-8</v>
      </c>
      <c r="AS16">
        <f t="shared" si="0"/>
        <v>8.9999999999999985E-8</v>
      </c>
      <c r="AT16">
        <f t="shared" si="0"/>
        <v>8.9999999999999985E-8</v>
      </c>
      <c r="AU16">
        <f t="shared" si="0"/>
        <v>8.9999999999999985E-8</v>
      </c>
      <c r="AV16">
        <f t="shared" ref="AV16:BJ32" si="2">P16^2</f>
        <v>8.9999999999999985E-8</v>
      </c>
      <c r="AW16">
        <f t="shared" si="2"/>
        <v>8.9999999999999985E-8</v>
      </c>
      <c r="AX16">
        <f t="shared" si="2"/>
        <v>8.9999999999999985E-8</v>
      </c>
      <c r="AY16">
        <f t="shared" si="2"/>
        <v>8.9999999999999985E-8</v>
      </c>
      <c r="AZ16">
        <f t="shared" si="2"/>
        <v>8.9999999999999985E-8</v>
      </c>
      <c r="BA16">
        <f t="shared" si="2"/>
        <v>8.9999999999999985E-8</v>
      </c>
      <c r="BB16">
        <f t="shared" si="2"/>
        <v>8.9999999999999985E-8</v>
      </c>
      <c r="BC16">
        <f t="shared" si="2"/>
        <v>8.9999999999999985E-8</v>
      </c>
      <c r="BD16">
        <f t="shared" si="2"/>
        <v>8.9999999999999985E-8</v>
      </c>
      <c r="BE16">
        <f t="shared" si="2"/>
        <v>8.9999999999999985E-8</v>
      </c>
      <c r="BF16">
        <f t="shared" si="2"/>
        <v>8.9999999999999985E-8</v>
      </c>
      <c r="BG16">
        <f t="shared" si="2"/>
        <v>8.9999999999999985E-8</v>
      </c>
      <c r="BH16">
        <f t="shared" si="2"/>
        <v>8.9999999999999985E-8</v>
      </c>
      <c r="BI16">
        <f t="shared" si="2"/>
        <v>2.4999999999999999E-7</v>
      </c>
      <c r="BJ16">
        <f t="shared" si="2"/>
        <v>3.5999999999999994E-7</v>
      </c>
    </row>
    <row r="17" spans="1:62">
      <c r="B17" s="175" t="s">
        <v>984</v>
      </c>
      <c r="C17" s="174">
        <v>4.0000000000000002E-4</v>
      </c>
      <c r="D17" s="174">
        <v>4.0000000000000002E-4</v>
      </c>
      <c r="E17" s="174">
        <v>4.0000000000000002E-4</v>
      </c>
      <c r="F17" s="174">
        <v>4.0000000000000002E-4</v>
      </c>
      <c r="G17" s="174">
        <v>4.0000000000000002E-4</v>
      </c>
      <c r="H17" s="174">
        <v>4.0000000000000002E-4</v>
      </c>
      <c r="I17" s="174">
        <v>4.0000000000000002E-4</v>
      </c>
      <c r="J17" s="174">
        <v>4.0000000000000002E-4</v>
      </c>
      <c r="K17" s="174">
        <v>4.0000000000000002E-4</v>
      </c>
      <c r="L17" s="174">
        <v>4.0000000000000002E-4</v>
      </c>
      <c r="M17" s="174">
        <v>4.0000000000000002E-4</v>
      </c>
      <c r="N17" s="174">
        <v>4.0000000000000002E-4</v>
      </c>
      <c r="O17" s="174">
        <v>4.0000000000000002E-4</v>
      </c>
      <c r="P17" s="174">
        <v>4.0000000000000002E-4</v>
      </c>
      <c r="Q17" s="174">
        <v>4.0000000000000002E-4</v>
      </c>
      <c r="R17" s="174">
        <v>4.0000000000000002E-4</v>
      </c>
      <c r="S17" s="174">
        <v>4.0000000000000002E-4</v>
      </c>
      <c r="T17" s="174">
        <v>4.0000000000000002E-4</v>
      </c>
      <c r="U17" s="174">
        <v>4.0000000000000002E-4</v>
      </c>
      <c r="V17" s="174">
        <v>4.0000000000000002E-4</v>
      </c>
      <c r="W17" s="174">
        <v>4.0000000000000002E-4</v>
      </c>
      <c r="X17" s="174">
        <v>4.0000000000000002E-4</v>
      </c>
      <c r="Y17" s="174">
        <v>4.0000000000000002E-4</v>
      </c>
      <c r="Z17" s="174">
        <v>4.0000000000000002E-4</v>
      </c>
      <c r="AA17" s="174">
        <v>4.0000000000000002E-4</v>
      </c>
      <c r="AB17" s="174">
        <v>4.0000000000000002E-4</v>
      </c>
      <c r="AC17" s="174">
        <v>4.0000000000000002E-4</v>
      </c>
      <c r="AD17" s="174">
        <v>4.0000000000000002E-4</v>
      </c>
      <c r="AI17">
        <f t="shared" si="1"/>
        <v>1.6E-7</v>
      </c>
      <c r="AJ17">
        <f t="shared" si="1"/>
        <v>1.6E-7</v>
      </c>
      <c r="AK17">
        <f t="shared" si="1"/>
        <v>1.6E-7</v>
      </c>
      <c r="AL17">
        <f t="shared" si="1"/>
        <v>1.6E-7</v>
      </c>
      <c r="AM17">
        <f t="shared" si="1"/>
        <v>1.6E-7</v>
      </c>
      <c r="AN17">
        <f t="shared" si="1"/>
        <v>1.6E-7</v>
      </c>
      <c r="AO17">
        <f t="shared" si="1"/>
        <v>1.6E-7</v>
      </c>
      <c r="AP17">
        <f t="shared" si="1"/>
        <v>1.6E-7</v>
      </c>
      <c r="AQ17">
        <f t="shared" si="1"/>
        <v>1.6E-7</v>
      </c>
      <c r="AR17">
        <f t="shared" si="1"/>
        <v>1.6E-7</v>
      </c>
      <c r="AS17">
        <f t="shared" si="1"/>
        <v>1.6E-7</v>
      </c>
      <c r="AT17">
        <f t="shared" si="1"/>
        <v>1.6E-7</v>
      </c>
      <c r="AU17">
        <f t="shared" si="1"/>
        <v>1.6E-7</v>
      </c>
      <c r="AV17">
        <f t="shared" si="2"/>
        <v>1.6E-7</v>
      </c>
      <c r="AW17">
        <f t="shared" si="2"/>
        <v>1.6E-7</v>
      </c>
      <c r="AX17">
        <f t="shared" si="2"/>
        <v>1.6E-7</v>
      </c>
      <c r="AY17">
        <f t="shared" si="2"/>
        <v>1.6E-7</v>
      </c>
      <c r="AZ17">
        <f t="shared" si="2"/>
        <v>1.6E-7</v>
      </c>
      <c r="BA17">
        <f t="shared" si="2"/>
        <v>1.6E-7</v>
      </c>
      <c r="BB17">
        <f t="shared" si="2"/>
        <v>1.6E-7</v>
      </c>
      <c r="BC17">
        <f t="shared" si="2"/>
        <v>1.6E-7</v>
      </c>
      <c r="BD17">
        <f t="shared" si="2"/>
        <v>1.6E-7</v>
      </c>
      <c r="BE17">
        <f t="shared" si="2"/>
        <v>1.6E-7</v>
      </c>
      <c r="BF17">
        <f t="shared" si="2"/>
        <v>1.6E-7</v>
      </c>
      <c r="BG17">
        <f t="shared" si="2"/>
        <v>1.6E-7</v>
      </c>
      <c r="BH17">
        <f t="shared" si="2"/>
        <v>1.6E-7</v>
      </c>
      <c r="BI17">
        <f t="shared" si="2"/>
        <v>1.6E-7</v>
      </c>
      <c r="BJ17">
        <f t="shared" si="2"/>
        <v>1.6E-7</v>
      </c>
    </row>
    <row r="18" spans="1:62">
      <c r="B18" t="s">
        <v>985</v>
      </c>
      <c r="C18" s="174">
        <v>1E-4</v>
      </c>
      <c r="D18" s="174">
        <v>1E-4</v>
      </c>
      <c r="E18" s="174">
        <v>1E-4</v>
      </c>
      <c r="F18" s="174">
        <v>1E-4</v>
      </c>
      <c r="G18" s="174">
        <v>1E-4</v>
      </c>
      <c r="H18" s="174">
        <v>1E-4</v>
      </c>
      <c r="I18" s="174">
        <v>1E-4</v>
      </c>
      <c r="J18" s="174">
        <v>1E-4</v>
      </c>
      <c r="K18" s="174">
        <v>1E-4</v>
      </c>
      <c r="L18" s="174">
        <v>1E-4</v>
      </c>
      <c r="M18" s="174">
        <v>1E-4</v>
      </c>
      <c r="N18" s="174">
        <v>1E-4</v>
      </c>
      <c r="O18" s="174">
        <v>1E-4</v>
      </c>
      <c r="P18" s="174">
        <v>1E-4</v>
      </c>
      <c r="Q18" s="174">
        <v>1E-4</v>
      </c>
      <c r="R18" s="174">
        <v>1E-4</v>
      </c>
      <c r="S18" s="174">
        <v>1E-4</v>
      </c>
      <c r="T18" s="174">
        <v>1E-4</v>
      </c>
      <c r="U18" s="174">
        <v>1E-4</v>
      </c>
      <c r="V18" s="174">
        <v>1E-4</v>
      </c>
      <c r="W18" s="174">
        <v>1E-4</v>
      </c>
      <c r="X18" s="174">
        <v>1E-4</v>
      </c>
      <c r="Y18" s="174">
        <v>1E-4</v>
      </c>
      <c r="Z18" s="174">
        <v>1E-4</v>
      </c>
      <c r="AA18" s="174">
        <v>2.0000000000000001E-4</v>
      </c>
      <c r="AB18" s="174">
        <v>2.0000000000000001E-4</v>
      </c>
      <c r="AC18" s="174">
        <v>2.0000000000000001E-4</v>
      </c>
      <c r="AD18" s="174">
        <v>2.0000000000000001E-4</v>
      </c>
      <c r="AI18">
        <f t="shared" si="1"/>
        <v>1E-8</v>
      </c>
      <c r="AJ18">
        <f t="shared" si="1"/>
        <v>1E-8</v>
      </c>
      <c r="AK18">
        <f t="shared" si="1"/>
        <v>1E-8</v>
      </c>
      <c r="AL18">
        <f t="shared" si="1"/>
        <v>1E-8</v>
      </c>
      <c r="AM18">
        <f t="shared" si="1"/>
        <v>1E-8</v>
      </c>
      <c r="AN18">
        <f t="shared" si="1"/>
        <v>1E-8</v>
      </c>
      <c r="AO18">
        <f t="shared" si="1"/>
        <v>1E-8</v>
      </c>
      <c r="AP18">
        <f t="shared" si="1"/>
        <v>1E-8</v>
      </c>
      <c r="AQ18">
        <f t="shared" si="1"/>
        <v>1E-8</v>
      </c>
      <c r="AR18">
        <f t="shared" si="1"/>
        <v>1E-8</v>
      </c>
      <c r="AS18">
        <f t="shared" si="1"/>
        <v>1E-8</v>
      </c>
      <c r="AT18">
        <f t="shared" si="1"/>
        <v>1E-8</v>
      </c>
      <c r="AU18">
        <f t="shared" si="1"/>
        <v>1E-8</v>
      </c>
      <c r="AV18">
        <f t="shared" si="2"/>
        <v>1E-8</v>
      </c>
      <c r="AW18">
        <f t="shared" si="2"/>
        <v>1E-8</v>
      </c>
      <c r="AX18">
        <f t="shared" si="2"/>
        <v>1E-8</v>
      </c>
      <c r="AY18">
        <f t="shared" si="2"/>
        <v>1E-8</v>
      </c>
      <c r="AZ18">
        <f t="shared" si="2"/>
        <v>1E-8</v>
      </c>
      <c r="BA18">
        <f t="shared" si="2"/>
        <v>1E-8</v>
      </c>
      <c r="BB18">
        <f t="shared" si="2"/>
        <v>1E-8</v>
      </c>
      <c r="BC18">
        <f t="shared" si="2"/>
        <v>1E-8</v>
      </c>
      <c r="BD18">
        <f t="shared" si="2"/>
        <v>1E-8</v>
      </c>
      <c r="BE18">
        <f t="shared" si="2"/>
        <v>1E-8</v>
      </c>
      <c r="BF18">
        <f t="shared" si="2"/>
        <v>1E-8</v>
      </c>
      <c r="BG18">
        <f t="shared" si="2"/>
        <v>4.0000000000000001E-8</v>
      </c>
      <c r="BH18">
        <f t="shared" si="2"/>
        <v>4.0000000000000001E-8</v>
      </c>
      <c r="BI18">
        <f t="shared" si="2"/>
        <v>4.0000000000000001E-8</v>
      </c>
      <c r="BJ18">
        <f t="shared" si="2"/>
        <v>4.0000000000000001E-8</v>
      </c>
    </row>
    <row r="19" spans="1:62">
      <c r="B19" s="175" t="s">
        <v>986</v>
      </c>
      <c r="C19" s="174">
        <v>1.2999999999999999E-2</v>
      </c>
      <c r="D19" s="174">
        <v>1.2999999999999999E-2</v>
      </c>
      <c r="E19" s="174">
        <v>1.2999999999999999E-2</v>
      </c>
      <c r="F19" s="174">
        <v>1.2999999999999999E-2</v>
      </c>
      <c r="G19" s="174">
        <v>1.2999999999999999E-2</v>
      </c>
      <c r="H19" s="174">
        <v>1.2999999999999999E-2</v>
      </c>
      <c r="I19" s="174">
        <v>1.2999999999999999E-2</v>
      </c>
      <c r="J19" s="174">
        <v>1.2999999999999999E-2</v>
      </c>
      <c r="K19" s="174">
        <v>1.2999999999999999E-2</v>
      </c>
      <c r="L19" s="174">
        <v>1.2999999999999999E-2</v>
      </c>
      <c r="M19" s="174">
        <v>1.2999999999999999E-2</v>
      </c>
      <c r="N19" s="174">
        <v>1.2999999999999999E-2</v>
      </c>
      <c r="O19" s="174">
        <v>1.2999999999999999E-2</v>
      </c>
      <c r="P19" s="174">
        <v>1.2999999999999999E-2</v>
      </c>
      <c r="Q19" s="174">
        <v>1.2999999999999999E-2</v>
      </c>
      <c r="R19" s="174">
        <v>1.2999999999999999E-2</v>
      </c>
      <c r="S19" s="174">
        <v>1.2999999999999999E-2</v>
      </c>
      <c r="T19" s="174">
        <v>1.2999999999999999E-2</v>
      </c>
      <c r="U19" s="174">
        <v>1.2E-2</v>
      </c>
      <c r="V19" s="174">
        <v>1.2E-2</v>
      </c>
      <c r="W19" s="174">
        <v>1.2E-2</v>
      </c>
      <c r="X19" s="174">
        <v>1.0999999999999999E-2</v>
      </c>
      <c r="Y19" s="174">
        <v>1.0999999999999999E-2</v>
      </c>
      <c r="Z19" s="174">
        <v>0.01</v>
      </c>
      <c r="AA19" s="174">
        <v>8.0000000000000002E-3</v>
      </c>
      <c r="AB19" s="174">
        <v>5.0000000000000001E-3</v>
      </c>
      <c r="AC19" s="174">
        <v>5.0000000000000001E-3</v>
      </c>
      <c r="AD19" s="174">
        <v>1.4999999999999999E-2</v>
      </c>
      <c r="AI19">
        <f t="shared" si="1"/>
        <v>1.6899999999999999E-4</v>
      </c>
      <c r="AJ19">
        <f t="shared" si="1"/>
        <v>1.6899999999999999E-4</v>
      </c>
      <c r="AK19">
        <f t="shared" si="1"/>
        <v>1.6899999999999999E-4</v>
      </c>
      <c r="AL19">
        <f t="shared" si="1"/>
        <v>1.6899999999999999E-4</v>
      </c>
      <c r="AM19">
        <f t="shared" si="1"/>
        <v>1.6899999999999999E-4</v>
      </c>
      <c r="AN19">
        <f t="shared" si="1"/>
        <v>1.6899999999999999E-4</v>
      </c>
      <c r="AO19">
        <f t="shared" si="1"/>
        <v>1.6899999999999999E-4</v>
      </c>
      <c r="AP19">
        <f t="shared" si="1"/>
        <v>1.6899999999999999E-4</v>
      </c>
      <c r="AQ19">
        <f t="shared" si="1"/>
        <v>1.6899999999999999E-4</v>
      </c>
      <c r="AR19">
        <f t="shared" si="1"/>
        <v>1.6899999999999999E-4</v>
      </c>
      <c r="AS19">
        <f t="shared" si="1"/>
        <v>1.6899999999999999E-4</v>
      </c>
      <c r="AT19">
        <f t="shared" si="1"/>
        <v>1.6899999999999999E-4</v>
      </c>
      <c r="AU19">
        <f t="shared" si="1"/>
        <v>1.6899999999999999E-4</v>
      </c>
      <c r="AV19">
        <f t="shared" si="2"/>
        <v>1.6899999999999999E-4</v>
      </c>
      <c r="AW19">
        <f t="shared" si="2"/>
        <v>1.6899999999999999E-4</v>
      </c>
      <c r="AX19">
        <f t="shared" si="2"/>
        <v>1.6899999999999999E-4</v>
      </c>
      <c r="AY19">
        <f t="shared" si="2"/>
        <v>1.6899999999999999E-4</v>
      </c>
      <c r="AZ19">
        <f t="shared" si="2"/>
        <v>1.6899999999999999E-4</v>
      </c>
      <c r="BA19">
        <f t="shared" si="2"/>
        <v>1.44E-4</v>
      </c>
      <c r="BB19">
        <f t="shared" si="2"/>
        <v>1.44E-4</v>
      </c>
      <c r="BC19">
        <f t="shared" si="2"/>
        <v>1.44E-4</v>
      </c>
      <c r="BD19">
        <f t="shared" si="2"/>
        <v>1.2099999999999999E-4</v>
      </c>
      <c r="BE19">
        <f t="shared" si="2"/>
        <v>1.2099999999999999E-4</v>
      </c>
      <c r="BF19">
        <f t="shared" si="2"/>
        <v>1E-4</v>
      </c>
      <c r="BG19">
        <f t="shared" si="2"/>
        <v>6.3999999999999997E-5</v>
      </c>
      <c r="BH19">
        <f t="shared" si="2"/>
        <v>2.5000000000000001E-5</v>
      </c>
      <c r="BI19">
        <f t="shared" si="2"/>
        <v>2.5000000000000001E-5</v>
      </c>
      <c r="BJ19">
        <f t="shared" si="2"/>
        <v>2.2499999999999999E-4</v>
      </c>
    </row>
    <row r="20" spans="1:62">
      <c r="C20" s="174"/>
      <c r="D20" s="174"/>
      <c r="E20" s="174"/>
      <c r="F20" s="174"/>
      <c r="G20" s="174"/>
      <c r="H20" s="174"/>
      <c r="I20" s="174"/>
      <c r="J20" s="174"/>
      <c r="K20" s="174"/>
      <c r="L20" s="174"/>
      <c r="M20" s="174"/>
      <c r="N20" s="174"/>
      <c r="O20" s="174"/>
      <c r="P20" s="174"/>
      <c r="Q20" s="174"/>
      <c r="R20" s="174"/>
      <c r="S20" s="174"/>
      <c r="T20" s="174"/>
      <c r="U20" s="174"/>
      <c r="V20" s="174"/>
      <c r="W20" s="174"/>
      <c r="X20" s="174"/>
      <c r="Y20" s="174"/>
      <c r="Z20" s="174"/>
      <c r="AA20" s="174"/>
      <c r="AB20" s="174"/>
      <c r="AC20" s="174"/>
      <c r="AD20" s="174"/>
      <c r="AI20">
        <f t="shared" si="1"/>
        <v>0</v>
      </c>
      <c r="AJ20">
        <f t="shared" si="1"/>
        <v>0</v>
      </c>
      <c r="AK20">
        <f t="shared" si="1"/>
        <v>0</v>
      </c>
      <c r="AL20">
        <f t="shared" si="1"/>
        <v>0</v>
      </c>
      <c r="AM20">
        <f t="shared" si="1"/>
        <v>0</v>
      </c>
      <c r="AN20">
        <f t="shared" si="1"/>
        <v>0</v>
      </c>
      <c r="AO20">
        <f t="shared" si="1"/>
        <v>0</v>
      </c>
      <c r="AP20">
        <f t="shared" si="1"/>
        <v>0</v>
      </c>
      <c r="AQ20">
        <f t="shared" si="1"/>
        <v>0</v>
      </c>
      <c r="AR20">
        <f t="shared" si="1"/>
        <v>0</v>
      </c>
      <c r="AS20">
        <f t="shared" si="1"/>
        <v>0</v>
      </c>
      <c r="AT20">
        <f t="shared" si="1"/>
        <v>0</v>
      </c>
      <c r="AU20">
        <f t="shared" si="1"/>
        <v>0</v>
      </c>
      <c r="AV20">
        <f t="shared" si="2"/>
        <v>0</v>
      </c>
      <c r="AW20">
        <f t="shared" si="2"/>
        <v>0</v>
      </c>
      <c r="AX20">
        <f t="shared" si="2"/>
        <v>0</v>
      </c>
      <c r="AY20">
        <f t="shared" si="2"/>
        <v>0</v>
      </c>
      <c r="AZ20">
        <f t="shared" si="2"/>
        <v>0</v>
      </c>
      <c r="BA20">
        <f t="shared" si="2"/>
        <v>0</v>
      </c>
      <c r="BB20">
        <f t="shared" si="2"/>
        <v>0</v>
      </c>
      <c r="BC20">
        <f t="shared" si="2"/>
        <v>0</v>
      </c>
      <c r="BD20">
        <f t="shared" si="2"/>
        <v>0</v>
      </c>
      <c r="BE20">
        <f t="shared" si="2"/>
        <v>0</v>
      </c>
      <c r="BF20">
        <f t="shared" si="2"/>
        <v>0</v>
      </c>
      <c r="BG20">
        <f t="shared" si="2"/>
        <v>0</v>
      </c>
      <c r="BH20">
        <f t="shared" si="2"/>
        <v>0</v>
      </c>
      <c r="BI20">
        <f t="shared" si="2"/>
        <v>0</v>
      </c>
      <c r="BJ20">
        <f t="shared" si="2"/>
        <v>0</v>
      </c>
    </row>
    <row r="21" spans="1:62">
      <c r="A21" t="s">
        <v>987</v>
      </c>
      <c r="B21" s="175" t="s">
        <v>988</v>
      </c>
      <c r="C21" s="174">
        <v>0</v>
      </c>
      <c r="D21" s="174">
        <v>0</v>
      </c>
      <c r="E21" s="174">
        <v>0</v>
      </c>
      <c r="F21" s="174">
        <v>0</v>
      </c>
      <c r="G21" s="174">
        <v>0</v>
      </c>
      <c r="H21" s="174">
        <v>0</v>
      </c>
      <c r="I21" s="174">
        <v>0</v>
      </c>
      <c r="J21" s="174">
        <v>0</v>
      </c>
      <c r="K21" s="174">
        <v>0</v>
      </c>
      <c r="L21" s="174">
        <v>0</v>
      </c>
      <c r="M21" s="174">
        <v>0</v>
      </c>
      <c r="N21" s="174">
        <v>0</v>
      </c>
      <c r="O21" s="174">
        <v>0</v>
      </c>
      <c r="P21" s="174">
        <v>0</v>
      </c>
      <c r="Q21" s="174">
        <v>0</v>
      </c>
      <c r="R21" s="174">
        <v>0</v>
      </c>
      <c r="S21" s="174">
        <v>5.0000000000000001E-4</v>
      </c>
      <c r="T21" s="174">
        <v>1E-3</v>
      </c>
      <c r="U21" s="174">
        <v>1.5E-3</v>
      </c>
      <c r="V21" s="174">
        <v>2E-3</v>
      </c>
      <c r="W21" s="174">
        <v>4.0000000000000001E-3</v>
      </c>
      <c r="X21" s="174">
        <v>5.0000000000000001E-3</v>
      </c>
      <c r="Y21" s="174">
        <v>8.0000000000000002E-3</v>
      </c>
      <c r="Z21" s="174">
        <v>1.2999999999999999E-2</v>
      </c>
      <c r="AA21" s="174">
        <v>1.9E-2</v>
      </c>
      <c r="AB21" s="174">
        <v>1.6E-2</v>
      </c>
      <c r="AC21" s="174">
        <v>1.2E-2</v>
      </c>
      <c r="AD21" s="174">
        <v>5.2999999999999999E-2</v>
      </c>
      <c r="AI21">
        <f t="shared" si="1"/>
        <v>0</v>
      </c>
      <c r="AJ21">
        <f t="shared" si="1"/>
        <v>0</v>
      </c>
      <c r="AK21">
        <f t="shared" si="1"/>
        <v>0</v>
      </c>
      <c r="AL21">
        <f t="shared" si="1"/>
        <v>0</v>
      </c>
      <c r="AM21">
        <f t="shared" si="1"/>
        <v>0</v>
      </c>
      <c r="AN21">
        <f t="shared" si="1"/>
        <v>0</v>
      </c>
      <c r="AO21">
        <f t="shared" si="1"/>
        <v>0</v>
      </c>
      <c r="AP21">
        <f t="shared" si="1"/>
        <v>0</v>
      </c>
      <c r="AQ21">
        <f t="shared" si="1"/>
        <v>0</v>
      </c>
      <c r="AR21">
        <f t="shared" si="1"/>
        <v>0</v>
      </c>
      <c r="AS21">
        <f t="shared" si="1"/>
        <v>0</v>
      </c>
      <c r="AT21">
        <f t="shared" si="1"/>
        <v>0</v>
      </c>
      <c r="AU21">
        <f t="shared" si="1"/>
        <v>0</v>
      </c>
      <c r="AV21">
        <f t="shared" si="2"/>
        <v>0</v>
      </c>
      <c r="AW21">
        <f t="shared" si="2"/>
        <v>0</v>
      </c>
      <c r="AX21">
        <f t="shared" si="2"/>
        <v>0</v>
      </c>
      <c r="AY21">
        <f t="shared" si="2"/>
        <v>2.4999999999999999E-7</v>
      </c>
      <c r="AZ21">
        <f t="shared" si="2"/>
        <v>9.9999999999999995E-7</v>
      </c>
      <c r="BA21">
        <f t="shared" si="2"/>
        <v>2.2500000000000001E-6</v>
      </c>
      <c r="BB21">
        <f t="shared" si="2"/>
        <v>3.9999999999999998E-6</v>
      </c>
      <c r="BC21">
        <f t="shared" si="2"/>
        <v>1.5999999999999999E-5</v>
      </c>
      <c r="BD21">
        <f t="shared" si="2"/>
        <v>2.5000000000000001E-5</v>
      </c>
      <c r="BE21">
        <f t="shared" si="2"/>
        <v>6.3999999999999997E-5</v>
      </c>
      <c r="BF21">
        <f t="shared" si="2"/>
        <v>1.6899999999999999E-4</v>
      </c>
      <c r="BG21">
        <f t="shared" si="2"/>
        <v>3.6099999999999999E-4</v>
      </c>
      <c r="BH21">
        <f t="shared" si="2"/>
        <v>2.5599999999999999E-4</v>
      </c>
      <c r="BI21">
        <f t="shared" si="2"/>
        <v>1.44E-4</v>
      </c>
      <c r="BJ21">
        <f t="shared" si="2"/>
        <v>2.8089999999999999E-3</v>
      </c>
    </row>
    <row r="22" spans="1:62">
      <c r="B22" s="175" t="s">
        <v>70</v>
      </c>
      <c r="C22" s="174">
        <v>0</v>
      </c>
      <c r="D22" s="174">
        <v>0</v>
      </c>
      <c r="E22" s="174">
        <v>0</v>
      </c>
      <c r="F22" s="174">
        <v>0</v>
      </c>
      <c r="G22" s="174">
        <v>0</v>
      </c>
      <c r="H22" s="174">
        <v>0</v>
      </c>
      <c r="I22" s="174">
        <v>0</v>
      </c>
      <c r="J22" s="174">
        <v>0</v>
      </c>
      <c r="K22" s="174">
        <v>0</v>
      </c>
      <c r="L22" s="174">
        <v>0</v>
      </c>
      <c r="M22" s="174">
        <v>0</v>
      </c>
      <c r="N22" s="174">
        <v>0</v>
      </c>
      <c r="O22" s="174">
        <v>0</v>
      </c>
      <c r="P22" s="174">
        <v>0</v>
      </c>
      <c r="Q22" s="174">
        <v>2.9999999999999997E-4</v>
      </c>
      <c r="R22" s="174">
        <v>5.0000000000000001E-4</v>
      </c>
      <c r="S22" s="174">
        <v>6.9999999999999999E-4</v>
      </c>
      <c r="T22" s="174">
        <v>8.9999999999999998E-4</v>
      </c>
      <c r="U22" s="174">
        <v>1.1000000000000001E-3</v>
      </c>
      <c r="V22" s="174">
        <v>1.2999999999999999E-3</v>
      </c>
      <c r="W22" s="174">
        <v>1.5E-3</v>
      </c>
      <c r="X22" s="174">
        <v>2E-3</v>
      </c>
      <c r="Y22" s="174">
        <v>3.0000000000000001E-3</v>
      </c>
      <c r="Z22" s="174">
        <v>4.0000000000000001E-3</v>
      </c>
      <c r="AA22" s="174">
        <v>4.0000000000000001E-3</v>
      </c>
      <c r="AB22" s="174">
        <v>3.0000000000000001E-3</v>
      </c>
      <c r="AC22" s="174">
        <v>2E-3</v>
      </c>
      <c r="AD22" s="174">
        <v>6.0000000000000001E-3</v>
      </c>
      <c r="AI22">
        <f t="shared" si="1"/>
        <v>0</v>
      </c>
      <c r="AJ22">
        <f t="shared" si="1"/>
        <v>0</v>
      </c>
      <c r="AK22">
        <f t="shared" si="1"/>
        <v>0</v>
      </c>
      <c r="AL22">
        <f t="shared" si="1"/>
        <v>0</v>
      </c>
      <c r="AM22">
        <f t="shared" si="1"/>
        <v>0</v>
      </c>
      <c r="AN22">
        <f t="shared" si="1"/>
        <v>0</v>
      </c>
      <c r="AO22">
        <f t="shared" si="1"/>
        <v>0</v>
      </c>
      <c r="AP22">
        <f t="shared" si="1"/>
        <v>0</v>
      </c>
      <c r="AQ22">
        <f t="shared" si="1"/>
        <v>0</v>
      </c>
      <c r="AR22">
        <f t="shared" si="1"/>
        <v>0</v>
      </c>
      <c r="AS22">
        <f t="shared" si="1"/>
        <v>0</v>
      </c>
      <c r="AT22">
        <f t="shared" si="1"/>
        <v>0</v>
      </c>
      <c r="AU22">
        <f t="shared" si="1"/>
        <v>0</v>
      </c>
      <c r="AV22">
        <f t="shared" si="2"/>
        <v>0</v>
      </c>
      <c r="AW22">
        <f t="shared" si="2"/>
        <v>8.9999999999999985E-8</v>
      </c>
      <c r="AX22">
        <f t="shared" si="2"/>
        <v>2.4999999999999999E-7</v>
      </c>
      <c r="AY22">
        <f t="shared" si="2"/>
        <v>4.8999999999999997E-7</v>
      </c>
      <c r="AZ22">
        <f t="shared" si="2"/>
        <v>8.0999999999999997E-7</v>
      </c>
      <c r="BA22">
        <f t="shared" si="2"/>
        <v>1.2100000000000001E-6</v>
      </c>
      <c r="BB22">
        <f t="shared" si="2"/>
        <v>1.6899999999999999E-6</v>
      </c>
      <c r="BC22">
        <f t="shared" si="2"/>
        <v>2.2500000000000001E-6</v>
      </c>
      <c r="BD22">
        <f t="shared" si="2"/>
        <v>3.9999999999999998E-6</v>
      </c>
      <c r="BE22">
        <f t="shared" si="2"/>
        <v>9.0000000000000002E-6</v>
      </c>
      <c r="BF22">
        <f t="shared" si="2"/>
        <v>1.5999999999999999E-5</v>
      </c>
      <c r="BG22">
        <f t="shared" si="2"/>
        <v>1.5999999999999999E-5</v>
      </c>
      <c r="BH22">
        <f t="shared" si="2"/>
        <v>9.0000000000000002E-6</v>
      </c>
      <c r="BI22">
        <f t="shared" si="2"/>
        <v>3.9999999999999998E-6</v>
      </c>
      <c r="BJ22">
        <f t="shared" si="2"/>
        <v>3.6000000000000001E-5</v>
      </c>
    </row>
    <row r="23" spans="1:62">
      <c r="B23" s="175" t="s">
        <v>989</v>
      </c>
      <c r="C23" s="174">
        <v>0</v>
      </c>
      <c r="D23" s="174">
        <v>0</v>
      </c>
      <c r="E23" s="174">
        <v>0</v>
      </c>
      <c r="F23" s="174">
        <v>0</v>
      </c>
      <c r="G23" s="174">
        <v>0</v>
      </c>
      <c r="H23" s="174">
        <v>0</v>
      </c>
      <c r="I23" s="174">
        <v>0</v>
      </c>
      <c r="J23" s="174">
        <v>0</v>
      </c>
      <c r="K23" s="174">
        <v>0</v>
      </c>
      <c r="L23" s="174">
        <v>0</v>
      </c>
      <c r="M23" s="174">
        <v>0</v>
      </c>
      <c r="N23" s="174">
        <v>0</v>
      </c>
      <c r="O23" s="174">
        <v>0</v>
      </c>
      <c r="P23" s="174">
        <v>0</v>
      </c>
      <c r="Q23" s="174">
        <v>0</v>
      </c>
      <c r="R23" s="174">
        <v>0</v>
      </c>
      <c r="S23" s="174">
        <v>0</v>
      </c>
      <c r="T23" s="174">
        <v>1E-4</v>
      </c>
      <c r="U23" s="174">
        <v>2.0000000000000001E-4</v>
      </c>
      <c r="V23" s="174">
        <v>2.9999999999999997E-4</v>
      </c>
      <c r="W23" s="174">
        <v>5.0000000000000001E-4</v>
      </c>
      <c r="X23" s="174">
        <v>6.9999999999999999E-4</v>
      </c>
      <c r="Y23" s="174">
        <v>1E-3</v>
      </c>
      <c r="Z23" s="174">
        <v>1.5E-3</v>
      </c>
      <c r="AA23" s="174">
        <v>2E-3</v>
      </c>
      <c r="AB23" s="174">
        <v>2E-3</v>
      </c>
      <c r="AC23" s="174">
        <v>2E-3</v>
      </c>
      <c r="AD23" s="174">
        <v>3.0000000000000001E-3</v>
      </c>
      <c r="AI23">
        <f t="shared" si="1"/>
        <v>0</v>
      </c>
      <c r="AJ23">
        <f t="shared" si="1"/>
        <v>0</v>
      </c>
      <c r="AK23">
        <f t="shared" si="1"/>
        <v>0</v>
      </c>
      <c r="AL23">
        <f t="shared" si="1"/>
        <v>0</v>
      </c>
      <c r="AM23">
        <f t="shared" si="1"/>
        <v>0</v>
      </c>
      <c r="AN23">
        <f t="shared" si="1"/>
        <v>0</v>
      </c>
      <c r="AO23">
        <f t="shared" si="1"/>
        <v>0</v>
      </c>
      <c r="AP23">
        <f t="shared" si="1"/>
        <v>0</v>
      </c>
      <c r="AQ23">
        <f t="shared" si="1"/>
        <v>0</v>
      </c>
      <c r="AR23">
        <f t="shared" si="1"/>
        <v>0</v>
      </c>
      <c r="AS23">
        <f t="shared" si="1"/>
        <v>0</v>
      </c>
      <c r="AT23">
        <f t="shared" si="1"/>
        <v>0</v>
      </c>
      <c r="AU23">
        <f t="shared" si="1"/>
        <v>0</v>
      </c>
      <c r="AV23">
        <f t="shared" si="2"/>
        <v>0</v>
      </c>
      <c r="AW23">
        <f t="shared" si="2"/>
        <v>0</v>
      </c>
      <c r="AX23">
        <f t="shared" si="2"/>
        <v>0</v>
      </c>
      <c r="AY23">
        <f t="shared" si="2"/>
        <v>0</v>
      </c>
      <c r="AZ23">
        <f t="shared" si="2"/>
        <v>1E-8</v>
      </c>
      <c r="BA23">
        <f t="shared" si="2"/>
        <v>4.0000000000000001E-8</v>
      </c>
      <c r="BB23">
        <f t="shared" si="2"/>
        <v>8.9999999999999985E-8</v>
      </c>
      <c r="BC23">
        <f t="shared" si="2"/>
        <v>2.4999999999999999E-7</v>
      </c>
      <c r="BD23">
        <f t="shared" si="2"/>
        <v>4.8999999999999997E-7</v>
      </c>
      <c r="BE23">
        <f t="shared" si="2"/>
        <v>9.9999999999999995E-7</v>
      </c>
      <c r="BF23">
        <f t="shared" si="2"/>
        <v>2.2500000000000001E-6</v>
      </c>
      <c r="BG23">
        <f t="shared" si="2"/>
        <v>3.9999999999999998E-6</v>
      </c>
      <c r="BH23">
        <f t="shared" si="2"/>
        <v>3.9999999999999998E-6</v>
      </c>
      <c r="BI23">
        <f t="shared" si="2"/>
        <v>3.9999999999999998E-6</v>
      </c>
      <c r="BJ23">
        <f t="shared" si="2"/>
        <v>9.0000000000000002E-6</v>
      </c>
    </row>
    <row r="24" spans="1:62">
      <c r="C24" s="174"/>
      <c r="D24" s="174"/>
      <c r="E24" s="174"/>
      <c r="F24" s="174"/>
      <c r="G24" s="174"/>
      <c r="H24" s="174"/>
      <c r="I24" s="174"/>
      <c r="J24" s="174"/>
      <c r="K24" s="174"/>
      <c r="L24" s="174"/>
      <c r="M24" s="174"/>
      <c r="N24" s="174"/>
      <c r="O24" s="174"/>
      <c r="P24" s="174"/>
      <c r="Q24" s="174"/>
      <c r="R24" s="174"/>
      <c r="S24" s="174"/>
      <c r="T24" s="174"/>
      <c r="U24" s="174"/>
      <c r="V24" s="174"/>
      <c r="W24" s="174"/>
      <c r="X24" s="174"/>
      <c r="Y24" s="174"/>
      <c r="Z24" s="174"/>
      <c r="AA24" s="174"/>
      <c r="AB24" s="174"/>
      <c r="AC24" s="174"/>
      <c r="AD24" s="174"/>
      <c r="AI24">
        <f t="shared" si="1"/>
        <v>0</v>
      </c>
      <c r="AJ24">
        <f t="shared" si="1"/>
        <v>0</v>
      </c>
      <c r="AK24">
        <f t="shared" si="1"/>
        <v>0</v>
      </c>
      <c r="AL24">
        <f t="shared" si="1"/>
        <v>0</v>
      </c>
      <c r="AM24">
        <f t="shared" si="1"/>
        <v>0</v>
      </c>
      <c r="AN24">
        <f t="shared" si="1"/>
        <v>0</v>
      </c>
      <c r="AO24">
        <f t="shared" si="1"/>
        <v>0</v>
      </c>
      <c r="AP24">
        <f t="shared" si="1"/>
        <v>0</v>
      </c>
      <c r="AQ24">
        <f t="shared" si="1"/>
        <v>0</v>
      </c>
      <c r="AR24">
        <f t="shared" si="1"/>
        <v>0</v>
      </c>
      <c r="AS24">
        <f t="shared" si="1"/>
        <v>0</v>
      </c>
      <c r="AT24">
        <f t="shared" si="1"/>
        <v>0</v>
      </c>
      <c r="AU24">
        <f t="shared" si="1"/>
        <v>0</v>
      </c>
      <c r="AV24">
        <f t="shared" si="2"/>
        <v>0</v>
      </c>
      <c r="AW24">
        <f t="shared" si="2"/>
        <v>0</v>
      </c>
      <c r="AX24">
        <f t="shared" si="2"/>
        <v>0</v>
      </c>
      <c r="AY24">
        <f t="shared" si="2"/>
        <v>0</v>
      </c>
      <c r="AZ24">
        <f t="shared" si="2"/>
        <v>0</v>
      </c>
      <c r="BA24">
        <f t="shared" si="2"/>
        <v>0</v>
      </c>
      <c r="BB24">
        <f t="shared" si="2"/>
        <v>0</v>
      </c>
      <c r="BC24">
        <f t="shared" si="2"/>
        <v>0</v>
      </c>
      <c r="BD24">
        <f t="shared" si="2"/>
        <v>0</v>
      </c>
      <c r="BE24">
        <f t="shared" si="2"/>
        <v>0</v>
      </c>
      <c r="BF24">
        <f t="shared" si="2"/>
        <v>0</v>
      </c>
      <c r="BG24">
        <f t="shared" si="2"/>
        <v>0</v>
      </c>
      <c r="BH24">
        <f t="shared" si="2"/>
        <v>0</v>
      </c>
      <c r="BI24">
        <f t="shared" si="2"/>
        <v>0</v>
      </c>
      <c r="BJ24">
        <f t="shared" si="2"/>
        <v>0</v>
      </c>
    </row>
    <row r="25" spans="1:62">
      <c r="A25" s="175" t="s">
        <v>990</v>
      </c>
      <c r="B25" t="s">
        <v>991</v>
      </c>
      <c r="C25" s="174">
        <v>6.179999999999985E-3</v>
      </c>
      <c r="D25" s="174">
        <v>5.4899999999999949E-3</v>
      </c>
      <c r="E25" s="174">
        <v>4.8900000000000072E-3</v>
      </c>
      <c r="F25" s="174">
        <v>4.3800000000000236E-3</v>
      </c>
      <c r="G25" s="174">
        <v>3.8999999999999699E-3</v>
      </c>
      <c r="H25" s="174">
        <v>3.4799999999999896E-3</v>
      </c>
      <c r="I25" s="174">
        <v>3.0899999999999391E-3</v>
      </c>
      <c r="J25" s="174">
        <v>2.7599999999999626E-3</v>
      </c>
      <c r="K25" s="174">
        <v>2.4599999999999154E-3</v>
      </c>
      <c r="L25" s="174">
        <v>2.2199999999999421E-3</v>
      </c>
      <c r="M25" s="174">
        <v>1.9500000000000383E-3</v>
      </c>
      <c r="N25" s="174">
        <v>1.7399999999999948E-3</v>
      </c>
      <c r="O25" s="174">
        <v>1.559999999999988E-3</v>
      </c>
      <c r="P25" s="174">
        <v>1.3799999999999813E-3</v>
      </c>
      <c r="Q25" s="174">
        <v>1.2299999999999046E-3</v>
      </c>
      <c r="R25" s="174">
        <v>1.0799999999999343E-3</v>
      </c>
      <c r="S25" s="174">
        <v>9.9000000000003751E-4</v>
      </c>
      <c r="T25" s="174">
        <v>8.3999999999996079E-4</v>
      </c>
      <c r="U25" s="174">
        <v>7.7999999999999402E-4</v>
      </c>
      <c r="V25" s="174">
        <v>6.6000000000006049E-4</v>
      </c>
      <c r="W25" s="174">
        <v>5.9999999999998715E-4</v>
      </c>
      <c r="X25" s="174">
        <v>4.8000000000005368E-4</v>
      </c>
      <c r="Y25" s="174">
        <v>3.900000000000503E-4</v>
      </c>
      <c r="Z25" s="174">
        <v>3.0000000000004687E-4</v>
      </c>
      <c r="AA25" s="174">
        <v>2.0999999999993691E-4</v>
      </c>
      <c r="AB25" s="174">
        <v>9.0000000000003407E-5</v>
      </c>
      <c r="AC25" s="174">
        <v>9.0000000000003407E-5</v>
      </c>
      <c r="AD25" s="174">
        <v>3.6000000000001363E-4</v>
      </c>
      <c r="AI25">
        <f t="shared" si="1"/>
        <v>3.8192399999999814E-5</v>
      </c>
      <c r="AJ25">
        <f t="shared" si="1"/>
        <v>3.0140099999999945E-5</v>
      </c>
      <c r="AK25">
        <f t="shared" si="1"/>
        <v>2.3912100000000069E-5</v>
      </c>
      <c r="AL25">
        <f t="shared" si="1"/>
        <v>1.9184400000000205E-5</v>
      </c>
      <c r="AM25">
        <f t="shared" si="1"/>
        <v>1.5209999999999765E-5</v>
      </c>
      <c r="AN25">
        <f t="shared" si="1"/>
        <v>1.2110399999999927E-5</v>
      </c>
      <c r="AO25">
        <f t="shared" si="1"/>
        <v>9.5480999999996232E-6</v>
      </c>
      <c r="AP25">
        <f t="shared" si="1"/>
        <v>7.617599999999793E-6</v>
      </c>
      <c r="AQ25">
        <f t="shared" si="1"/>
        <v>6.0515999999995839E-6</v>
      </c>
      <c r="AR25">
        <f t="shared" si="1"/>
        <v>4.9283999999997426E-6</v>
      </c>
      <c r="AS25">
        <f t="shared" si="1"/>
        <v>3.8025000000001495E-6</v>
      </c>
      <c r="AT25">
        <f t="shared" si="1"/>
        <v>3.0275999999999818E-6</v>
      </c>
      <c r="AU25">
        <f t="shared" si="1"/>
        <v>2.4335999999999626E-6</v>
      </c>
      <c r="AV25">
        <f t="shared" si="2"/>
        <v>1.9043999999999483E-6</v>
      </c>
      <c r="AW25">
        <f t="shared" si="2"/>
        <v>1.5128999999997653E-6</v>
      </c>
      <c r="AX25">
        <f t="shared" si="2"/>
        <v>1.1663999999998581E-6</v>
      </c>
      <c r="AY25">
        <f t="shared" si="2"/>
        <v>9.8010000000007427E-7</v>
      </c>
      <c r="AZ25">
        <f t="shared" si="2"/>
        <v>7.0559999999993411E-7</v>
      </c>
      <c r="BA25">
        <f t="shared" si="2"/>
        <v>6.0839999999999065E-7</v>
      </c>
      <c r="BB25">
        <f t="shared" si="2"/>
        <v>4.3560000000007984E-7</v>
      </c>
      <c r="BC25">
        <f t="shared" si="2"/>
        <v>3.5999999999998459E-7</v>
      </c>
      <c r="BD25">
        <f t="shared" si="2"/>
        <v>2.3040000000005154E-7</v>
      </c>
      <c r="BE25">
        <f t="shared" si="2"/>
        <v>1.5210000000003925E-7</v>
      </c>
      <c r="BF25">
        <f t="shared" si="2"/>
        <v>9.0000000000028123E-8</v>
      </c>
      <c r="BG25">
        <f t="shared" si="2"/>
        <v>4.4099999999973502E-8</v>
      </c>
      <c r="BH25">
        <f t="shared" si="2"/>
        <v>8.1000000000006135E-9</v>
      </c>
      <c r="BI25">
        <f t="shared" si="2"/>
        <v>8.1000000000006135E-9</v>
      </c>
      <c r="BJ25">
        <f t="shared" si="2"/>
        <v>1.2960000000000982E-7</v>
      </c>
    </row>
    <row r="26" spans="1:62">
      <c r="B26" t="s">
        <v>992</v>
      </c>
      <c r="C26" s="174">
        <v>2.8999999999999916E-3</v>
      </c>
      <c r="D26" s="174">
        <v>2.7000000000001025E-3</v>
      </c>
      <c r="E26" s="174">
        <v>2.4000000000000913E-3</v>
      </c>
      <c r="F26" s="174">
        <v>2.0999999999997245E-3</v>
      </c>
      <c r="G26" s="174">
        <v>1.9000000000001906E-3</v>
      </c>
      <c r="H26" s="174">
        <v>1.6999999999999461E-3</v>
      </c>
      <c r="I26" s="174">
        <v>1.5000000000000568E-3</v>
      </c>
      <c r="J26" s="174">
        <v>1.3000000000001678E-3</v>
      </c>
      <c r="K26" s="174">
        <v>1.2000000000000456E-3</v>
      </c>
      <c r="L26" s="174">
        <v>1.0000000000001564E-3</v>
      </c>
      <c r="M26" s="174">
        <v>9.9999999999980118E-4</v>
      </c>
      <c r="N26" s="174">
        <v>7.9999999999991189E-4</v>
      </c>
      <c r="O26" s="174">
        <v>7.0000000000014495E-4</v>
      </c>
      <c r="P26" s="174">
        <v>7.0000000000014495E-4</v>
      </c>
      <c r="Q26" s="174">
        <v>6.0000000000002282E-4</v>
      </c>
      <c r="R26" s="174">
        <v>6.0000000000002282E-4</v>
      </c>
      <c r="S26" s="174">
        <v>3.9999999999977835E-4</v>
      </c>
      <c r="T26" s="174">
        <v>4.9999999999990059E-4</v>
      </c>
      <c r="U26" s="174">
        <v>4.0000000000013359E-4</v>
      </c>
      <c r="V26" s="174">
        <v>3.0000000000001141E-4</v>
      </c>
      <c r="W26" s="174">
        <v>3.0000000000001141E-4</v>
      </c>
      <c r="X26" s="174">
        <v>1.9999999999988918E-4</v>
      </c>
      <c r="Y26" s="174">
        <v>1.9999999999988918E-4</v>
      </c>
      <c r="Z26" s="174">
        <v>1.9999999999988918E-4</v>
      </c>
      <c r="AA26" s="174">
        <v>1.0000000000012222E-4</v>
      </c>
      <c r="AB26" s="174">
        <v>1.0000000000012222E-4</v>
      </c>
      <c r="AC26" s="174">
        <v>0</v>
      </c>
      <c r="AD26" s="174">
        <v>0</v>
      </c>
      <c r="AI26">
        <f t="shared" si="1"/>
        <v>8.4099999999999517E-6</v>
      </c>
      <c r="AJ26">
        <f t="shared" si="1"/>
        <v>7.2900000000005536E-6</v>
      </c>
      <c r="AK26">
        <f t="shared" si="1"/>
        <v>5.7600000000004378E-6</v>
      </c>
      <c r="AL26">
        <f t="shared" si="1"/>
        <v>4.4099999999988431E-6</v>
      </c>
      <c r="AM26">
        <f t="shared" si="1"/>
        <v>3.6100000000007244E-6</v>
      </c>
      <c r="AN26">
        <f t="shared" si="1"/>
        <v>2.8899999999998169E-6</v>
      </c>
      <c r="AO26">
        <f t="shared" si="1"/>
        <v>2.2500000000001707E-6</v>
      </c>
      <c r="AP26">
        <f t="shared" si="1"/>
        <v>1.6900000000004361E-6</v>
      </c>
      <c r="AQ26">
        <f t="shared" si="1"/>
        <v>1.4400000000001095E-6</v>
      </c>
      <c r="AR26">
        <f t="shared" si="1"/>
        <v>1.0000000000003127E-6</v>
      </c>
      <c r="AS26">
        <f t="shared" si="1"/>
        <v>9.9999999999960227E-7</v>
      </c>
      <c r="AT26">
        <f t="shared" si="1"/>
        <v>6.3999999999985898E-7</v>
      </c>
      <c r="AU26">
        <f t="shared" si="1"/>
        <v>4.9000000000020294E-7</v>
      </c>
      <c r="AV26">
        <f t="shared" si="2"/>
        <v>4.9000000000020294E-7</v>
      </c>
      <c r="AW26">
        <f t="shared" si="2"/>
        <v>3.6000000000002736E-7</v>
      </c>
      <c r="AX26">
        <f t="shared" si="2"/>
        <v>3.6000000000002736E-7</v>
      </c>
      <c r="AY26">
        <f t="shared" si="2"/>
        <v>1.5999999999982268E-7</v>
      </c>
      <c r="AZ26">
        <f t="shared" si="2"/>
        <v>2.4999999999990057E-7</v>
      </c>
      <c r="BA26">
        <f t="shared" si="2"/>
        <v>1.6000000000010686E-7</v>
      </c>
      <c r="BB26">
        <f t="shared" si="2"/>
        <v>9.0000000000006841E-8</v>
      </c>
      <c r="BC26">
        <f t="shared" si="2"/>
        <v>9.0000000000006841E-8</v>
      </c>
      <c r="BD26">
        <f t="shared" si="2"/>
        <v>3.9999999999955671E-8</v>
      </c>
      <c r="BE26">
        <f t="shared" si="2"/>
        <v>3.9999999999955671E-8</v>
      </c>
      <c r="BF26">
        <f t="shared" si="2"/>
        <v>3.9999999999955671E-8</v>
      </c>
      <c r="BG26">
        <f t="shared" si="2"/>
        <v>1.0000000000024445E-8</v>
      </c>
      <c r="BH26">
        <f t="shared" si="2"/>
        <v>1.0000000000024445E-8</v>
      </c>
      <c r="BI26">
        <f t="shared" si="2"/>
        <v>0</v>
      </c>
      <c r="BJ26">
        <f t="shared" si="2"/>
        <v>0</v>
      </c>
    </row>
    <row r="27" spans="1:62">
      <c r="C27" s="174"/>
      <c r="D27" s="174"/>
      <c r="E27" s="174"/>
      <c r="F27" s="174"/>
      <c r="G27" s="174"/>
      <c r="H27" s="174"/>
      <c r="I27" s="174"/>
      <c r="J27" s="174"/>
      <c r="K27" s="174"/>
      <c r="L27" s="174"/>
      <c r="M27" s="174"/>
      <c r="N27" s="174"/>
      <c r="O27" s="174"/>
      <c r="P27" s="174"/>
      <c r="Q27" s="174"/>
      <c r="R27" s="174"/>
      <c r="S27" s="174"/>
      <c r="T27" s="174"/>
      <c r="U27" s="174"/>
      <c r="V27" s="174"/>
      <c r="W27" s="174"/>
      <c r="X27" s="174"/>
      <c r="Y27" s="174"/>
      <c r="Z27" s="174"/>
      <c r="AA27" s="174"/>
      <c r="AB27" s="174"/>
      <c r="AC27" s="174"/>
      <c r="AD27" s="174"/>
      <c r="AI27">
        <f t="shared" si="1"/>
        <v>0</v>
      </c>
      <c r="AJ27">
        <f t="shared" si="1"/>
        <v>0</v>
      </c>
      <c r="AK27">
        <f t="shared" si="1"/>
        <v>0</v>
      </c>
      <c r="AL27">
        <f t="shared" si="1"/>
        <v>0</v>
      </c>
      <c r="AM27">
        <f t="shared" si="1"/>
        <v>0</v>
      </c>
      <c r="AN27">
        <f t="shared" si="1"/>
        <v>0</v>
      </c>
      <c r="AO27">
        <f t="shared" si="1"/>
        <v>0</v>
      </c>
      <c r="AP27">
        <f t="shared" si="1"/>
        <v>0</v>
      </c>
      <c r="AQ27">
        <f t="shared" si="1"/>
        <v>0</v>
      </c>
      <c r="AR27">
        <f t="shared" si="1"/>
        <v>0</v>
      </c>
      <c r="AS27">
        <f t="shared" si="1"/>
        <v>0</v>
      </c>
      <c r="AT27">
        <f t="shared" si="1"/>
        <v>0</v>
      </c>
      <c r="AU27">
        <f t="shared" si="1"/>
        <v>0</v>
      </c>
      <c r="AV27">
        <f t="shared" si="2"/>
        <v>0</v>
      </c>
      <c r="AW27">
        <f t="shared" si="2"/>
        <v>0</v>
      </c>
      <c r="AX27">
        <f t="shared" si="2"/>
        <v>0</v>
      </c>
      <c r="AY27">
        <f t="shared" si="2"/>
        <v>0</v>
      </c>
      <c r="AZ27">
        <f t="shared" si="2"/>
        <v>0</v>
      </c>
      <c r="BA27">
        <f t="shared" si="2"/>
        <v>0</v>
      </c>
      <c r="BB27">
        <f t="shared" si="2"/>
        <v>0</v>
      </c>
      <c r="BC27">
        <f t="shared" si="2"/>
        <v>0</v>
      </c>
      <c r="BD27">
        <f t="shared" si="2"/>
        <v>0</v>
      </c>
      <c r="BE27">
        <f t="shared" si="2"/>
        <v>0</v>
      </c>
      <c r="BF27">
        <f t="shared" si="2"/>
        <v>0</v>
      </c>
      <c r="BG27">
        <f t="shared" si="2"/>
        <v>0</v>
      </c>
      <c r="BH27">
        <f t="shared" si="2"/>
        <v>0</v>
      </c>
      <c r="BI27">
        <f t="shared" si="2"/>
        <v>0</v>
      </c>
      <c r="BJ27">
        <f t="shared" si="2"/>
        <v>0</v>
      </c>
    </row>
    <row r="28" spans="1:62">
      <c r="A28" t="s">
        <v>993</v>
      </c>
      <c r="B28" t="s">
        <v>994</v>
      </c>
      <c r="C28" s="174">
        <v>3.0000000000001141E-4</v>
      </c>
      <c r="D28" s="174">
        <v>1.9999999999988918E-4</v>
      </c>
      <c r="E28" s="174">
        <v>1.9999999999988918E-4</v>
      </c>
      <c r="F28" s="174">
        <v>2.0000000000024444E-4</v>
      </c>
      <c r="G28" s="174">
        <v>3.0000000000001141E-4</v>
      </c>
      <c r="H28" s="174">
        <v>2.0000000000024444E-4</v>
      </c>
      <c r="I28" s="174">
        <v>1.9999999999988918E-4</v>
      </c>
      <c r="J28" s="174">
        <v>3.0000000000001141E-4</v>
      </c>
      <c r="K28" s="174">
        <v>1.9999999999988918E-4</v>
      </c>
      <c r="L28" s="174">
        <v>3.0000000000001141E-4</v>
      </c>
      <c r="M28" s="174">
        <v>2.0000000000024444E-4</v>
      </c>
      <c r="N28" s="174">
        <v>1.9999999999988918E-4</v>
      </c>
      <c r="O28" s="174">
        <v>3.0000000000001141E-4</v>
      </c>
      <c r="P28" s="174">
        <v>1.9999999999988918E-4</v>
      </c>
      <c r="Q28" s="174">
        <v>1.9999999999988918E-4</v>
      </c>
      <c r="R28" s="174">
        <v>1.9999999999988918E-4</v>
      </c>
      <c r="S28" s="174">
        <v>3.0000000000001141E-4</v>
      </c>
      <c r="T28" s="174">
        <v>1.9999999999988918E-4</v>
      </c>
      <c r="U28" s="174">
        <v>1.9999999999988918E-4</v>
      </c>
      <c r="V28" s="174">
        <v>2.0000000000024444E-4</v>
      </c>
      <c r="W28" s="174">
        <v>3.0000000000001141E-4</v>
      </c>
      <c r="X28" s="174">
        <v>1.9999999999988918E-4</v>
      </c>
      <c r="Y28" s="174">
        <v>1.9999999999988918E-4</v>
      </c>
      <c r="Z28" s="174">
        <v>1.9999999999988918E-4</v>
      </c>
      <c r="AA28" s="174">
        <v>1.9999999999988918E-4</v>
      </c>
      <c r="AB28" s="174">
        <v>1.9999999999988918E-4</v>
      </c>
      <c r="AC28">
        <v>1.0000000000012222E-4</v>
      </c>
      <c r="AD28">
        <v>0</v>
      </c>
      <c r="AI28">
        <f t="shared" si="1"/>
        <v>9.0000000000006841E-8</v>
      </c>
      <c r="AJ28">
        <f t="shared" si="1"/>
        <v>3.9999999999955671E-8</v>
      </c>
      <c r="AK28">
        <f t="shared" si="1"/>
        <v>3.9999999999955671E-8</v>
      </c>
      <c r="AL28">
        <f t="shared" si="1"/>
        <v>4.000000000009778E-8</v>
      </c>
      <c r="AM28">
        <f t="shared" si="1"/>
        <v>9.0000000000006841E-8</v>
      </c>
      <c r="AN28">
        <f t="shared" si="1"/>
        <v>4.000000000009778E-8</v>
      </c>
      <c r="AO28">
        <f t="shared" si="1"/>
        <v>3.9999999999955671E-8</v>
      </c>
      <c r="AP28">
        <f t="shared" si="1"/>
        <v>9.0000000000006841E-8</v>
      </c>
      <c r="AQ28">
        <f t="shared" si="1"/>
        <v>3.9999999999955671E-8</v>
      </c>
      <c r="AR28">
        <f t="shared" si="1"/>
        <v>9.0000000000006841E-8</v>
      </c>
      <c r="AS28">
        <f t="shared" si="1"/>
        <v>4.000000000009778E-8</v>
      </c>
      <c r="AT28">
        <f t="shared" si="1"/>
        <v>3.9999999999955671E-8</v>
      </c>
      <c r="AU28">
        <f t="shared" si="1"/>
        <v>9.0000000000006841E-8</v>
      </c>
      <c r="AV28">
        <f t="shared" si="2"/>
        <v>3.9999999999955671E-8</v>
      </c>
      <c r="AW28">
        <f t="shared" si="2"/>
        <v>3.9999999999955671E-8</v>
      </c>
      <c r="AX28">
        <f t="shared" si="2"/>
        <v>3.9999999999955671E-8</v>
      </c>
      <c r="AY28">
        <f t="shared" si="2"/>
        <v>9.0000000000006841E-8</v>
      </c>
      <c r="AZ28">
        <f t="shared" si="2"/>
        <v>3.9999999999955671E-8</v>
      </c>
      <c r="BA28">
        <f t="shared" si="2"/>
        <v>3.9999999999955671E-8</v>
      </c>
      <c r="BB28">
        <f t="shared" si="2"/>
        <v>4.000000000009778E-8</v>
      </c>
      <c r="BC28">
        <f t="shared" si="2"/>
        <v>9.0000000000006841E-8</v>
      </c>
      <c r="BD28">
        <f t="shared" si="2"/>
        <v>3.9999999999955671E-8</v>
      </c>
      <c r="BE28">
        <f t="shared" si="2"/>
        <v>3.9999999999955671E-8</v>
      </c>
      <c r="BF28">
        <f t="shared" si="2"/>
        <v>3.9999999999955671E-8</v>
      </c>
      <c r="BG28">
        <f t="shared" si="2"/>
        <v>3.9999999999955671E-8</v>
      </c>
      <c r="BH28">
        <f t="shared" si="2"/>
        <v>3.9999999999955671E-8</v>
      </c>
      <c r="BI28">
        <f t="shared" si="2"/>
        <v>1.0000000000024445E-8</v>
      </c>
      <c r="BJ28">
        <f t="shared" si="2"/>
        <v>0</v>
      </c>
    </row>
    <row r="29" spans="1:62">
      <c r="C29" s="174"/>
      <c r="D29" s="174"/>
      <c r="E29" s="174"/>
      <c r="F29" s="174"/>
      <c r="G29" s="174"/>
      <c r="H29" s="174"/>
      <c r="I29" s="174"/>
      <c r="J29" s="174"/>
      <c r="K29" s="174"/>
      <c r="L29" s="174"/>
      <c r="M29" s="174"/>
      <c r="N29" s="174"/>
      <c r="O29" s="174"/>
      <c r="P29" s="174"/>
      <c r="Q29" s="174"/>
      <c r="R29" s="174"/>
      <c r="S29" s="174"/>
      <c r="T29" s="174"/>
      <c r="U29" s="174"/>
      <c r="V29" s="174"/>
      <c r="W29" s="174"/>
      <c r="X29" s="174"/>
      <c r="Y29" s="174"/>
      <c r="Z29" s="174"/>
      <c r="AA29" s="174"/>
      <c r="AB29" s="174"/>
      <c r="AI29">
        <f t="shared" si="1"/>
        <v>0</v>
      </c>
      <c r="AJ29">
        <f t="shared" si="1"/>
        <v>0</v>
      </c>
      <c r="AK29">
        <f t="shared" si="1"/>
        <v>0</v>
      </c>
      <c r="AL29">
        <f t="shared" si="1"/>
        <v>0</v>
      </c>
      <c r="AM29">
        <f t="shared" si="1"/>
        <v>0</v>
      </c>
      <c r="AN29">
        <f t="shared" si="1"/>
        <v>0</v>
      </c>
      <c r="AO29">
        <f t="shared" si="1"/>
        <v>0</v>
      </c>
      <c r="AP29">
        <f t="shared" si="1"/>
        <v>0</v>
      </c>
      <c r="AQ29">
        <f t="shared" si="1"/>
        <v>0</v>
      </c>
      <c r="AR29">
        <f t="shared" si="1"/>
        <v>0</v>
      </c>
      <c r="AS29">
        <f t="shared" si="1"/>
        <v>0</v>
      </c>
      <c r="AT29">
        <f t="shared" si="1"/>
        <v>0</v>
      </c>
      <c r="AU29">
        <f t="shared" si="1"/>
        <v>0</v>
      </c>
      <c r="AV29">
        <f t="shared" si="2"/>
        <v>0</v>
      </c>
      <c r="AW29">
        <f t="shared" si="2"/>
        <v>0</v>
      </c>
      <c r="AX29">
        <f t="shared" si="2"/>
        <v>0</v>
      </c>
      <c r="AY29">
        <f t="shared" si="2"/>
        <v>0</v>
      </c>
      <c r="AZ29">
        <f t="shared" si="2"/>
        <v>0</v>
      </c>
      <c r="BA29">
        <f t="shared" si="2"/>
        <v>0</v>
      </c>
      <c r="BB29">
        <f t="shared" si="2"/>
        <v>0</v>
      </c>
      <c r="BC29">
        <f t="shared" si="2"/>
        <v>0</v>
      </c>
      <c r="BD29">
        <f t="shared" si="2"/>
        <v>0</v>
      </c>
      <c r="BE29">
        <f t="shared" si="2"/>
        <v>0</v>
      </c>
      <c r="BF29">
        <f t="shared" si="2"/>
        <v>0</v>
      </c>
      <c r="BG29">
        <f t="shared" si="2"/>
        <v>0</v>
      </c>
      <c r="BH29">
        <f t="shared" si="2"/>
        <v>0</v>
      </c>
      <c r="BI29">
        <f t="shared" si="2"/>
        <v>0</v>
      </c>
      <c r="BJ29">
        <f t="shared" si="2"/>
        <v>0</v>
      </c>
    </row>
    <row r="30" spans="1:62">
      <c r="A30" s="175" t="s">
        <v>995</v>
      </c>
      <c r="C30" s="174">
        <v>0</v>
      </c>
      <c r="D30" s="174">
        <v>0</v>
      </c>
      <c r="E30" s="174">
        <v>0</v>
      </c>
      <c r="F30" s="174">
        <v>0</v>
      </c>
      <c r="G30" s="174">
        <v>0</v>
      </c>
      <c r="H30" s="174">
        <v>0</v>
      </c>
      <c r="I30" s="174">
        <v>0</v>
      </c>
      <c r="J30" s="174">
        <v>0</v>
      </c>
      <c r="K30" s="174">
        <v>0</v>
      </c>
      <c r="L30" s="174">
        <v>0</v>
      </c>
      <c r="M30" s="174">
        <v>0</v>
      </c>
      <c r="N30" s="174">
        <v>0</v>
      </c>
      <c r="O30" s="174">
        <v>0</v>
      </c>
      <c r="P30" s="174">
        <v>0</v>
      </c>
      <c r="Q30" s="174">
        <v>0</v>
      </c>
      <c r="R30" s="174">
        <v>0</v>
      </c>
      <c r="S30" s="174">
        <v>0</v>
      </c>
      <c r="T30" s="174">
        <v>0</v>
      </c>
      <c r="U30" s="174">
        <v>0</v>
      </c>
      <c r="V30" s="174">
        <v>5.0000000000000001E-4</v>
      </c>
      <c r="W30" s="174">
        <v>1E-3</v>
      </c>
      <c r="X30" s="174">
        <v>2E-3</v>
      </c>
      <c r="Y30" s="174">
        <v>5.0000000000000001E-3</v>
      </c>
      <c r="Z30" s="174">
        <v>0.01</v>
      </c>
      <c r="AA30" s="174">
        <v>0.02</v>
      </c>
      <c r="AB30" s="174">
        <v>0.03</v>
      </c>
      <c r="AC30" s="174">
        <v>0.04</v>
      </c>
      <c r="AD30" s="174">
        <v>0.05</v>
      </c>
      <c r="AI30">
        <f t="shared" si="1"/>
        <v>0</v>
      </c>
      <c r="AJ30">
        <f t="shared" si="1"/>
        <v>0</v>
      </c>
      <c r="AK30">
        <f t="shared" si="1"/>
        <v>0</v>
      </c>
      <c r="AL30">
        <f t="shared" si="1"/>
        <v>0</v>
      </c>
      <c r="AM30">
        <f t="shared" si="1"/>
        <v>0</v>
      </c>
      <c r="AN30">
        <f t="shared" si="1"/>
        <v>0</v>
      </c>
      <c r="AO30">
        <f t="shared" si="1"/>
        <v>0</v>
      </c>
      <c r="AP30">
        <f t="shared" si="1"/>
        <v>0</v>
      </c>
      <c r="AQ30">
        <f t="shared" si="1"/>
        <v>0</v>
      </c>
      <c r="AR30">
        <f t="shared" si="1"/>
        <v>0</v>
      </c>
      <c r="AS30">
        <f t="shared" si="1"/>
        <v>0</v>
      </c>
      <c r="AT30">
        <f t="shared" si="1"/>
        <v>0</v>
      </c>
      <c r="AU30">
        <f t="shared" si="1"/>
        <v>0</v>
      </c>
      <c r="AV30">
        <f t="shared" si="2"/>
        <v>0</v>
      </c>
      <c r="AW30">
        <f t="shared" si="2"/>
        <v>0</v>
      </c>
      <c r="AX30">
        <f t="shared" si="2"/>
        <v>0</v>
      </c>
      <c r="AY30">
        <f t="shared" si="2"/>
        <v>0</v>
      </c>
      <c r="AZ30">
        <f t="shared" si="2"/>
        <v>0</v>
      </c>
      <c r="BA30">
        <f t="shared" si="2"/>
        <v>0</v>
      </c>
      <c r="BB30">
        <f t="shared" si="2"/>
        <v>2.4999999999999999E-7</v>
      </c>
      <c r="BC30">
        <f t="shared" si="2"/>
        <v>9.9999999999999995E-7</v>
      </c>
      <c r="BD30">
        <f t="shared" si="2"/>
        <v>3.9999999999999998E-6</v>
      </c>
      <c r="BE30">
        <f t="shared" si="2"/>
        <v>2.5000000000000001E-5</v>
      </c>
      <c r="BF30">
        <f t="shared" si="2"/>
        <v>1E-4</v>
      </c>
      <c r="BG30">
        <f t="shared" si="2"/>
        <v>4.0000000000000002E-4</v>
      </c>
      <c r="BH30">
        <f t="shared" si="2"/>
        <v>8.9999999999999998E-4</v>
      </c>
      <c r="BI30">
        <f t="shared" si="2"/>
        <v>1.6000000000000001E-3</v>
      </c>
      <c r="BJ30">
        <f t="shared" si="2"/>
        <v>2.5000000000000005E-3</v>
      </c>
    </row>
    <row r="31" spans="1:62">
      <c r="C31" s="174"/>
      <c r="D31" s="174"/>
      <c r="E31" s="174"/>
      <c r="F31" s="174"/>
      <c r="G31" s="174"/>
      <c r="H31" s="174"/>
      <c r="I31" s="174"/>
      <c r="J31" s="174"/>
      <c r="K31" s="174"/>
      <c r="L31" s="174"/>
      <c r="M31" s="174"/>
      <c r="N31" s="174"/>
      <c r="O31" s="174"/>
      <c r="P31" s="174"/>
      <c r="Q31" s="174"/>
      <c r="R31" s="174"/>
      <c r="S31" s="174"/>
      <c r="T31" s="174"/>
      <c r="U31" s="174"/>
      <c r="V31" s="174"/>
      <c r="W31" s="174"/>
      <c r="X31" s="174"/>
      <c r="Y31" s="174"/>
      <c r="Z31" s="174"/>
      <c r="AA31" s="174"/>
      <c r="AB31" s="174"/>
      <c r="AI31">
        <f t="shared" si="1"/>
        <v>0</v>
      </c>
      <c r="AJ31">
        <f t="shared" si="1"/>
        <v>0</v>
      </c>
      <c r="AK31">
        <f t="shared" si="1"/>
        <v>0</v>
      </c>
      <c r="AL31">
        <f t="shared" si="1"/>
        <v>0</v>
      </c>
      <c r="AM31">
        <f t="shared" si="1"/>
        <v>0</v>
      </c>
      <c r="AN31">
        <f t="shared" si="1"/>
        <v>0</v>
      </c>
      <c r="AO31">
        <f t="shared" si="1"/>
        <v>0</v>
      </c>
      <c r="AP31">
        <f t="shared" si="1"/>
        <v>0</v>
      </c>
      <c r="AQ31">
        <f t="shared" si="1"/>
        <v>0</v>
      </c>
      <c r="AR31">
        <f t="shared" si="1"/>
        <v>0</v>
      </c>
      <c r="AS31">
        <f t="shared" si="1"/>
        <v>0</v>
      </c>
      <c r="AT31">
        <f t="shared" si="1"/>
        <v>0</v>
      </c>
      <c r="AU31">
        <f t="shared" si="1"/>
        <v>0</v>
      </c>
      <c r="AV31">
        <f t="shared" si="2"/>
        <v>0</v>
      </c>
      <c r="AW31">
        <f t="shared" si="2"/>
        <v>0</v>
      </c>
      <c r="AX31">
        <f t="shared" si="2"/>
        <v>0</v>
      </c>
      <c r="AY31">
        <f t="shared" si="2"/>
        <v>0</v>
      </c>
      <c r="AZ31">
        <f t="shared" si="2"/>
        <v>0</v>
      </c>
      <c r="BA31">
        <f t="shared" si="2"/>
        <v>0</v>
      </c>
      <c r="BB31">
        <f t="shared" si="2"/>
        <v>0</v>
      </c>
      <c r="BC31">
        <f t="shared" si="2"/>
        <v>0</v>
      </c>
      <c r="BD31">
        <f t="shared" si="2"/>
        <v>0</v>
      </c>
      <c r="BE31">
        <f t="shared" si="2"/>
        <v>0</v>
      </c>
      <c r="BF31">
        <f t="shared" si="2"/>
        <v>0</v>
      </c>
      <c r="BG31">
        <f t="shared" si="2"/>
        <v>0</v>
      </c>
      <c r="BH31">
        <f t="shared" si="2"/>
        <v>0</v>
      </c>
      <c r="BI31">
        <f t="shared" si="2"/>
        <v>0</v>
      </c>
      <c r="BJ31">
        <f t="shared" si="2"/>
        <v>0</v>
      </c>
    </row>
    <row r="32" spans="1:62">
      <c r="A32" s="175" t="s">
        <v>996</v>
      </c>
      <c r="B32" t="s">
        <v>997</v>
      </c>
      <c r="C32" s="174">
        <v>2.9999999999999997E-4</v>
      </c>
      <c r="D32" s="174">
        <v>2.9999999999999997E-4</v>
      </c>
      <c r="E32" s="174">
        <v>2.9999999999999997E-4</v>
      </c>
      <c r="F32" s="174">
        <v>2.9999999999999997E-4</v>
      </c>
      <c r="G32" s="174">
        <v>2.9999999999999997E-4</v>
      </c>
      <c r="H32" s="174">
        <v>2.9999999999999997E-4</v>
      </c>
      <c r="I32" s="174">
        <v>2.9999999999999997E-4</v>
      </c>
      <c r="J32" s="174">
        <v>2.9999999999999997E-4</v>
      </c>
      <c r="K32" s="174">
        <v>2.9999999999999997E-4</v>
      </c>
      <c r="L32" s="174">
        <v>2.9999999999999997E-4</v>
      </c>
      <c r="M32" s="174">
        <v>2.9999999999999997E-4</v>
      </c>
      <c r="N32" s="174">
        <v>2.9999999999999997E-4</v>
      </c>
      <c r="O32" s="174">
        <v>2.9999999999999997E-4</v>
      </c>
      <c r="P32" s="174">
        <v>5.0000000000000001E-4</v>
      </c>
      <c r="Q32" s="174">
        <v>5.0000000000000001E-4</v>
      </c>
      <c r="R32" s="174">
        <v>5.0000000000000001E-4</v>
      </c>
      <c r="S32" s="174">
        <v>5.0000000000000001E-4</v>
      </c>
      <c r="T32" s="174">
        <v>5.0000000000000001E-4</v>
      </c>
      <c r="U32" s="174">
        <v>5.0000000000000001E-4</v>
      </c>
      <c r="V32" s="174">
        <v>5.0000000000000001E-4</v>
      </c>
      <c r="W32" s="174">
        <v>5.0000000000000001E-4</v>
      </c>
      <c r="X32" s="174">
        <v>8.0000000000000004E-4</v>
      </c>
      <c r="Y32" s="174">
        <v>8.0000000000000004E-4</v>
      </c>
      <c r="Z32" s="174">
        <v>1E-3</v>
      </c>
      <c r="AA32" s="174">
        <v>1E-3</v>
      </c>
      <c r="AB32" s="174">
        <v>1E-3</v>
      </c>
      <c r="AC32">
        <v>1.5E-3</v>
      </c>
      <c r="AD32">
        <v>2E-3</v>
      </c>
      <c r="AI32">
        <f t="shared" si="1"/>
        <v>8.9999999999999985E-8</v>
      </c>
      <c r="AJ32">
        <f t="shared" si="1"/>
        <v>8.9999999999999985E-8</v>
      </c>
      <c r="AK32">
        <f t="shared" si="1"/>
        <v>8.9999999999999985E-8</v>
      </c>
      <c r="AL32">
        <f t="shared" si="1"/>
        <v>8.9999999999999985E-8</v>
      </c>
      <c r="AM32">
        <f t="shared" si="1"/>
        <v>8.9999999999999985E-8</v>
      </c>
      <c r="AN32">
        <f t="shared" si="1"/>
        <v>8.9999999999999985E-8</v>
      </c>
      <c r="AO32">
        <f t="shared" si="1"/>
        <v>8.9999999999999985E-8</v>
      </c>
      <c r="AP32">
        <f t="shared" si="1"/>
        <v>8.9999999999999985E-8</v>
      </c>
      <c r="AQ32">
        <f t="shared" si="1"/>
        <v>8.9999999999999985E-8</v>
      </c>
      <c r="AR32">
        <f t="shared" si="1"/>
        <v>8.9999999999999985E-8</v>
      </c>
      <c r="AS32">
        <f t="shared" si="1"/>
        <v>8.9999999999999985E-8</v>
      </c>
      <c r="AT32">
        <f t="shared" si="1"/>
        <v>8.9999999999999985E-8</v>
      </c>
      <c r="AU32">
        <f t="shared" si="1"/>
        <v>8.9999999999999985E-8</v>
      </c>
      <c r="AV32">
        <f t="shared" si="2"/>
        <v>2.4999999999999999E-7</v>
      </c>
      <c r="AW32">
        <f t="shared" si="2"/>
        <v>2.4999999999999999E-7</v>
      </c>
      <c r="AX32">
        <f t="shared" si="2"/>
        <v>2.4999999999999999E-7</v>
      </c>
      <c r="AY32">
        <f t="shared" si="2"/>
        <v>2.4999999999999999E-7</v>
      </c>
      <c r="AZ32">
        <f t="shared" si="2"/>
        <v>2.4999999999999999E-7</v>
      </c>
      <c r="BA32">
        <f t="shared" si="2"/>
        <v>2.4999999999999999E-7</v>
      </c>
      <c r="BB32">
        <f t="shared" si="2"/>
        <v>2.4999999999999999E-7</v>
      </c>
      <c r="BC32">
        <f t="shared" si="2"/>
        <v>2.4999999999999999E-7</v>
      </c>
      <c r="BD32">
        <f t="shared" si="2"/>
        <v>6.4000000000000001E-7</v>
      </c>
      <c r="BE32">
        <f t="shared" si="2"/>
        <v>6.4000000000000001E-7</v>
      </c>
      <c r="BF32">
        <f t="shared" si="2"/>
        <v>9.9999999999999995E-7</v>
      </c>
      <c r="BG32">
        <f t="shared" si="2"/>
        <v>9.9999999999999995E-7</v>
      </c>
      <c r="BH32">
        <f t="shared" si="2"/>
        <v>9.9999999999999995E-7</v>
      </c>
      <c r="BI32">
        <f t="shared" si="2"/>
        <v>2.2500000000000001E-6</v>
      </c>
      <c r="BJ32">
        <f t="shared" si="2"/>
        <v>3.9999999999999998E-6</v>
      </c>
    </row>
    <row r="33" spans="1:62">
      <c r="B33" t="s">
        <v>37</v>
      </c>
      <c r="C33" s="174">
        <v>4.9999999999990059E-4</v>
      </c>
      <c r="D33" s="174">
        <v>4.9999999999990059E-4</v>
      </c>
      <c r="E33" s="174">
        <v>4.9999999999990059E-4</v>
      </c>
      <c r="F33" s="174">
        <v>3.9999999999977835E-4</v>
      </c>
      <c r="G33" s="174">
        <v>3.0000000000001141E-4</v>
      </c>
      <c r="H33" s="174">
        <v>3.9999999999977835E-4</v>
      </c>
      <c r="I33" s="174">
        <v>4.0000000000013359E-4</v>
      </c>
      <c r="J33" s="174">
        <v>3.0000000000001141E-4</v>
      </c>
      <c r="K33" s="174">
        <v>3.0000000000001141E-4</v>
      </c>
      <c r="L33" s="174">
        <v>3.0000000000001141E-4</v>
      </c>
      <c r="M33" s="174">
        <v>3.0000000000001141E-4</v>
      </c>
      <c r="N33" s="174">
        <v>3.0000000000001141E-4</v>
      </c>
      <c r="O33" s="174">
        <v>1.9999999999988918E-4</v>
      </c>
      <c r="P33" s="174">
        <v>3.0000000000001141E-4</v>
      </c>
      <c r="Q33" s="174">
        <v>3.0000000000001141E-4</v>
      </c>
      <c r="R33" s="174">
        <v>3.0000000000001141E-4</v>
      </c>
      <c r="S33" s="174">
        <v>1.9999999999988918E-4</v>
      </c>
      <c r="T33" s="174">
        <v>3.0000000000001141E-4</v>
      </c>
      <c r="U33" s="174">
        <v>3.0000000000001141E-4</v>
      </c>
      <c r="V33" s="174">
        <v>3.9999999999977835E-4</v>
      </c>
      <c r="W33" s="174">
        <v>5.0000000000025577E-4</v>
      </c>
      <c r="X33" s="174">
        <v>7.0000000000014495E-4</v>
      </c>
      <c r="Y33" s="174">
        <v>1.0000000000001564E-3</v>
      </c>
      <c r="Z33" s="174">
        <v>1.5000000000000568E-3</v>
      </c>
      <c r="AA33" s="174">
        <v>2.2999999999999687E-3</v>
      </c>
      <c r="AB33" s="174">
        <v>3.6000000000001365E-3</v>
      </c>
      <c r="AC33" s="174">
        <v>5.5999999999997389E-3</v>
      </c>
      <c r="AD33" s="174">
        <v>9.6000000000000096E-3</v>
      </c>
      <c r="AI33">
        <f t="shared" si="1"/>
        <v>2.4999999999990057E-7</v>
      </c>
      <c r="AJ33">
        <f t="shared" si="1"/>
        <v>2.4999999999990057E-7</v>
      </c>
      <c r="AK33">
        <f t="shared" si="1"/>
        <v>2.4999999999990057E-7</v>
      </c>
      <c r="AL33">
        <f t="shared" si="1"/>
        <v>1.5999999999982268E-7</v>
      </c>
      <c r="AM33">
        <f t="shared" si="1"/>
        <v>9.0000000000006841E-8</v>
      </c>
      <c r="AN33">
        <f t="shared" si="1"/>
        <v>1.5999999999982268E-7</v>
      </c>
      <c r="AO33">
        <f t="shared" si="1"/>
        <v>1.6000000000010686E-7</v>
      </c>
      <c r="AP33">
        <f t="shared" si="1"/>
        <v>9.0000000000006841E-8</v>
      </c>
      <c r="AQ33">
        <f t="shared" si="1"/>
        <v>9.0000000000006841E-8</v>
      </c>
      <c r="AR33">
        <f t="shared" si="1"/>
        <v>9.0000000000006841E-8</v>
      </c>
      <c r="AS33">
        <f t="shared" si="1"/>
        <v>9.0000000000006841E-8</v>
      </c>
      <c r="AT33">
        <f t="shared" si="1"/>
        <v>9.0000000000006841E-8</v>
      </c>
      <c r="AU33">
        <f t="shared" si="1"/>
        <v>3.9999999999955671E-8</v>
      </c>
      <c r="AV33">
        <f t="shared" si="1"/>
        <v>9.0000000000006841E-8</v>
      </c>
      <c r="AW33">
        <f t="shared" si="1"/>
        <v>9.0000000000006841E-8</v>
      </c>
      <c r="AX33">
        <f t="shared" si="1"/>
        <v>9.0000000000006841E-8</v>
      </c>
      <c r="AY33">
        <f t="shared" ref="AY33:BJ47" si="3">S33^2</f>
        <v>3.9999999999955671E-8</v>
      </c>
      <c r="AZ33">
        <f t="shared" si="3"/>
        <v>9.0000000000006841E-8</v>
      </c>
      <c r="BA33">
        <f t="shared" si="3"/>
        <v>9.0000000000006841E-8</v>
      </c>
      <c r="BB33">
        <f t="shared" si="3"/>
        <v>1.5999999999982268E-7</v>
      </c>
      <c r="BC33">
        <f t="shared" si="3"/>
        <v>2.5000000000025579E-7</v>
      </c>
      <c r="BD33">
        <f t="shared" si="3"/>
        <v>4.9000000000020294E-7</v>
      </c>
      <c r="BE33">
        <f t="shared" si="3"/>
        <v>1.0000000000003127E-6</v>
      </c>
      <c r="BF33">
        <f t="shared" si="3"/>
        <v>2.2500000000001707E-6</v>
      </c>
      <c r="BG33">
        <f t="shared" si="3"/>
        <v>5.2899999999998562E-6</v>
      </c>
      <c r="BH33">
        <f t="shared" si="3"/>
        <v>1.2960000000000982E-5</v>
      </c>
      <c r="BI33">
        <f t="shared" si="3"/>
        <v>3.1359999999997077E-5</v>
      </c>
      <c r="BJ33">
        <f t="shared" si="3"/>
        <v>9.2160000000000188E-5</v>
      </c>
    </row>
    <row r="34" spans="1:62">
      <c r="B34" t="s">
        <v>998</v>
      </c>
      <c r="C34">
        <v>6.2999999999998838E-3</v>
      </c>
      <c r="D34">
        <v>6.2000000000001169E-3</v>
      </c>
      <c r="E34">
        <v>6.2000000000001169E-3</v>
      </c>
      <c r="F34">
        <v>6.2000000000001169E-3</v>
      </c>
      <c r="G34">
        <v>6.2000000000001169E-3</v>
      </c>
      <c r="H34">
        <v>6.0999999999999943E-3</v>
      </c>
      <c r="I34">
        <v>6.0999999999999943E-3</v>
      </c>
      <c r="J34">
        <v>6.0999999999999943E-3</v>
      </c>
      <c r="K34">
        <v>6.0999999999999943E-3</v>
      </c>
      <c r="L34">
        <v>6.0999999999999943E-3</v>
      </c>
      <c r="M34">
        <v>6.0000000000002274E-3</v>
      </c>
      <c r="N34">
        <v>5.9999999999998726E-3</v>
      </c>
      <c r="O34">
        <v>6.0999999999999943E-3</v>
      </c>
      <c r="P34">
        <v>5.9999999999998726E-3</v>
      </c>
      <c r="Q34">
        <v>5.9999999999998726E-3</v>
      </c>
      <c r="R34">
        <v>5.9999999999998726E-3</v>
      </c>
      <c r="S34">
        <v>6.0000000000002274E-3</v>
      </c>
      <c r="T34">
        <v>5.9000000000001057E-3</v>
      </c>
      <c r="U34" s="174">
        <v>5.9999999999998726E-3</v>
      </c>
      <c r="V34" s="174">
        <v>6.0000000000002274E-3</v>
      </c>
      <c r="W34" s="174">
        <v>5.9999999999998726E-3</v>
      </c>
      <c r="X34" s="174">
        <v>5.9999999999998726E-3</v>
      </c>
      <c r="Y34" s="174">
        <v>5.9999999999998726E-3</v>
      </c>
      <c r="Z34" s="174">
        <v>6.0999999999999943E-3</v>
      </c>
      <c r="AA34" s="174">
        <v>6.1999999999997613E-3</v>
      </c>
      <c r="AB34" s="174">
        <v>6.2999999999998838E-3</v>
      </c>
      <c r="AC34">
        <v>6.4000000000000064E-3</v>
      </c>
      <c r="AD34">
        <v>6.2000000000001169E-3</v>
      </c>
      <c r="AI34">
        <f t="shared" si="1"/>
        <v>3.9689999999998537E-5</v>
      </c>
      <c r="AJ34">
        <f t="shared" si="1"/>
        <v>3.8440000000001448E-5</v>
      </c>
      <c r="AK34">
        <f t="shared" si="1"/>
        <v>3.8440000000001448E-5</v>
      </c>
      <c r="AL34">
        <f t="shared" si="1"/>
        <v>3.8440000000001448E-5</v>
      </c>
      <c r="AM34">
        <f t="shared" si="1"/>
        <v>3.8440000000001448E-5</v>
      </c>
      <c r="AN34">
        <f t="shared" si="1"/>
        <v>3.720999999999993E-5</v>
      </c>
      <c r="AO34">
        <f t="shared" si="1"/>
        <v>3.720999999999993E-5</v>
      </c>
      <c r="AP34">
        <f t="shared" si="1"/>
        <v>3.720999999999993E-5</v>
      </c>
      <c r="AQ34">
        <f t="shared" si="1"/>
        <v>3.720999999999993E-5</v>
      </c>
      <c r="AR34">
        <f t="shared" si="1"/>
        <v>3.720999999999993E-5</v>
      </c>
      <c r="AS34">
        <f t="shared" si="1"/>
        <v>3.6000000000002732E-5</v>
      </c>
      <c r="AT34">
        <f t="shared" si="1"/>
        <v>3.5999999999998469E-5</v>
      </c>
      <c r="AU34">
        <f t="shared" si="1"/>
        <v>3.720999999999993E-5</v>
      </c>
      <c r="AV34">
        <f t="shared" si="1"/>
        <v>3.5999999999998469E-5</v>
      </c>
      <c r="AW34">
        <f t="shared" si="1"/>
        <v>3.5999999999998469E-5</v>
      </c>
      <c r="AX34">
        <f t="shared" si="1"/>
        <v>3.5999999999998469E-5</v>
      </c>
      <c r="AY34">
        <f t="shared" si="3"/>
        <v>3.6000000000002732E-5</v>
      </c>
      <c r="AZ34">
        <f t="shared" si="3"/>
        <v>3.4810000000001247E-5</v>
      </c>
      <c r="BA34">
        <f t="shared" si="3"/>
        <v>3.5999999999998469E-5</v>
      </c>
      <c r="BB34">
        <f t="shared" si="3"/>
        <v>3.6000000000002732E-5</v>
      </c>
      <c r="BC34">
        <f t="shared" si="3"/>
        <v>3.5999999999998469E-5</v>
      </c>
      <c r="BD34">
        <f t="shared" si="3"/>
        <v>3.5999999999998469E-5</v>
      </c>
      <c r="BE34">
        <f t="shared" si="3"/>
        <v>3.5999999999998469E-5</v>
      </c>
      <c r="BF34">
        <f t="shared" si="3"/>
        <v>3.720999999999993E-5</v>
      </c>
      <c r="BG34">
        <f t="shared" si="3"/>
        <v>3.8439999999997037E-5</v>
      </c>
      <c r="BH34">
        <f t="shared" si="3"/>
        <v>3.9689999999998537E-5</v>
      </c>
      <c r="BI34">
        <f t="shared" si="3"/>
        <v>4.0960000000000082E-5</v>
      </c>
      <c r="BJ34">
        <f t="shared" si="3"/>
        <v>3.8440000000001448E-5</v>
      </c>
    </row>
    <row r="35" spans="1:62">
      <c r="C35" s="174"/>
      <c r="D35" s="174"/>
      <c r="E35" s="174"/>
      <c r="F35" s="174"/>
      <c r="G35" s="174"/>
      <c r="H35" s="174"/>
      <c r="I35" s="174"/>
      <c r="J35" s="174"/>
      <c r="K35" s="174"/>
      <c r="L35" s="174"/>
      <c r="M35" s="174"/>
      <c r="N35" s="174"/>
      <c r="O35" s="174"/>
      <c r="P35" s="174"/>
      <c r="Q35" s="174"/>
      <c r="R35" s="174"/>
      <c r="S35" s="174"/>
      <c r="T35" s="174"/>
      <c r="U35" s="174"/>
      <c r="V35" s="174"/>
      <c r="W35" s="174"/>
      <c r="X35" s="174"/>
      <c r="Y35" s="174"/>
      <c r="Z35" s="174"/>
      <c r="AA35" s="174"/>
      <c r="AB35" s="174"/>
      <c r="AC35" s="174"/>
      <c r="AD35" s="174"/>
      <c r="AI35">
        <f t="shared" si="1"/>
        <v>0</v>
      </c>
      <c r="AJ35">
        <f t="shared" si="1"/>
        <v>0</v>
      </c>
      <c r="AK35">
        <f t="shared" si="1"/>
        <v>0</v>
      </c>
      <c r="AL35">
        <f t="shared" si="1"/>
        <v>0</v>
      </c>
      <c r="AM35">
        <f t="shared" si="1"/>
        <v>0</v>
      </c>
      <c r="AN35">
        <f t="shared" si="1"/>
        <v>0</v>
      </c>
      <c r="AO35">
        <f t="shared" ref="AO35:BC47" si="4">I35^2</f>
        <v>0</v>
      </c>
      <c r="AP35">
        <f t="shared" si="4"/>
        <v>0</v>
      </c>
      <c r="AQ35">
        <f t="shared" si="4"/>
        <v>0</v>
      </c>
      <c r="AR35">
        <f t="shared" si="4"/>
        <v>0</v>
      </c>
      <c r="AS35">
        <f t="shared" si="4"/>
        <v>0</v>
      </c>
      <c r="AT35">
        <f t="shared" si="4"/>
        <v>0</v>
      </c>
      <c r="AU35">
        <f t="shared" si="4"/>
        <v>0</v>
      </c>
      <c r="AV35">
        <f t="shared" si="4"/>
        <v>0</v>
      </c>
      <c r="AW35">
        <f t="shared" si="4"/>
        <v>0</v>
      </c>
      <c r="AX35">
        <f t="shared" si="4"/>
        <v>0</v>
      </c>
      <c r="AY35">
        <f t="shared" si="3"/>
        <v>0</v>
      </c>
      <c r="AZ35">
        <f t="shared" si="3"/>
        <v>0</v>
      </c>
      <c r="BA35">
        <f t="shared" si="3"/>
        <v>0</v>
      </c>
      <c r="BB35">
        <f t="shared" si="3"/>
        <v>0</v>
      </c>
      <c r="BC35">
        <f t="shared" si="3"/>
        <v>0</v>
      </c>
      <c r="BD35">
        <f t="shared" si="3"/>
        <v>0</v>
      </c>
      <c r="BE35">
        <f t="shared" si="3"/>
        <v>0</v>
      </c>
      <c r="BF35">
        <f t="shared" si="3"/>
        <v>0</v>
      </c>
      <c r="BG35">
        <f t="shared" si="3"/>
        <v>0</v>
      </c>
      <c r="BH35">
        <f t="shared" si="3"/>
        <v>0</v>
      </c>
      <c r="BI35">
        <f t="shared" si="3"/>
        <v>0</v>
      </c>
      <c r="BJ35">
        <f t="shared" si="3"/>
        <v>0</v>
      </c>
    </row>
    <row r="36" spans="1:62">
      <c r="A36" t="s">
        <v>999</v>
      </c>
      <c r="B36" t="s">
        <v>994</v>
      </c>
      <c r="C36" s="174">
        <v>2.0000000000000001E-4</v>
      </c>
      <c r="D36" s="174">
        <v>2.0000000000000001E-4</v>
      </c>
      <c r="E36" s="174">
        <v>2.0000000000000001E-4</v>
      </c>
      <c r="F36" s="174">
        <v>2.0000000000000001E-4</v>
      </c>
      <c r="G36" s="174">
        <v>2.0000000000000001E-4</v>
      </c>
      <c r="H36" s="174">
        <v>2.0000000000000001E-4</v>
      </c>
      <c r="I36" s="174">
        <v>2.0000000000000001E-4</v>
      </c>
      <c r="J36" s="174">
        <v>2.0000000000000001E-4</v>
      </c>
      <c r="K36" s="174">
        <v>2.0000000000000001E-4</v>
      </c>
      <c r="L36" s="174">
        <v>2.0000000000000001E-4</v>
      </c>
      <c r="M36" s="174">
        <v>2.0000000000000001E-4</v>
      </c>
      <c r="N36" s="174">
        <v>2.0000000000000001E-4</v>
      </c>
      <c r="O36" s="174">
        <v>2.0000000000000001E-4</v>
      </c>
      <c r="P36" s="174">
        <v>2.0000000000000001E-4</v>
      </c>
      <c r="Q36" s="174">
        <v>2.0000000000000001E-4</v>
      </c>
      <c r="R36" s="174">
        <v>2.0000000000000001E-4</v>
      </c>
      <c r="S36" s="174">
        <v>2.0000000000000001E-4</v>
      </c>
      <c r="T36" s="174">
        <v>2.0000000000000001E-4</v>
      </c>
      <c r="U36" s="174">
        <v>2.0000000000000001E-4</v>
      </c>
      <c r="V36" s="174">
        <v>2.0000000000000001E-4</v>
      </c>
      <c r="W36" s="174">
        <v>2.0000000000000001E-4</v>
      </c>
      <c r="X36" s="174">
        <v>2.0000000000000001E-4</v>
      </c>
      <c r="Y36" s="174">
        <v>2.0000000000000001E-4</v>
      </c>
      <c r="Z36" s="174">
        <v>2.0000000000000001E-4</v>
      </c>
      <c r="AA36" s="174">
        <v>2.0000000000000001E-4</v>
      </c>
      <c r="AB36" s="174">
        <v>2.0000000000000001E-4</v>
      </c>
      <c r="AC36" s="174">
        <v>2.0000000000000001E-4</v>
      </c>
      <c r="AD36" s="174">
        <v>2.0000000000000001E-4</v>
      </c>
      <c r="AI36">
        <f t="shared" ref="AI36:AS47" si="5">C36^2</f>
        <v>4.0000000000000001E-8</v>
      </c>
      <c r="AJ36">
        <f t="shared" si="5"/>
        <v>4.0000000000000001E-8</v>
      </c>
      <c r="AK36">
        <f t="shared" si="5"/>
        <v>4.0000000000000001E-8</v>
      </c>
      <c r="AL36">
        <f t="shared" si="5"/>
        <v>4.0000000000000001E-8</v>
      </c>
      <c r="AM36">
        <f t="shared" si="5"/>
        <v>4.0000000000000001E-8</v>
      </c>
      <c r="AN36">
        <f t="shared" si="5"/>
        <v>4.0000000000000001E-8</v>
      </c>
      <c r="AO36">
        <f t="shared" si="4"/>
        <v>4.0000000000000001E-8</v>
      </c>
      <c r="AP36">
        <f t="shared" si="4"/>
        <v>4.0000000000000001E-8</v>
      </c>
      <c r="AQ36">
        <f t="shared" si="4"/>
        <v>4.0000000000000001E-8</v>
      </c>
      <c r="AR36">
        <f t="shared" si="4"/>
        <v>4.0000000000000001E-8</v>
      </c>
      <c r="AS36">
        <f t="shared" si="4"/>
        <v>4.0000000000000001E-8</v>
      </c>
      <c r="AT36">
        <f t="shared" si="4"/>
        <v>4.0000000000000001E-8</v>
      </c>
      <c r="AU36">
        <f t="shared" si="4"/>
        <v>4.0000000000000001E-8</v>
      </c>
      <c r="AV36">
        <f t="shared" si="4"/>
        <v>4.0000000000000001E-8</v>
      </c>
      <c r="AW36">
        <f t="shared" si="4"/>
        <v>4.0000000000000001E-8</v>
      </c>
      <c r="AX36">
        <f t="shared" si="4"/>
        <v>4.0000000000000001E-8</v>
      </c>
      <c r="AY36">
        <f t="shared" si="3"/>
        <v>4.0000000000000001E-8</v>
      </c>
      <c r="AZ36">
        <f t="shared" si="3"/>
        <v>4.0000000000000001E-8</v>
      </c>
      <c r="BA36">
        <f t="shared" si="3"/>
        <v>4.0000000000000001E-8</v>
      </c>
      <c r="BB36">
        <f t="shared" si="3"/>
        <v>4.0000000000000001E-8</v>
      </c>
      <c r="BC36">
        <f t="shared" si="3"/>
        <v>4.0000000000000001E-8</v>
      </c>
      <c r="BD36">
        <f t="shared" si="3"/>
        <v>4.0000000000000001E-8</v>
      </c>
      <c r="BE36">
        <f t="shared" si="3"/>
        <v>4.0000000000000001E-8</v>
      </c>
      <c r="BF36">
        <f t="shared" si="3"/>
        <v>4.0000000000000001E-8</v>
      </c>
      <c r="BG36">
        <f t="shared" si="3"/>
        <v>4.0000000000000001E-8</v>
      </c>
      <c r="BH36">
        <f t="shared" si="3"/>
        <v>4.0000000000000001E-8</v>
      </c>
      <c r="BI36">
        <f t="shared" si="3"/>
        <v>4.0000000000000001E-8</v>
      </c>
      <c r="BJ36">
        <f t="shared" si="3"/>
        <v>4.0000000000000001E-8</v>
      </c>
    </row>
    <row r="37" spans="1:62">
      <c r="C37" s="174"/>
      <c r="D37" s="174"/>
      <c r="E37" s="174"/>
      <c r="F37" s="174"/>
      <c r="G37" s="174"/>
      <c r="H37" s="174"/>
      <c r="I37" s="174"/>
      <c r="J37" s="174"/>
      <c r="K37" s="174"/>
      <c r="L37" s="174"/>
      <c r="M37" s="174"/>
      <c r="N37" s="174"/>
      <c r="O37" s="174"/>
      <c r="P37" s="174"/>
      <c r="Q37" s="174"/>
      <c r="R37" s="174"/>
      <c r="S37" s="174"/>
      <c r="T37" s="174"/>
      <c r="U37" s="174"/>
      <c r="V37" s="174"/>
      <c r="W37" s="174"/>
      <c r="X37" s="174"/>
      <c r="Y37" s="174"/>
      <c r="Z37" s="174"/>
      <c r="AA37" s="174"/>
      <c r="AB37" s="174"/>
      <c r="AC37" s="174"/>
      <c r="AD37" s="174"/>
      <c r="AI37">
        <f t="shared" si="5"/>
        <v>0</v>
      </c>
      <c r="AJ37">
        <f t="shared" si="5"/>
        <v>0</v>
      </c>
      <c r="AK37">
        <f t="shared" si="5"/>
        <v>0</v>
      </c>
      <c r="AL37">
        <f t="shared" si="5"/>
        <v>0</v>
      </c>
      <c r="AM37">
        <f t="shared" si="5"/>
        <v>0</v>
      </c>
      <c r="AN37">
        <f t="shared" si="5"/>
        <v>0</v>
      </c>
      <c r="AO37">
        <f t="shared" si="4"/>
        <v>0</v>
      </c>
      <c r="AP37">
        <f t="shared" si="4"/>
        <v>0</v>
      </c>
      <c r="AQ37">
        <f t="shared" si="4"/>
        <v>0</v>
      </c>
      <c r="AR37">
        <f t="shared" si="4"/>
        <v>0</v>
      </c>
      <c r="AS37">
        <f t="shared" si="4"/>
        <v>0</v>
      </c>
      <c r="AT37">
        <f t="shared" si="4"/>
        <v>0</v>
      </c>
      <c r="AU37">
        <f t="shared" si="4"/>
        <v>0</v>
      </c>
      <c r="AV37">
        <f t="shared" si="4"/>
        <v>0</v>
      </c>
      <c r="AW37">
        <f t="shared" si="4"/>
        <v>0</v>
      </c>
      <c r="AX37">
        <f t="shared" si="4"/>
        <v>0</v>
      </c>
      <c r="AY37">
        <f t="shared" si="3"/>
        <v>0</v>
      </c>
      <c r="AZ37">
        <f t="shared" si="3"/>
        <v>0</v>
      </c>
      <c r="BA37">
        <f t="shared" si="3"/>
        <v>0</v>
      </c>
      <c r="BB37">
        <f t="shared" si="3"/>
        <v>0</v>
      </c>
      <c r="BC37">
        <f t="shared" si="3"/>
        <v>0</v>
      </c>
      <c r="BD37">
        <f t="shared" si="3"/>
        <v>0</v>
      </c>
      <c r="BE37">
        <f t="shared" si="3"/>
        <v>0</v>
      </c>
      <c r="BF37">
        <f t="shared" si="3"/>
        <v>0</v>
      </c>
      <c r="BG37">
        <f t="shared" si="3"/>
        <v>0</v>
      </c>
      <c r="BH37">
        <f t="shared" si="3"/>
        <v>0</v>
      </c>
      <c r="BI37">
        <f t="shared" si="3"/>
        <v>0</v>
      </c>
      <c r="BJ37">
        <f t="shared" si="3"/>
        <v>0</v>
      </c>
    </row>
    <row r="38" spans="1:62">
      <c r="A38" t="s">
        <v>1000</v>
      </c>
      <c r="B38" t="s">
        <v>1001</v>
      </c>
      <c r="C38" s="174">
        <v>1.1999999999999999E-3</v>
      </c>
      <c r="D38" s="174">
        <v>1.1999999999999999E-3</v>
      </c>
      <c r="E38" s="174">
        <v>1.1999999999999999E-3</v>
      </c>
      <c r="F38" s="174">
        <v>1.1999999999999999E-3</v>
      </c>
      <c r="G38" s="174">
        <v>1.1999999999999999E-3</v>
      </c>
      <c r="H38" s="174">
        <v>1.1999999999999999E-3</v>
      </c>
      <c r="I38" s="174">
        <v>1.1999999999999999E-3</v>
      </c>
      <c r="J38" s="174">
        <v>1.1999999999999999E-3</v>
      </c>
      <c r="K38" s="174">
        <v>1.1999999999999999E-3</v>
      </c>
      <c r="L38" s="174">
        <v>1.1999999999999999E-3</v>
      </c>
      <c r="M38" s="174">
        <v>1.1999999999999999E-3</v>
      </c>
      <c r="N38" s="174">
        <v>1.1999999999999999E-3</v>
      </c>
      <c r="O38" s="174">
        <v>1.1999999999999999E-3</v>
      </c>
      <c r="P38" s="174">
        <v>1.1999999999999999E-3</v>
      </c>
      <c r="Q38" s="174">
        <v>1.1999999999999999E-3</v>
      </c>
      <c r="R38" s="174">
        <v>1.1999999999999999E-3</v>
      </c>
      <c r="S38" s="174">
        <v>1.1999999999999999E-3</v>
      </c>
      <c r="T38" s="174">
        <v>1.1999999999999999E-3</v>
      </c>
      <c r="U38" s="174">
        <v>1.1999999999999999E-3</v>
      </c>
      <c r="V38" s="174">
        <v>1.1999999999999999E-3</v>
      </c>
      <c r="W38" s="174">
        <v>1.1999999999999999E-3</v>
      </c>
      <c r="X38" s="174">
        <v>1.1999999999999999E-3</v>
      </c>
      <c r="Y38" s="174">
        <v>1.1999999999999999E-3</v>
      </c>
      <c r="Z38" s="174">
        <v>1.1999999999999999E-3</v>
      </c>
      <c r="AA38" s="174">
        <v>1.1999999999999999E-3</v>
      </c>
      <c r="AB38" s="174">
        <v>1.1999999999999999E-3</v>
      </c>
      <c r="AC38" s="174">
        <v>1.1999999999999999E-3</v>
      </c>
      <c r="AD38" s="174">
        <v>1.1999999999999999E-3</v>
      </c>
      <c r="AI38">
        <f t="shared" si="5"/>
        <v>1.4399999999999998E-6</v>
      </c>
      <c r="AJ38">
        <f t="shared" si="5"/>
        <v>1.4399999999999998E-6</v>
      </c>
      <c r="AK38">
        <f t="shared" si="5"/>
        <v>1.4399999999999998E-6</v>
      </c>
      <c r="AL38">
        <f t="shared" si="5"/>
        <v>1.4399999999999998E-6</v>
      </c>
      <c r="AM38">
        <f t="shared" si="5"/>
        <v>1.4399999999999998E-6</v>
      </c>
      <c r="AN38">
        <f t="shared" si="5"/>
        <v>1.4399999999999998E-6</v>
      </c>
      <c r="AO38">
        <f t="shared" si="4"/>
        <v>1.4399999999999998E-6</v>
      </c>
      <c r="AP38">
        <f t="shared" si="4"/>
        <v>1.4399999999999998E-6</v>
      </c>
      <c r="AQ38">
        <f t="shared" si="4"/>
        <v>1.4399999999999998E-6</v>
      </c>
      <c r="AR38">
        <f t="shared" si="4"/>
        <v>1.4399999999999998E-6</v>
      </c>
      <c r="AS38">
        <f t="shared" si="4"/>
        <v>1.4399999999999998E-6</v>
      </c>
      <c r="AT38">
        <f t="shared" si="4"/>
        <v>1.4399999999999998E-6</v>
      </c>
      <c r="AU38">
        <f t="shared" si="4"/>
        <v>1.4399999999999998E-6</v>
      </c>
      <c r="AV38">
        <f t="shared" si="4"/>
        <v>1.4399999999999998E-6</v>
      </c>
      <c r="AW38">
        <f t="shared" si="4"/>
        <v>1.4399999999999998E-6</v>
      </c>
      <c r="AX38">
        <f t="shared" si="4"/>
        <v>1.4399999999999998E-6</v>
      </c>
      <c r="AY38">
        <f t="shared" si="3"/>
        <v>1.4399999999999998E-6</v>
      </c>
      <c r="AZ38">
        <f t="shared" si="3"/>
        <v>1.4399999999999998E-6</v>
      </c>
      <c r="BA38">
        <f t="shared" si="3"/>
        <v>1.4399999999999998E-6</v>
      </c>
      <c r="BB38">
        <f t="shared" si="3"/>
        <v>1.4399999999999998E-6</v>
      </c>
      <c r="BC38">
        <f t="shared" si="3"/>
        <v>1.4399999999999998E-6</v>
      </c>
      <c r="BD38">
        <f t="shared" si="3"/>
        <v>1.4399999999999998E-6</v>
      </c>
      <c r="BE38">
        <f t="shared" si="3"/>
        <v>1.4399999999999998E-6</v>
      </c>
      <c r="BF38">
        <f t="shared" si="3"/>
        <v>1.4399999999999998E-6</v>
      </c>
      <c r="BG38">
        <f t="shared" si="3"/>
        <v>1.4399999999999998E-6</v>
      </c>
      <c r="BH38">
        <f t="shared" si="3"/>
        <v>1.4399999999999998E-6</v>
      </c>
      <c r="BI38">
        <f t="shared" si="3"/>
        <v>1.4399999999999998E-6</v>
      </c>
      <c r="BJ38">
        <f t="shared" si="3"/>
        <v>1.4399999999999998E-6</v>
      </c>
    </row>
    <row r="39" spans="1:62">
      <c r="B39" t="s">
        <v>1002</v>
      </c>
      <c r="C39" s="174">
        <v>2.2000000000000001E-3</v>
      </c>
      <c r="D39" s="174">
        <v>2.2000000000000001E-3</v>
      </c>
      <c r="E39" s="174">
        <v>2.2000000000000001E-3</v>
      </c>
      <c r="F39" s="174">
        <v>2.2000000000000001E-3</v>
      </c>
      <c r="G39" s="174">
        <v>2.2000000000000001E-3</v>
      </c>
      <c r="H39" s="174">
        <v>2.2000000000000001E-3</v>
      </c>
      <c r="I39" s="174">
        <v>2.2000000000000001E-3</v>
      </c>
      <c r="J39" s="174">
        <v>2.2000000000000001E-3</v>
      </c>
      <c r="K39" s="174">
        <v>2.2000000000000001E-3</v>
      </c>
      <c r="L39" s="174">
        <v>2.2000000000000001E-3</v>
      </c>
      <c r="M39" s="174">
        <v>2.2000000000000001E-3</v>
      </c>
      <c r="N39" s="174">
        <v>2.2000000000000001E-3</v>
      </c>
      <c r="O39" s="174">
        <v>2.2000000000000001E-3</v>
      </c>
      <c r="P39" s="174">
        <v>2.2000000000000001E-3</v>
      </c>
      <c r="Q39" s="174">
        <v>2.2000000000000001E-3</v>
      </c>
      <c r="R39" s="174">
        <v>2.2000000000000001E-3</v>
      </c>
      <c r="S39" s="174">
        <v>2.2000000000000001E-3</v>
      </c>
      <c r="T39" s="174">
        <v>2.2000000000000001E-3</v>
      </c>
      <c r="U39" s="174">
        <v>2.2000000000000001E-3</v>
      </c>
      <c r="V39" s="174">
        <v>2.2000000000000001E-3</v>
      </c>
      <c r="W39" s="174">
        <v>2.2000000000000001E-3</v>
      </c>
      <c r="X39" s="174">
        <v>2.2000000000000001E-3</v>
      </c>
      <c r="Y39" s="174">
        <v>2.2000000000000001E-3</v>
      </c>
      <c r="Z39" s="174">
        <v>2.2000000000000001E-3</v>
      </c>
      <c r="AA39" s="174">
        <v>2.2000000000000001E-3</v>
      </c>
      <c r="AB39" s="174">
        <v>2.2000000000000001E-3</v>
      </c>
      <c r="AC39" s="174">
        <v>2.2000000000000001E-3</v>
      </c>
      <c r="AD39" s="174">
        <v>2.2000000000000001E-3</v>
      </c>
      <c r="AI39">
        <f t="shared" si="5"/>
        <v>4.8400000000000002E-6</v>
      </c>
      <c r="AJ39">
        <f t="shared" si="5"/>
        <v>4.8400000000000002E-6</v>
      </c>
      <c r="AK39">
        <f t="shared" si="5"/>
        <v>4.8400000000000002E-6</v>
      </c>
      <c r="AL39">
        <f t="shared" si="5"/>
        <v>4.8400000000000002E-6</v>
      </c>
      <c r="AM39">
        <f t="shared" si="5"/>
        <v>4.8400000000000002E-6</v>
      </c>
      <c r="AN39">
        <f t="shared" si="5"/>
        <v>4.8400000000000002E-6</v>
      </c>
      <c r="AO39">
        <f t="shared" si="4"/>
        <v>4.8400000000000002E-6</v>
      </c>
      <c r="AP39">
        <f t="shared" si="4"/>
        <v>4.8400000000000002E-6</v>
      </c>
      <c r="AQ39">
        <f t="shared" si="4"/>
        <v>4.8400000000000002E-6</v>
      </c>
      <c r="AR39">
        <f t="shared" si="4"/>
        <v>4.8400000000000002E-6</v>
      </c>
      <c r="AS39">
        <f t="shared" si="4"/>
        <v>4.8400000000000002E-6</v>
      </c>
      <c r="AT39">
        <f t="shared" si="4"/>
        <v>4.8400000000000002E-6</v>
      </c>
      <c r="AU39">
        <f t="shared" si="4"/>
        <v>4.8400000000000002E-6</v>
      </c>
      <c r="AV39">
        <f t="shared" si="4"/>
        <v>4.8400000000000002E-6</v>
      </c>
      <c r="AW39">
        <f t="shared" si="4"/>
        <v>4.8400000000000002E-6</v>
      </c>
      <c r="AX39">
        <f t="shared" si="4"/>
        <v>4.8400000000000002E-6</v>
      </c>
      <c r="AY39">
        <f t="shared" si="3"/>
        <v>4.8400000000000002E-6</v>
      </c>
      <c r="AZ39">
        <f t="shared" si="3"/>
        <v>4.8400000000000002E-6</v>
      </c>
      <c r="BA39">
        <f t="shared" si="3"/>
        <v>4.8400000000000002E-6</v>
      </c>
      <c r="BB39">
        <f t="shared" si="3"/>
        <v>4.8400000000000002E-6</v>
      </c>
      <c r="BC39">
        <f t="shared" si="3"/>
        <v>4.8400000000000002E-6</v>
      </c>
      <c r="BD39">
        <f t="shared" si="3"/>
        <v>4.8400000000000002E-6</v>
      </c>
      <c r="BE39">
        <f t="shared" si="3"/>
        <v>4.8400000000000002E-6</v>
      </c>
      <c r="BF39">
        <f t="shared" si="3"/>
        <v>4.8400000000000002E-6</v>
      </c>
      <c r="BG39">
        <f t="shared" si="3"/>
        <v>4.8400000000000002E-6</v>
      </c>
      <c r="BH39">
        <f t="shared" si="3"/>
        <v>4.8400000000000002E-6</v>
      </c>
      <c r="BI39">
        <f t="shared" si="3"/>
        <v>4.8400000000000002E-6</v>
      </c>
      <c r="BJ39">
        <f t="shared" si="3"/>
        <v>4.8400000000000002E-6</v>
      </c>
    </row>
    <row r="40" spans="1:62">
      <c r="C40" s="174"/>
      <c r="D40" s="174"/>
      <c r="E40" s="174"/>
      <c r="F40" s="174"/>
      <c r="G40" s="174"/>
      <c r="H40" s="174"/>
      <c r="I40" s="174"/>
      <c r="J40" s="174"/>
      <c r="K40" s="174"/>
      <c r="L40" s="174"/>
      <c r="M40" s="174"/>
      <c r="N40" s="174"/>
      <c r="O40" s="174"/>
      <c r="P40" s="174"/>
      <c r="Q40" s="174"/>
      <c r="R40" s="174"/>
      <c r="S40" s="174"/>
      <c r="T40" s="174"/>
      <c r="U40" s="174"/>
      <c r="V40" s="174"/>
      <c r="W40" s="174"/>
      <c r="X40" s="174"/>
      <c r="Y40" s="174"/>
      <c r="Z40" s="174"/>
      <c r="AA40" s="174"/>
      <c r="AB40" s="174"/>
      <c r="AC40" s="174"/>
      <c r="AD40" s="174"/>
      <c r="AI40">
        <f t="shared" si="5"/>
        <v>0</v>
      </c>
      <c r="AJ40">
        <f t="shared" si="5"/>
        <v>0</v>
      </c>
      <c r="AK40">
        <f t="shared" si="5"/>
        <v>0</v>
      </c>
      <c r="AL40">
        <f t="shared" si="5"/>
        <v>0</v>
      </c>
      <c r="AM40">
        <f t="shared" si="5"/>
        <v>0</v>
      </c>
      <c r="AN40">
        <f t="shared" si="5"/>
        <v>0</v>
      </c>
      <c r="AO40">
        <f t="shared" si="4"/>
        <v>0</v>
      </c>
      <c r="AP40">
        <f t="shared" si="4"/>
        <v>0</v>
      </c>
      <c r="AQ40">
        <f t="shared" si="4"/>
        <v>0</v>
      </c>
      <c r="AR40">
        <f t="shared" si="4"/>
        <v>0</v>
      </c>
      <c r="AS40">
        <f t="shared" si="4"/>
        <v>0</v>
      </c>
      <c r="AT40">
        <f t="shared" si="4"/>
        <v>0</v>
      </c>
      <c r="AU40">
        <f t="shared" si="4"/>
        <v>0</v>
      </c>
      <c r="AV40">
        <f t="shared" si="4"/>
        <v>0</v>
      </c>
      <c r="AW40">
        <f t="shared" si="4"/>
        <v>0</v>
      </c>
      <c r="AX40">
        <f t="shared" si="4"/>
        <v>0</v>
      </c>
      <c r="AY40">
        <f t="shared" si="3"/>
        <v>0</v>
      </c>
      <c r="AZ40">
        <f t="shared" si="3"/>
        <v>0</v>
      </c>
      <c r="BA40">
        <f t="shared" si="3"/>
        <v>0</v>
      </c>
      <c r="BB40">
        <f t="shared" si="3"/>
        <v>0</v>
      </c>
      <c r="BC40">
        <f t="shared" si="3"/>
        <v>0</v>
      </c>
      <c r="BD40">
        <f t="shared" si="3"/>
        <v>0</v>
      </c>
      <c r="BE40">
        <f t="shared" si="3"/>
        <v>0</v>
      </c>
      <c r="BF40">
        <f t="shared" si="3"/>
        <v>0</v>
      </c>
      <c r="BG40">
        <f t="shared" si="3"/>
        <v>0</v>
      </c>
      <c r="BH40">
        <f t="shared" si="3"/>
        <v>0</v>
      </c>
      <c r="BI40">
        <f t="shared" si="3"/>
        <v>0</v>
      </c>
      <c r="BJ40">
        <f t="shared" si="3"/>
        <v>0</v>
      </c>
    </row>
    <row r="41" spans="1:62">
      <c r="A41" t="s">
        <v>1003</v>
      </c>
      <c r="B41" s="175" t="s">
        <v>1004</v>
      </c>
      <c r="C41" s="174">
        <v>7.9999999999991189E-4</v>
      </c>
      <c r="D41" s="174">
        <v>7.9999999999991189E-4</v>
      </c>
      <c r="E41" s="174">
        <v>7.9999999999991189E-4</v>
      </c>
      <c r="F41" s="174">
        <v>8.0000000000026719E-4</v>
      </c>
      <c r="G41" s="174">
        <v>7.9999999999991189E-4</v>
      </c>
      <c r="H41" s="174">
        <v>8.0000000000026719E-4</v>
      </c>
      <c r="I41" s="174">
        <v>7.9999999999991189E-4</v>
      </c>
      <c r="J41" s="174">
        <v>7.9999999999991189E-4</v>
      </c>
      <c r="K41" s="174">
        <v>7.9999999999991189E-4</v>
      </c>
      <c r="L41" s="174">
        <v>7.9999999999991189E-4</v>
      </c>
      <c r="M41" s="174">
        <v>8.0000000000026719E-4</v>
      </c>
      <c r="N41" s="174">
        <v>7.9999999999991189E-4</v>
      </c>
      <c r="O41" s="174">
        <v>7.9999999999991189E-4</v>
      </c>
      <c r="P41" s="174">
        <v>7.9999999999991189E-4</v>
      </c>
      <c r="Q41" s="174">
        <v>7.9999999999991189E-4</v>
      </c>
      <c r="R41" s="174">
        <v>7.9999999999991189E-4</v>
      </c>
      <c r="S41" s="174">
        <v>8.0000000000026719E-4</v>
      </c>
      <c r="T41" s="174">
        <v>7.0000000000014495E-4</v>
      </c>
      <c r="U41" s="174">
        <v>7.9999999999991189E-4</v>
      </c>
      <c r="V41" s="174">
        <v>7.0000000000014495E-4</v>
      </c>
      <c r="W41" s="174">
        <v>6.9999999999978977E-4</v>
      </c>
      <c r="X41" s="174">
        <v>6.0000000000002282E-4</v>
      </c>
      <c r="Y41" s="174">
        <v>4.9999999999990059E-4</v>
      </c>
      <c r="Z41" s="174">
        <v>4.9999999999990059E-4</v>
      </c>
      <c r="AA41" s="174">
        <v>4.9999999999990059E-4</v>
      </c>
      <c r="AB41" s="174">
        <v>4.9999999999990059E-4</v>
      </c>
      <c r="AC41" s="174">
        <v>4.9999999999990059E-4</v>
      </c>
      <c r="AD41" s="174">
        <v>2E-3</v>
      </c>
      <c r="AI41">
        <f t="shared" si="5"/>
        <v>6.3999999999985898E-7</v>
      </c>
      <c r="AJ41">
        <f t="shared" si="5"/>
        <v>6.3999999999985898E-7</v>
      </c>
      <c r="AK41">
        <f t="shared" si="5"/>
        <v>6.3999999999985898E-7</v>
      </c>
      <c r="AL41">
        <f t="shared" si="5"/>
        <v>6.4000000000042745E-7</v>
      </c>
      <c r="AM41">
        <f t="shared" si="5"/>
        <v>6.3999999999985898E-7</v>
      </c>
      <c r="AN41">
        <f t="shared" si="5"/>
        <v>6.4000000000042745E-7</v>
      </c>
      <c r="AO41">
        <f t="shared" si="4"/>
        <v>6.3999999999985898E-7</v>
      </c>
      <c r="AP41">
        <f t="shared" si="4"/>
        <v>6.3999999999985898E-7</v>
      </c>
      <c r="AQ41">
        <f t="shared" si="4"/>
        <v>6.3999999999985898E-7</v>
      </c>
      <c r="AR41">
        <f t="shared" si="4"/>
        <v>6.3999999999985898E-7</v>
      </c>
      <c r="AS41">
        <f t="shared" si="4"/>
        <v>6.4000000000042745E-7</v>
      </c>
      <c r="AT41">
        <f t="shared" si="4"/>
        <v>6.3999999999985898E-7</v>
      </c>
      <c r="AU41">
        <f t="shared" si="4"/>
        <v>6.3999999999985898E-7</v>
      </c>
      <c r="AV41">
        <f t="shared" si="4"/>
        <v>6.3999999999985898E-7</v>
      </c>
      <c r="AW41">
        <f t="shared" si="4"/>
        <v>6.3999999999985898E-7</v>
      </c>
      <c r="AX41">
        <f t="shared" si="4"/>
        <v>6.3999999999985898E-7</v>
      </c>
      <c r="AY41">
        <f t="shared" si="3"/>
        <v>6.4000000000042745E-7</v>
      </c>
      <c r="AZ41">
        <f t="shared" si="3"/>
        <v>4.9000000000020294E-7</v>
      </c>
      <c r="BA41">
        <f t="shared" si="3"/>
        <v>6.3999999999985898E-7</v>
      </c>
      <c r="BB41">
        <f t="shared" si="3"/>
        <v>4.9000000000020294E-7</v>
      </c>
      <c r="BC41">
        <f t="shared" si="3"/>
        <v>4.8999999999970562E-7</v>
      </c>
      <c r="BD41">
        <f t="shared" si="3"/>
        <v>3.6000000000002736E-7</v>
      </c>
      <c r="BE41">
        <f t="shared" si="3"/>
        <v>2.4999999999990057E-7</v>
      </c>
      <c r="BF41">
        <f t="shared" si="3"/>
        <v>2.4999999999990057E-7</v>
      </c>
      <c r="BG41">
        <f t="shared" si="3"/>
        <v>2.4999999999990057E-7</v>
      </c>
      <c r="BH41">
        <f t="shared" si="3"/>
        <v>2.4999999999990057E-7</v>
      </c>
      <c r="BI41">
        <f t="shared" si="3"/>
        <v>2.4999999999990057E-7</v>
      </c>
      <c r="BJ41">
        <f t="shared" si="3"/>
        <v>3.9999999999999998E-6</v>
      </c>
    </row>
    <row r="42" spans="1:62">
      <c r="C42" s="174"/>
      <c r="D42" s="174"/>
      <c r="E42" s="174"/>
      <c r="F42" s="174"/>
      <c r="G42" s="174"/>
      <c r="H42" s="174"/>
      <c r="I42" s="174"/>
      <c r="J42" s="174"/>
      <c r="K42" s="174"/>
      <c r="L42" s="174"/>
      <c r="M42" s="174"/>
      <c r="N42" s="174"/>
      <c r="O42" s="174"/>
      <c r="P42" s="174"/>
      <c r="Q42" s="174"/>
      <c r="R42" s="174"/>
      <c r="S42" s="174"/>
      <c r="T42" s="174"/>
      <c r="U42" s="174"/>
      <c r="V42" s="174"/>
      <c r="W42" s="174"/>
      <c r="X42" s="174"/>
      <c r="Y42" s="174"/>
      <c r="Z42" s="174"/>
      <c r="AA42" s="174"/>
      <c r="AB42" s="174"/>
      <c r="AC42" s="174"/>
      <c r="AD42" s="174"/>
      <c r="AI42">
        <f t="shared" si="5"/>
        <v>0</v>
      </c>
      <c r="AJ42">
        <f t="shared" si="5"/>
        <v>0</v>
      </c>
      <c r="AK42">
        <f t="shared" si="5"/>
        <v>0</v>
      </c>
      <c r="AL42">
        <f t="shared" si="5"/>
        <v>0</v>
      </c>
      <c r="AM42">
        <f t="shared" si="5"/>
        <v>0</v>
      </c>
      <c r="AN42">
        <f t="shared" si="5"/>
        <v>0</v>
      </c>
      <c r="AO42">
        <f t="shared" si="4"/>
        <v>0</v>
      </c>
      <c r="AP42">
        <f t="shared" si="4"/>
        <v>0</v>
      </c>
      <c r="AQ42">
        <f t="shared" si="4"/>
        <v>0</v>
      </c>
      <c r="AR42">
        <f t="shared" si="4"/>
        <v>0</v>
      </c>
      <c r="AS42">
        <f t="shared" si="4"/>
        <v>0</v>
      </c>
      <c r="AT42">
        <f t="shared" si="4"/>
        <v>0</v>
      </c>
      <c r="AU42">
        <f t="shared" si="4"/>
        <v>0</v>
      </c>
      <c r="AV42">
        <f t="shared" si="4"/>
        <v>0</v>
      </c>
      <c r="AW42">
        <f t="shared" si="4"/>
        <v>0</v>
      </c>
      <c r="AX42">
        <f t="shared" si="4"/>
        <v>0</v>
      </c>
      <c r="AY42">
        <f t="shared" si="3"/>
        <v>0</v>
      </c>
      <c r="AZ42">
        <f t="shared" si="3"/>
        <v>0</v>
      </c>
      <c r="BA42">
        <f t="shared" si="3"/>
        <v>0</v>
      </c>
      <c r="BB42">
        <f t="shared" si="3"/>
        <v>0</v>
      </c>
      <c r="BC42">
        <f t="shared" si="3"/>
        <v>0</v>
      </c>
      <c r="BD42">
        <f t="shared" si="3"/>
        <v>0</v>
      </c>
      <c r="BE42">
        <f t="shared" si="3"/>
        <v>0</v>
      </c>
      <c r="BF42">
        <f t="shared" si="3"/>
        <v>0</v>
      </c>
      <c r="BG42">
        <f t="shared" si="3"/>
        <v>0</v>
      </c>
      <c r="BH42">
        <f t="shared" si="3"/>
        <v>0</v>
      </c>
      <c r="BI42">
        <f t="shared" si="3"/>
        <v>0</v>
      </c>
      <c r="BJ42">
        <f t="shared" si="3"/>
        <v>0</v>
      </c>
    </row>
    <row r="43" spans="1:62">
      <c r="A43" t="s">
        <v>1005</v>
      </c>
      <c r="C43" s="174">
        <v>2.9999999999999997E-4</v>
      </c>
      <c r="D43" s="174">
        <v>2.9999999999999997E-4</v>
      </c>
      <c r="E43" s="174">
        <v>2.9999999999999997E-4</v>
      </c>
      <c r="F43" s="174">
        <v>2.9999999999999997E-4</v>
      </c>
      <c r="G43" s="174">
        <v>2.9999999999999997E-4</v>
      </c>
      <c r="H43" s="174">
        <v>2.9999999999999997E-4</v>
      </c>
      <c r="I43" s="174">
        <v>2.9999999999999997E-4</v>
      </c>
      <c r="J43" s="174">
        <v>2.9999999999999997E-4</v>
      </c>
      <c r="K43" s="174">
        <v>2.9999999999999997E-4</v>
      </c>
      <c r="L43" s="174">
        <v>2.9999999999999997E-4</v>
      </c>
      <c r="M43" s="174">
        <v>2.9999999999999997E-4</v>
      </c>
      <c r="N43" s="174">
        <v>2.9999999999999997E-4</v>
      </c>
      <c r="O43" s="174">
        <v>2.9999999999999997E-4</v>
      </c>
      <c r="P43" s="174">
        <v>2.9999999999999997E-4</v>
      </c>
      <c r="Q43" s="174">
        <v>2.9999999999999997E-4</v>
      </c>
      <c r="R43" s="174">
        <v>2.9999999999999997E-4</v>
      </c>
      <c r="S43" s="174">
        <v>2.9999999999999997E-4</v>
      </c>
      <c r="T43" s="174">
        <v>2.9999999999999997E-4</v>
      </c>
      <c r="U43" s="174">
        <v>2.9999999999999997E-4</v>
      </c>
      <c r="V43" s="174">
        <v>2.9999999999999997E-4</v>
      </c>
      <c r="W43" s="174">
        <v>2.9999999999999997E-4</v>
      </c>
      <c r="X43" s="174">
        <v>2.9999999999999997E-4</v>
      </c>
      <c r="Y43" s="174">
        <v>2.9999999999999997E-4</v>
      </c>
      <c r="Z43" s="174">
        <v>2.9999999999999997E-4</v>
      </c>
      <c r="AA43" s="174">
        <v>2.9999999999999997E-4</v>
      </c>
      <c r="AB43" s="174">
        <v>2.9999999999999997E-4</v>
      </c>
      <c r="AC43" s="174">
        <v>2.9999999999999997E-4</v>
      </c>
      <c r="AD43" s="174">
        <v>2.9999999999999997E-4</v>
      </c>
      <c r="AI43">
        <f t="shared" si="5"/>
        <v>8.9999999999999985E-8</v>
      </c>
      <c r="AJ43">
        <f t="shared" si="5"/>
        <v>8.9999999999999985E-8</v>
      </c>
      <c r="AK43">
        <f t="shared" si="5"/>
        <v>8.9999999999999985E-8</v>
      </c>
      <c r="AL43">
        <f t="shared" si="5"/>
        <v>8.9999999999999985E-8</v>
      </c>
      <c r="AM43">
        <f t="shared" si="5"/>
        <v>8.9999999999999985E-8</v>
      </c>
      <c r="AN43">
        <f t="shared" si="5"/>
        <v>8.9999999999999985E-8</v>
      </c>
      <c r="AO43">
        <f t="shared" si="4"/>
        <v>8.9999999999999985E-8</v>
      </c>
      <c r="AP43">
        <f t="shared" si="4"/>
        <v>8.9999999999999985E-8</v>
      </c>
      <c r="AQ43">
        <f t="shared" si="4"/>
        <v>8.9999999999999985E-8</v>
      </c>
      <c r="AR43">
        <f t="shared" si="4"/>
        <v>8.9999999999999985E-8</v>
      </c>
      <c r="AS43">
        <f t="shared" si="4"/>
        <v>8.9999999999999985E-8</v>
      </c>
      <c r="AT43">
        <f t="shared" si="4"/>
        <v>8.9999999999999985E-8</v>
      </c>
      <c r="AU43">
        <f t="shared" si="4"/>
        <v>8.9999999999999985E-8</v>
      </c>
      <c r="AV43">
        <f t="shared" si="4"/>
        <v>8.9999999999999985E-8</v>
      </c>
      <c r="AW43">
        <f t="shared" si="4"/>
        <v>8.9999999999999985E-8</v>
      </c>
      <c r="AX43">
        <f t="shared" si="4"/>
        <v>8.9999999999999985E-8</v>
      </c>
      <c r="AY43">
        <f t="shared" si="3"/>
        <v>8.9999999999999985E-8</v>
      </c>
      <c r="AZ43">
        <f t="shared" si="3"/>
        <v>8.9999999999999985E-8</v>
      </c>
      <c r="BA43">
        <f t="shared" si="3"/>
        <v>8.9999999999999985E-8</v>
      </c>
      <c r="BB43">
        <f t="shared" si="3"/>
        <v>8.9999999999999985E-8</v>
      </c>
      <c r="BC43">
        <f t="shared" si="3"/>
        <v>8.9999999999999985E-8</v>
      </c>
      <c r="BD43">
        <f t="shared" si="3"/>
        <v>8.9999999999999985E-8</v>
      </c>
      <c r="BE43">
        <f t="shared" si="3"/>
        <v>8.9999999999999985E-8</v>
      </c>
      <c r="BF43">
        <f t="shared" si="3"/>
        <v>8.9999999999999985E-8</v>
      </c>
      <c r="BG43">
        <f t="shared" si="3"/>
        <v>8.9999999999999985E-8</v>
      </c>
      <c r="BH43">
        <f t="shared" si="3"/>
        <v>8.9999999999999985E-8</v>
      </c>
      <c r="BI43">
        <f t="shared" si="3"/>
        <v>8.9999999999999985E-8</v>
      </c>
      <c r="BJ43">
        <f t="shared" si="3"/>
        <v>8.9999999999999985E-8</v>
      </c>
    </row>
    <row r="44" spans="1:62">
      <c r="C44" s="174"/>
      <c r="D44" s="174"/>
      <c r="E44" s="174"/>
      <c r="F44" s="174"/>
      <c r="G44" s="174"/>
      <c r="H44" s="174"/>
      <c r="I44" s="174"/>
      <c r="J44" s="174"/>
      <c r="K44" s="174"/>
      <c r="L44" s="174"/>
      <c r="M44" s="174"/>
      <c r="N44" s="174"/>
      <c r="O44" s="174"/>
      <c r="P44" s="174"/>
      <c r="Q44" s="174"/>
      <c r="R44" s="174"/>
      <c r="S44" s="174"/>
      <c r="T44" s="174"/>
      <c r="U44" s="174"/>
      <c r="V44" s="174"/>
      <c r="W44" s="174"/>
      <c r="X44" s="174"/>
      <c r="Y44" s="174"/>
      <c r="Z44" s="174"/>
      <c r="AA44" s="174"/>
      <c r="AB44" s="174"/>
      <c r="AC44" s="174"/>
      <c r="AD44" s="174"/>
      <c r="AI44">
        <f>C44^2</f>
        <v>0</v>
      </c>
      <c r="AJ44">
        <f t="shared" si="5"/>
        <v>0</v>
      </c>
      <c r="AK44">
        <f t="shared" si="5"/>
        <v>0</v>
      </c>
      <c r="AL44">
        <f t="shared" si="5"/>
        <v>0</v>
      </c>
      <c r="AM44">
        <f t="shared" si="5"/>
        <v>0</v>
      </c>
      <c r="AN44">
        <f t="shared" si="5"/>
        <v>0</v>
      </c>
      <c r="AO44">
        <f t="shared" si="4"/>
        <v>0</v>
      </c>
      <c r="AP44">
        <f t="shared" si="4"/>
        <v>0</v>
      </c>
      <c r="AQ44">
        <f t="shared" si="4"/>
        <v>0</v>
      </c>
      <c r="AR44">
        <f t="shared" si="4"/>
        <v>0</v>
      </c>
      <c r="AS44">
        <f t="shared" si="4"/>
        <v>0</v>
      </c>
      <c r="AT44">
        <f t="shared" si="4"/>
        <v>0</v>
      </c>
      <c r="AU44">
        <f t="shared" si="4"/>
        <v>0</v>
      </c>
      <c r="AV44">
        <f t="shared" si="4"/>
        <v>0</v>
      </c>
      <c r="AW44">
        <f t="shared" si="4"/>
        <v>0</v>
      </c>
      <c r="AX44">
        <f t="shared" si="4"/>
        <v>0</v>
      </c>
      <c r="AY44">
        <f t="shared" si="3"/>
        <v>0</v>
      </c>
      <c r="AZ44">
        <f t="shared" si="3"/>
        <v>0</v>
      </c>
      <c r="BA44">
        <f t="shared" si="3"/>
        <v>0</v>
      </c>
      <c r="BB44">
        <f t="shared" si="3"/>
        <v>0</v>
      </c>
      <c r="BC44">
        <f t="shared" si="3"/>
        <v>0</v>
      </c>
      <c r="BD44">
        <f t="shared" si="3"/>
        <v>0</v>
      </c>
      <c r="BE44">
        <f t="shared" si="3"/>
        <v>0</v>
      </c>
      <c r="BF44">
        <f t="shared" si="3"/>
        <v>0</v>
      </c>
      <c r="BG44">
        <f t="shared" si="3"/>
        <v>0</v>
      </c>
      <c r="BH44">
        <f t="shared" si="3"/>
        <v>0</v>
      </c>
      <c r="BI44">
        <f t="shared" si="3"/>
        <v>0</v>
      </c>
      <c r="BJ44">
        <f t="shared" si="3"/>
        <v>0</v>
      </c>
    </row>
    <row r="45" spans="1:62" ht="12" customHeight="1">
      <c r="A45" t="s">
        <v>1006</v>
      </c>
      <c r="C45" s="174">
        <v>5.0000000000000001E-3</v>
      </c>
      <c r="D45" s="174">
        <v>5.0000000000000001E-3</v>
      </c>
      <c r="E45" s="174">
        <v>5.0000000000000001E-3</v>
      </c>
      <c r="F45" s="174">
        <v>5.0000000000000001E-3</v>
      </c>
      <c r="G45" s="174">
        <v>5.0000000000000001E-3</v>
      </c>
      <c r="H45" s="174">
        <v>5.0000000000000001E-3</v>
      </c>
      <c r="I45" s="174">
        <v>5.0000000000000001E-3</v>
      </c>
      <c r="J45" s="174">
        <v>5.0000000000000001E-3</v>
      </c>
      <c r="K45" s="174">
        <v>5.0000000000000001E-3</v>
      </c>
      <c r="L45" s="174">
        <v>5.0000000000000001E-3</v>
      </c>
      <c r="M45" s="174">
        <v>5.0000000000000001E-3</v>
      </c>
      <c r="N45" s="174">
        <v>5.0000000000000001E-3</v>
      </c>
      <c r="O45" s="174">
        <v>5.0000000000000001E-3</v>
      </c>
      <c r="P45" s="174">
        <v>5.0000000000000001E-3</v>
      </c>
      <c r="Q45" s="174">
        <v>5.0000000000000001E-3</v>
      </c>
      <c r="R45" s="174">
        <v>5.0000000000000001E-3</v>
      </c>
      <c r="S45" s="174">
        <v>5.0000000000000001E-3</v>
      </c>
      <c r="T45" s="174">
        <v>5.0000000000000001E-3</v>
      </c>
      <c r="U45" s="174">
        <v>5.0000000000000001E-3</v>
      </c>
      <c r="V45" s="174">
        <v>5.0000000000000001E-3</v>
      </c>
      <c r="W45" s="174">
        <v>5.0000000000000001E-3</v>
      </c>
      <c r="X45" s="174">
        <v>5.0000000000000001E-3</v>
      </c>
      <c r="Y45" s="174">
        <v>5.0000000000000001E-3</v>
      </c>
      <c r="Z45" s="174">
        <v>5.0000000000000001E-3</v>
      </c>
      <c r="AA45" s="174">
        <v>5.0000000000000001E-3</v>
      </c>
      <c r="AB45" s="174">
        <v>5.0000000000000001E-3</v>
      </c>
      <c r="AC45" s="174">
        <v>5.0000000000000001E-3</v>
      </c>
      <c r="AD45" s="174">
        <v>5.0000000000000001E-3</v>
      </c>
      <c r="AI45">
        <f>C45^2</f>
        <v>2.5000000000000001E-5</v>
      </c>
      <c r="AJ45">
        <f t="shared" si="5"/>
        <v>2.5000000000000001E-5</v>
      </c>
      <c r="AK45">
        <f t="shared" si="5"/>
        <v>2.5000000000000001E-5</v>
      </c>
      <c r="AL45">
        <f t="shared" si="5"/>
        <v>2.5000000000000001E-5</v>
      </c>
      <c r="AM45">
        <f t="shared" si="5"/>
        <v>2.5000000000000001E-5</v>
      </c>
      <c r="AN45">
        <f t="shared" si="5"/>
        <v>2.5000000000000001E-5</v>
      </c>
      <c r="AO45">
        <f t="shared" si="5"/>
        <v>2.5000000000000001E-5</v>
      </c>
      <c r="AP45">
        <f t="shared" si="5"/>
        <v>2.5000000000000001E-5</v>
      </c>
      <c r="AQ45">
        <f t="shared" si="5"/>
        <v>2.5000000000000001E-5</v>
      </c>
      <c r="AR45">
        <f t="shared" si="5"/>
        <v>2.5000000000000001E-5</v>
      </c>
      <c r="AS45">
        <f t="shared" si="5"/>
        <v>2.5000000000000001E-5</v>
      </c>
      <c r="AT45">
        <f t="shared" si="4"/>
        <v>2.5000000000000001E-5</v>
      </c>
      <c r="AU45">
        <f t="shared" si="4"/>
        <v>2.5000000000000001E-5</v>
      </c>
      <c r="AV45">
        <f t="shared" si="4"/>
        <v>2.5000000000000001E-5</v>
      </c>
      <c r="AW45">
        <f t="shared" si="4"/>
        <v>2.5000000000000001E-5</v>
      </c>
      <c r="AX45">
        <f t="shared" si="4"/>
        <v>2.5000000000000001E-5</v>
      </c>
      <c r="AY45">
        <f t="shared" si="4"/>
        <v>2.5000000000000001E-5</v>
      </c>
      <c r="AZ45">
        <f t="shared" si="4"/>
        <v>2.5000000000000001E-5</v>
      </c>
      <c r="BA45">
        <f t="shared" si="4"/>
        <v>2.5000000000000001E-5</v>
      </c>
      <c r="BB45">
        <f t="shared" si="4"/>
        <v>2.5000000000000001E-5</v>
      </c>
      <c r="BC45">
        <f t="shared" si="4"/>
        <v>2.5000000000000001E-5</v>
      </c>
      <c r="BD45">
        <f t="shared" si="3"/>
        <v>2.5000000000000001E-5</v>
      </c>
      <c r="BE45">
        <f t="shared" si="3"/>
        <v>2.5000000000000001E-5</v>
      </c>
      <c r="BF45">
        <f t="shared" si="3"/>
        <v>2.5000000000000001E-5</v>
      </c>
      <c r="BG45">
        <f t="shared" si="3"/>
        <v>2.5000000000000001E-5</v>
      </c>
      <c r="BH45">
        <f t="shared" si="3"/>
        <v>2.5000000000000001E-5</v>
      </c>
      <c r="BI45">
        <f t="shared" si="3"/>
        <v>2.5000000000000001E-5</v>
      </c>
      <c r="BJ45">
        <f t="shared" si="3"/>
        <v>2.5000000000000001E-5</v>
      </c>
    </row>
    <row r="46" spans="1:62">
      <c r="AI46">
        <f>C46^2</f>
        <v>0</v>
      </c>
      <c r="AJ46">
        <f t="shared" si="5"/>
        <v>0</v>
      </c>
      <c r="AK46">
        <f t="shared" si="5"/>
        <v>0</v>
      </c>
      <c r="AL46">
        <f t="shared" si="5"/>
        <v>0</v>
      </c>
      <c r="AM46">
        <f t="shared" si="5"/>
        <v>0</v>
      </c>
      <c r="AN46">
        <f t="shared" si="5"/>
        <v>0</v>
      </c>
      <c r="AO46">
        <f t="shared" si="5"/>
        <v>0</v>
      </c>
      <c r="AP46">
        <f t="shared" si="5"/>
        <v>0</v>
      </c>
      <c r="AQ46">
        <f t="shared" si="5"/>
        <v>0</v>
      </c>
      <c r="AR46">
        <f t="shared" si="5"/>
        <v>0</v>
      </c>
      <c r="AS46">
        <f t="shared" si="5"/>
        <v>0</v>
      </c>
      <c r="AT46">
        <f t="shared" si="4"/>
        <v>0</v>
      </c>
      <c r="AU46">
        <f t="shared" si="4"/>
        <v>0</v>
      </c>
      <c r="AV46">
        <f t="shared" si="4"/>
        <v>0</v>
      </c>
      <c r="AW46">
        <f t="shared" si="4"/>
        <v>0</v>
      </c>
      <c r="AX46">
        <f t="shared" si="4"/>
        <v>0</v>
      </c>
      <c r="AY46">
        <f t="shared" si="4"/>
        <v>0</v>
      </c>
      <c r="AZ46">
        <f t="shared" si="4"/>
        <v>0</v>
      </c>
      <c r="BA46">
        <f t="shared" si="4"/>
        <v>0</v>
      </c>
      <c r="BB46">
        <f t="shared" si="4"/>
        <v>0</v>
      </c>
      <c r="BC46">
        <f t="shared" si="4"/>
        <v>0</v>
      </c>
      <c r="BD46">
        <f t="shared" si="3"/>
        <v>0</v>
      </c>
      <c r="BE46">
        <f t="shared" si="3"/>
        <v>0</v>
      </c>
      <c r="BF46">
        <f t="shared" si="3"/>
        <v>0</v>
      </c>
      <c r="BG46">
        <f t="shared" si="3"/>
        <v>0</v>
      </c>
      <c r="BH46">
        <f t="shared" si="3"/>
        <v>0</v>
      </c>
      <c r="BI46">
        <f t="shared" si="3"/>
        <v>0</v>
      </c>
      <c r="BJ46">
        <f t="shared" si="3"/>
        <v>0</v>
      </c>
    </row>
    <row r="47" spans="1:62">
      <c r="A47" t="s">
        <v>1007</v>
      </c>
      <c r="C47" s="176">
        <v>4.9211685557555901E-3</v>
      </c>
      <c r="D47" s="176">
        <v>3.2349388025681805E-3</v>
      </c>
      <c r="E47" s="176">
        <v>2.4745271347500855E-3</v>
      </c>
      <c r="F47" s="176">
        <v>3.4278219471648138E-3</v>
      </c>
      <c r="G47" s="176">
        <v>2.8569455664679395E-3</v>
      </c>
      <c r="H47" s="176">
        <v>2.5518109997896407E-3</v>
      </c>
      <c r="I47" s="176">
        <v>2.8298992693836433E-3</v>
      </c>
      <c r="J47" s="176">
        <v>3.0000000000000001E-3</v>
      </c>
      <c r="K47" s="176">
        <v>1.8817092515886966E-3</v>
      </c>
      <c r="L47" s="176">
        <v>1.724501151106573E-3</v>
      </c>
      <c r="M47" s="176">
        <v>2E-3</v>
      </c>
      <c r="N47" s="176">
        <v>1.9734165131078947E-3</v>
      </c>
      <c r="O47" s="176">
        <v>1.517739085349987E-3</v>
      </c>
      <c r="P47" s="176">
        <v>1.8609483678067472E-3</v>
      </c>
      <c r="Q47" s="176">
        <v>2.471967095757793E-3</v>
      </c>
      <c r="R47" s="176">
        <v>2.4668381179291975E-3</v>
      </c>
      <c r="S47" s="176">
        <v>1.9675967838575048E-3</v>
      </c>
      <c r="T47" s="176">
        <v>2.1991966762852809E-3</v>
      </c>
      <c r="U47" s="176">
        <v>1.9543234055458911E-3</v>
      </c>
      <c r="V47" s="176">
        <v>2.5770124097324563E-3</v>
      </c>
      <c r="W47" s="176">
        <v>2.0937132475111323E-3</v>
      </c>
      <c r="X47" s="176">
        <v>3.1843313962161631E-3</v>
      </c>
      <c r="Y47" s="176">
        <v>4.2246323488103615E-3</v>
      </c>
      <c r="Z47" s="176">
        <v>4.5833469152017862E-3</v>
      </c>
      <c r="AA47" s="176">
        <v>6.8323238901844873E-3</v>
      </c>
      <c r="AB47" s="176">
        <v>8.7651471633681255E-3</v>
      </c>
      <c r="AC47" s="176">
        <v>1.0570391081080812E-2</v>
      </c>
      <c r="AD47" s="176">
        <v>2.4729922481968009E-2</v>
      </c>
      <c r="AI47">
        <f>C47^2</f>
        <v>2.4217899954157561E-5</v>
      </c>
      <c r="AJ47">
        <f t="shared" si="5"/>
        <v>1.0464829056361253E-5</v>
      </c>
      <c r="AK47">
        <f t="shared" si="5"/>
        <v>6.1232845406144679E-6</v>
      </c>
      <c r="AL47">
        <f t="shared" si="5"/>
        <v>1.1749963301464775E-5</v>
      </c>
      <c r="AM47">
        <f t="shared" si="5"/>
        <v>8.1621379697608153E-6</v>
      </c>
      <c r="AN47">
        <f t="shared" si="5"/>
        <v>6.5117393786474052E-6</v>
      </c>
      <c r="AO47">
        <f t="shared" si="5"/>
        <v>8.008329874858078E-6</v>
      </c>
      <c r="AP47">
        <f t="shared" si="5"/>
        <v>9.0000000000000002E-6</v>
      </c>
      <c r="AQ47">
        <f t="shared" si="5"/>
        <v>3.5408297075144924E-6</v>
      </c>
      <c r="AR47">
        <f t="shared" si="5"/>
        <v>2.9739042201678956E-6</v>
      </c>
      <c r="AS47">
        <f t="shared" si="5"/>
        <v>3.9999999999999998E-6</v>
      </c>
      <c r="AT47">
        <f t="shared" si="4"/>
        <v>3.8943727342069216E-6</v>
      </c>
      <c r="AU47">
        <f t="shared" si="4"/>
        <v>2.303531931199015E-6</v>
      </c>
      <c r="AV47">
        <f t="shared" si="4"/>
        <v>3.4631288276425965E-6</v>
      </c>
      <c r="AW47">
        <f t="shared" si="4"/>
        <v>6.110621322509218E-6</v>
      </c>
      <c r="AX47">
        <f t="shared" si="4"/>
        <v>6.0852903000684656E-6</v>
      </c>
      <c r="AY47">
        <f t="shared" si="4"/>
        <v>3.8714371038463963E-6</v>
      </c>
      <c r="AZ47">
        <f t="shared" si="4"/>
        <v>4.8364660209842262E-6</v>
      </c>
      <c r="BA47">
        <f t="shared" si="4"/>
        <v>3.8193799734644895E-6</v>
      </c>
      <c r="BB47">
        <f t="shared" si="4"/>
        <v>6.6409929599150819E-6</v>
      </c>
      <c r="BC47">
        <f t="shared" si="4"/>
        <v>4.3836351628036125E-6</v>
      </c>
      <c r="BD47">
        <f t="shared" si="3"/>
        <v>1.0139966440927978E-5</v>
      </c>
      <c r="BE47">
        <f t="shared" si="3"/>
        <v>1.7847518482614952E-5</v>
      </c>
      <c r="BF47">
        <f t="shared" si="3"/>
        <v>2.100706894508973E-5</v>
      </c>
      <c r="BG47">
        <f t="shared" si="3"/>
        <v>4.6680649740385687E-5</v>
      </c>
      <c r="BH47">
        <f t="shared" si="3"/>
        <v>7.682780479550029E-5</v>
      </c>
      <c r="BI47">
        <f t="shared" si="3"/>
        <v>1.1173316760699279E-4</v>
      </c>
      <c r="BJ47">
        <f t="shared" si="3"/>
        <v>6.1156906596414675E-4</v>
      </c>
    </row>
    <row r="52" spans="1:62">
      <c r="A52" t="s">
        <v>1008</v>
      </c>
      <c r="C52" s="176">
        <f t="shared" ref="C52:AD52" si="6">2*SQRT(SUM(AI7:AI47))</f>
        <v>3.9786444925585175E-2</v>
      </c>
      <c r="D52" s="176">
        <f t="shared" si="6"/>
        <v>3.8289159252005676E-2</v>
      </c>
      <c r="E52" s="176">
        <f t="shared" si="6"/>
        <v>3.7575278284564501E-2</v>
      </c>
      <c r="F52" s="176">
        <f t="shared" si="6"/>
        <v>3.7546470582544268E-2</v>
      </c>
      <c r="G52" s="176">
        <f t="shared" si="6"/>
        <v>3.7097284966410286E-2</v>
      </c>
      <c r="H52" s="176">
        <f t="shared" si="6"/>
        <v>3.6735385631766405E-2</v>
      </c>
      <c r="I52" s="176">
        <f t="shared" si="6"/>
        <v>3.6642403298629729E-2</v>
      </c>
      <c r="J52" s="176">
        <f t="shared" si="6"/>
        <v>3.655940918559817E-2</v>
      </c>
      <c r="K52" s="176">
        <f t="shared" si="6"/>
        <v>3.6123257312015149E-2</v>
      </c>
      <c r="L52" s="176">
        <f t="shared" si="6"/>
        <v>3.6007904922123295E-2</v>
      </c>
      <c r="M52" s="176">
        <f t="shared" si="6"/>
        <v>3.5932297449509293E-2</v>
      </c>
      <c r="N52" s="176">
        <f t="shared" si="6"/>
        <v>3.5863182944864513E-2</v>
      </c>
      <c r="O52" s="176">
        <f t="shared" si="6"/>
        <v>3.5800398429693431E-2</v>
      </c>
      <c r="P52" s="176">
        <f t="shared" si="6"/>
        <v>3.5776949496995468E-2</v>
      </c>
      <c r="Q52" s="176">
        <f t="shared" si="6"/>
        <v>3.5900613996003319E-2</v>
      </c>
      <c r="R52" s="176">
        <f t="shared" si="6"/>
        <v>3.5888811086469088E-2</v>
      </c>
      <c r="S52" s="176">
        <f t="shared" si="6"/>
        <v>3.5771023865908531E-2</v>
      </c>
      <c r="T52" s="176">
        <f t="shared" si="6"/>
        <v>3.5800115419980731E-2</v>
      </c>
      <c r="U52" s="176">
        <f t="shared" si="6"/>
        <v>3.4480590480643621E-2</v>
      </c>
      <c r="V52" s="176">
        <f t="shared" si="6"/>
        <v>3.4771056524639452E-2</v>
      </c>
      <c r="W52" s="176">
        <f t="shared" si="6"/>
        <v>3.5413762023416943E-2</v>
      </c>
      <c r="X52" s="176">
        <f t="shared" si="6"/>
        <v>3.5244878574960455E-2</v>
      </c>
      <c r="Y52" s="176">
        <f t="shared" si="6"/>
        <v>3.9196408941769838E-2</v>
      </c>
      <c r="Z52" s="176">
        <f t="shared" si="6"/>
        <v>4.7212585989123271E-2</v>
      </c>
      <c r="AA52" s="176">
        <f t="shared" si="6"/>
        <v>6.4649972923130669E-2</v>
      </c>
      <c r="AB52" s="176">
        <f t="shared" si="6"/>
        <v>7.5708279726737923E-2</v>
      </c>
      <c r="AC52" s="176">
        <f t="shared" si="6"/>
        <v>9.1035844975635605E-2</v>
      </c>
      <c r="AD52" s="176">
        <f t="shared" si="6"/>
        <v>0.16047079068745373</v>
      </c>
    </row>
    <row r="53" spans="1:62">
      <c r="C53" s="177"/>
      <c r="D53" s="177"/>
      <c r="E53" s="177"/>
      <c r="F53" s="177"/>
      <c r="G53" s="177"/>
      <c r="H53" s="177"/>
      <c r="I53" s="177"/>
      <c r="J53" s="177"/>
      <c r="K53" s="177"/>
      <c r="L53" s="177"/>
      <c r="M53" s="177"/>
      <c r="N53" s="177"/>
      <c r="O53" s="177"/>
      <c r="P53" s="177"/>
      <c r="Q53" s="177"/>
      <c r="R53" s="177"/>
      <c r="S53" s="177"/>
      <c r="T53" s="177"/>
      <c r="U53" s="177"/>
      <c r="V53" s="177"/>
      <c r="W53" s="177"/>
      <c r="X53" s="177"/>
      <c r="Y53" s="177"/>
      <c r="Z53" s="177"/>
      <c r="AA53" s="177"/>
      <c r="AB53" s="177"/>
      <c r="AC53" s="177"/>
      <c r="AD53" s="177"/>
    </row>
    <row r="54" spans="1:62">
      <c r="B54" s="173" t="s">
        <v>44</v>
      </c>
      <c r="C54">
        <v>20</v>
      </c>
      <c r="D54">
        <v>25</v>
      </c>
      <c r="E54">
        <v>31.5</v>
      </c>
      <c r="F54">
        <v>40</v>
      </c>
      <c r="G54">
        <v>50</v>
      </c>
      <c r="H54">
        <v>63</v>
      </c>
      <c r="I54">
        <v>80</v>
      </c>
      <c r="J54">
        <v>100</v>
      </c>
      <c r="K54">
        <v>125</v>
      </c>
      <c r="L54">
        <v>160</v>
      </c>
      <c r="M54">
        <v>200</v>
      </c>
      <c r="N54">
        <v>250</v>
      </c>
      <c r="O54">
        <v>315</v>
      </c>
      <c r="P54">
        <v>400</v>
      </c>
      <c r="Q54">
        <v>500</v>
      </c>
      <c r="R54">
        <v>630</v>
      </c>
      <c r="S54">
        <v>800</v>
      </c>
      <c r="T54" t="s">
        <v>5</v>
      </c>
      <c r="U54" t="s">
        <v>967</v>
      </c>
      <c r="V54" t="s">
        <v>968</v>
      </c>
      <c r="W54" t="s">
        <v>6</v>
      </c>
      <c r="X54" t="s">
        <v>969</v>
      </c>
      <c r="Y54" t="s">
        <v>970</v>
      </c>
      <c r="Z54" t="s">
        <v>9</v>
      </c>
      <c r="AA54" t="s">
        <v>10</v>
      </c>
      <c r="AB54" t="s">
        <v>971</v>
      </c>
      <c r="AC54" t="s">
        <v>12</v>
      </c>
      <c r="AD54" t="s">
        <v>13</v>
      </c>
      <c r="AI54">
        <v>20</v>
      </c>
      <c r="AJ54">
        <v>25</v>
      </c>
      <c r="AK54">
        <v>31.5</v>
      </c>
      <c r="AL54">
        <v>40</v>
      </c>
      <c r="AM54">
        <v>50</v>
      </c>
      <c r="AN54">
        <v>63</v>
      </c>
      <c r="AO54">
        <v>80</v>
      </c>
      <c r="AP54">
        <v>100</v>
      </c>
      <c r="AQ54">
        <v>125</v>
      </c>
      <c r="AR54">
        <v>160</v>
      </c>
      <c r="AS54">
        <v>200</v>
      </c>
      <c r="AT54">
        <v>250</v>
      </c>
      <c r="AU54">
        <v>315</v>
      </c>
      <c r="AV54">
        <v>400</v>
      </c>
      <c r="AW54">
        <v>500</v>
      </c>
      <c r="AX54">
        <v>630</v>
      </c>
      <c r="AY54">
        <v>800</v>
      </c>
      <c r="AZ54" t="s">
        <v>5</v>
      </c>
      <c r="BA54" t="s">
        <v>967</v>
      </c>
      <c r="BB54" t="s">
        <v>968</v>
      </c>
      <c r="BC54" t="s">
        <v>6</v>
      </c>
      <c r="BD54" t="s">
        <v>969</v>
      </c>
      <c r="BE54" t="s">
        <v>970</v>
      </c>
      <c r="BF54" t="s">
        <v>9</v>
      </c>
      <c r="BG54" t="s">
        <v>10</v>
      </c>
      <c r="BH54" t="s">
        <v>971</v>
      </c>
      <c r="BI54" t="s">
        <v>12</v>
      </c>
      <c r="BJ54" t="s">
        <v>13</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43"/>
  <sheetViews>
    <sheetView workbookViewId="0">
      <selection sqref="A1:B1"/>
    </sheetView>
  </sheetViews>
  <sheetFormatPr defaultRowHeight="15"/>
  <cols>
    <col min="1" max="1" width="30.85546875" customWidth="1"/>
    <col min="2" max="2" width="39.140625" customWidth="1"/>
    <col min="257" max="257" width="30.85546875" customWidth="1"/>
    <col min="258" max="258" width="39.140625" customWidth="1"/>
    <col min="513" max="513" width="30.85546875" customWidth="1"/>
    <col min="514" max="514" width="39.140625" customWidth="1"/>
    <col min="769" max="769" width="30.85546875" customWidth="1"/>
    <col min="770" max="770" width="39.140625" customWidth="1"/>
    <col min="1025" max="1025" width="30.85546875" customWidth="1"/>
    <col min="1026" max="1026" width="39.140625" customWidth="1"/>
    <col min="1281" max="1281" width="30.85546875" customWidth="1"/>
    <col min="1282" max="1282" width="39.140625" customWidth="1"/>
    <col min="1537" max="1537" width="30.85546875" customWidth="1"/>
    <col min="1538" max="1538" width="39.140625" customWidth="1"/>
    <col min="1793" max="1793" width="30.85546875" customWidth="1"/>
    <col min="1794" max="1794" width="39.140625" customWidth="1"/>
    <col min="2049" max="2049" width="30.85546875" customWidth="1"/>
    <col min="2050" max="2050" width="39.140625" customWidth="1"/>
    <col min="2305" max="2305" width="30.85546875" customWidth="1"/>
    <col min="2306" max="2306" width="39.140625" customWidth="1"/>
    <col min="2561" max="2561" width="30.85546875" customWidth="1"/>
    <col min="2562" max="2562" width="39.140625" customWidth="1"/>
    <col min="2817" max="2817" width="30.85546875" customWidth="1"/>
    <col min="2818" max="2818" width="39.140625" customWidth="1"/>
    <col min="3073" max="3073" width="30.85546875" customWidth="1"/>
    <col min="3074" max="3074" width="39.140625" customWidth="1"/>
    <col min="3329" max="3329" width="30.85546875" customWidth="1"/>
    <col min="3330" max="3330" width="39.140625" customWidth="1"/>
    <col min="3585" max="3585" width="30.85546875" customWidth="1"/>
    <col min="3586" max="3586" width="39.140625" customWidth="1"/>
    <col min="3841" max="3841" width="30.85546875" customWidth="1"/>
    <col min="3842" max="3842" width="39.140625" customWidth="1"/>
    <col min="4097" max="4097" width="30.85546875" customWidth="1"/>
    <col min="4098" max="4098" width="39.140625" customWidth="1"/>
    <col min="4353" max="4353" width="30.85546875" customWidth="1"/>
    <col min="4354" max="4354" width="39.140625" customWidth="1"/>
    <col min="4609" max="4609" width="30.85546875" customWidth="1"/>
    <col min="4610" max="4610" width="39.140625" customWidth="1"/>
    <col min="4865" max="4865" width="30.85546875" customWidth="1"/>
    <col min="4866" max="4866" width="39.140625" customWidth="1"/>
    <col min="5121" max="5121" width="30.85546875" customWidth="1"/>
    <col min="5122" max="5122" width="39.140625" customWidth="1"/>
    <col min="5377" max="5377" width="30.85546875" customWidth="1"/>
    <col min="5378" max="5378" width="39.140625" customWidth="1"/>
    <col min="5633" max="5633" width="30.85546875" customWidth="1"/>
    <col min="5634" max="5634" width="39.140625" customWidth="1"/>
    <col min="5889" max="5889" width="30.85546875" customWidth="1"/>
    <col min="5890" max="5890" width="39.140625" customWidth="1"/>
    <col min="6145" max="6145" width="30.85546875" customWidth="1"/>
    <col min="6146" max="6146" width="39.140625" customWidth="1"/>
    <col min="6401" max="6401" width="30.85546875" customWidth="1"/>
    <col min="6402" max="6402" width="39.140625" customWidth="1"/>
    <col min="6657" max="6657" width="30.85546875" customWidth="1"/>
    <col min="6658" max="6658" width="39.140625" customWidth="1"/>
    <col min="6913" max="6913" width="30.85546875" customWidth="1"/>
    <col min="6914" max="6914" width="39.140625" customWidth="1"/>
    <col min="7169" max="7169" width="30.85546875" customWidth="1"/>
    <col min="7170" max="7170" width="39.140625" customWidth="1"/>
    <col min="7425" max="7425" width="30.85546875" customWidth="1"/>
    <col min="7426" max="7426" width="39.140625" customWidth="1"/>
    <col min="7681" max="7681" width="30.85546875" customWidth="1"/>
    <col min="7682" max="7682" width="39.140625" customWidth="1"/>
    <col min="7937" max="7937" width="30.85546875" customWidth="1"/>
    <col min="7938" max="7938" width="39.140625" customWidth="1"/>
    <col min="8193" max="8193" width="30.85546875" customWidth="1"/>
    <col min="8194" max="8194" width="39.140625" customWidth="1"/>
    <col min="8449" max="8449" width="30.85546875" customWidth="1"/>
    <col min="8450" max="8450" width="39.140625" customWidth="1"/>
    <col min="8705" max="8705" width="30.85546875" customWidth="1"/>
    <col min="8706" max="8706" width="39.140625" customWidth="1"/>
    <col min="8961" max="8961" width="30.85546875" customWidth="1"/>
    <col min="8962" max="8962" width="39.140625" customWidth="1"/>
    <col min="9217" max="9217" width="30.85546875" customWidth="1"/>
    <col min="9218" max="9218" width="39.140625" customWidth="1"/>
    <col min="9473" max="9473" width="30.85546875" customWidth="1"/>
    <col min="9474" max="9474" width="39.140625" customWidth="1"/>
    <col min="9729" max="9729" width="30.85546875" customWidth="1"/>
    <col min="9730" max="9730" width="39.140625" customWidth="1"/>
    <col min="9985" max="9985" width="30.85546875" customWidth="1"/>
    <col min="9986" max="9986" width="39.140625" customWidth="1"/>
    <col min="10241" max="10241" width="30.85546875" customWidth="1"/>
    <col min="10242" max="10242" width="39.140625" customWidth="1"/>
    <col min="10497" max="10497" width="30.85546875" customWidth="1"/>
    <col min="10498" max="10498" width="39.140625" customWidth="1"/>
    <col min="10753" max="10753" width="30.85546875" customWidth="1"/>
    <col min="10754" max="10754" width="39.140625" customWidth="1"/>
    <col min="11009" max="11009" width="30.85546875" customWidth="1"/>
    <col min="11010" max="11010" width="39.140625" customWidth="1"/>
    <col min="11265" max="11265" width="30.85546875" customWidth="1"/>
    <col min="11266" max="11266" width="39.140625" customWidth="1"/>
    <col min="11521" max="11521" width="30.85546875" customWidth="1"/>
    <col min="11522" max="11522" width="39.140625" customWidth="1"/>
    <col min="11777" max="11777" width="30.85546875" customWidth="1"/>
    <col min="11778" max="11778" width="39.140625" customWidth="1"/>
    <col min="12033" max="12033" width="30.85546875" customWidth="1"/>
    <col min="12034" max="12034" width="39.140625" customWidth="1"/>
    <col min="12289" max="12289" width="30.85546875" customWidth="1"/>
    <col min="12290" max="12290" width="39.140625" customWidth="1"/>
    <col min="12545" max="12545" width="30.85546875" customWidth="1"/>
    <col min="12546" max="12546" width="39.140625" customWidth="1"/>
    <col min="12801" max="12801" width="30.85546875" customWidth="1"/>
    <col min="12802" max="12802" width="39.140625" customWidth="1"/>
    <col min="13057" max="13057" width="30.85546875" customWidth="1"/>
    <col min="13058" max="13058" width="39.140625" customWidth="1"/>
    <col min="13313" max="13313" width="30.85546875" customWidth="1"/>
    <col min="13314" max="13314" width="39.140625" customWidth="1"/>
    <col min="13569" max="13569" width="30.85546875" customWidth="1"/>
    <col min="13570" max="13570" width="39.140625" customWidth="1"/>
    <col min="13825" max="13825" width="30.85546875" customWidth="1"/>
    <col min="13826" max="13826" width="39.140625" customWidth="1"/>
    <col min="14081" max="14081" width="30.85546875" customWidth="1"/>
    <col min="14082" max="14082" width="39.140625" customWidth="1"/>
    <col min="14337" max="14337" width="30.85546875" customWidth="1"/>
    <col min="14338" max="14338" width="39.140625" customWidth="1"/>
    <col min="14593" max="14593" width="30.85546875" customWidth="1"/>
    <col min="14594" max="14594" width="39.140625" customWidth="1"/>
    <col min="14849" max="14849" width="30.85546875" customWidth="1"/>
    <col min="14850" max="14850" width="39.140625" customWidth="1"/>
    <col min="15105" max="15105" width="30.85546875" customWidth="1"/>
    <col min="15106" max="15106" width="39.140625" customWidth="1"/>
    <col min="15361" max="15361" width="30.85546875" customWidth="1"/>
    <col min="15362" max="15362" width="39.140625" customWidth="1"/>
    <col min="15617" max="15617" width="30.85546875" customWidth="1"/>
    <col min="15618" max="15618" width="39.140625" customWidth="1"/>
    <col min="15873" max="15873" width="30.85546875" customWidth="1"/>
    <col min="15874" max="15874" width="39.140625" customWidth="1"/>
    <col min="16129" max="16129" width="30.85546875" customWidth="1"/>
    <col min="16130" max="16130" width="39.140625" customWidth="1"/>
  </cols>
  <sheetData>
    <row r="1" spans="1:62" ht="26.25">
      <c r="A1" s="62" t="s">
        <v>1009</v>
      </c>
      <c r="B1" s="62" t="s">
        <v>768</v>
      </c>
    </row>
    <row r="5" spans="1:62">
      <c r="B5" s="173" t="s">
        <v>44</v>
      </c>
      <c r="C5">
        <v>20</v>
      </c>
      <c r="D5">
        <v>25</v>
      </c>
      <c r="E5">
        <v>31.5</v>
      </c>
      <c r="F5">
        <v>40</v>
      </c>
      <c r="G5">
        <v>50</v>
      </c>
      <c r="H5">
        <v>63</v>
      </c>
      <c r="I5">
        <v>80</v>
      </c>
      <c r="J5">
        <v>100</v>
      </c>
      <c r="K5">
        <v>125</v>
      </c>
      <c r="L5">
        <v>160</v>
      </c>
      <c r="M5">
        <v>200</v>
      </c>
      <c r="N5">
        <v>250</v>
      </c>
      <c r="O5">
        <v>315</v>
      </c>
      <c r="P5">
        <v>400</v>
      </c>
      <c r="Q5">
        <v>500</v>
      </c>
      <c r="R5">
        <v>630</v>
      </c>
      <c r="S5">
        <v>800</v>
      </c>
      <c r="T5" t="s">
        <v>5</v>
      </c>
      <c r="U5" t="s">
        <v>967</v>
      </c>
      <c r="V5" t="s">
        <v>968</v>
      </c>
      <c r="W5" t="s">
        <v>6</v>
      </c>
      <c r="X5" t="s">
        <v>969</v>
      </c>
      <c r="Y5" t="s">
        <v>970</v>
      </c>
      <c r="Z5" t="s">
        <v>9</v>
      </c>
      <c r="AA5" t="s">
        <v>10</v>
      </c>
      <c r="AB5" t="s">
        <v>971</v>
      </c>
      <c r="AC5" t="s">
        <v>12</v>
      </c>
      <c r="AD5" t="s">
        <v>13</v>
      </c>
      <c r="AI5">
        <v>20</v>
      </c>
      <c r="AJ5">
        <v>25</v>
      </c>
      <c r="AK5">
        <v>31.5</v>
      </c>
      <c r="AL5">
        <v>40</v>
      </c>
      <c r="AM5">
        <v>50</v>
      </c>
      <c r="AN5">
        <v>63</v>
      </c>
      <c r="AO5">
        <v>80</v>
      </c>
      <c r="AP5">
        <v>100</v>
      </c>
      <c r="AQ5">
        <v>125</v>
      </c>
      <c r="AR5">
        <v>160</v>
      </c>
      <c r="AS5">
        <v>200</v>
      </c>
      <c r="AT5">
        <v>250</v>
      </c>
      <c r="AU5">
        <v>315</v>
      </c>
      <c r="AV5">
        <v>400</v>
      </c>
      <c r="AW5">
        <v>500</v>
      </c>
      <c r="AX5">
        <v>630</v>
      </c>
      <c r="AY5">
        <v>800</v>
      </c>
      <c r="AZ5" t="s">
        <v>5</v>
      </c>
      <c r="BA5" t="s">
        <v>967</v>
      </c>
      <c r="BB5" t="s">
        <v>968</v>
      </c>
      <c r="BC5" t="s">
        <v>6</v>
      </c>
      <c r="BD5" t="s">
        <v>969</v>
      </c>
      <c r="BE5" t="s">
        <v>970</v>
      </c>
      <c r="BF5" t="s">
        <v>9</v>
      </c>
      <c r="BG5" t="s">
        <v>10</v>
      </c>
      <c r="BH5" t="s">
        <v>971</v>
      </c>
      <c r="BI5" t="s">
        <v>12</v>
      </c>
      <c r="BJ5" t="s">
        <v>13</v>
      </c>
    </row>
    <row r="6" spans="1:62">
      <c r="B6" t="s">
        <v>972</v>
      </c>
      <c r="C6" t="s">
        <v>973</v>
      </c>
    </row>
    <row r="7" spans="1:62">
      <c r="A7" s="175" t="s">
        <v>980</v>
      </c>
      <c r="B7" s="175" t="s">
        <v>1010</v>
      </c>
      <c r="C7" s="176">
        <v>0.15</v>
      </c>
      <c r="D7" s="176">
        <v>0.15</v>
      </c>
      <c r="E7" s="176">
        <v>0.15</v>
      </c>
      <c r="F7" s="176">
        <v>0.15</v>
      </c>
      <c r="G7" s="176">
        <v>0.15</v>
      </c>
      <c r="H7" s="176">
        <v>0.15</v>
      </c>
      <c r="I7" s="176">
        <v>0.15</v>
      </c>
      <c r="J7" s="176">
        <v>0.15</v>
      </c>
      <c r="K7" s="176">
        <v>0.15</v>
      </c>
      <c r="L7" s="176">
        <v>0.15</v>
      </c>
      <c r="M7" s="176">
        <v>0.15</v>
      </c>
      <c r="N7" s="176">
        <v>0.15</v>
      </c>
      <c r="O7" s="176">
        <v>0.15</v>
      </c>
      <c r="P7" s="176">
        <v>0.15</v>
      </c>
      <c r="Q7" s="176">
        <v>0.15</v>
      </c>
      <c r="R7" s="176">
        <v>0.15</v>
      </c>
      <c r="S7" s="176">
        <v>0.15</v>
      </c>
      <c r="T7" s="176">
        <v>0.15</v>
      </c>
      <c r="U7" s="176">
        <v>0.15</v>
      </c>
      <c r="V7" s="176">
        <v>0.15</v>
      </c>
      <c r="W7" s="176">
        <v>0.15</v>
      </c>
      <c r="X7" s="176">
        <v>0.15</v>
      </c>
      <c r="Y7" s="176">
        <v>0.15</v>
      </c>
      <c r="Z7" s="176">
        <v>0.15</v>
      </c>
      <c r="AA7" s="176">
        <v>0.15</v>
      </c>
      <c r="AB7" s="176">
        <v>0.15</v>
      </c>
      <c r="AC7" s="176">
        <v>0.15</v>
      </c>
      <c r="AD7" s="176">
        <v>0.15</v>
      </c>
      <c r="AI7">
        <f>C7^2</f>
        <v>2.2499999999999999E-2</v>
      </c>
      <c r="AJ7">
        <f t="shared" ref="AJ7:AY11" si="0">D7^2</f>
        <v>2.2499999999999999E-2</v>
      </c>
      <c r="AK7">
        <f t="shared" si="0"/>
        <v>2.2499999999999999E-2</v>
      </c>
      <c r="AL7">
        <f t="shared" si="0"/>
        <v>2.2499999999999999E-2</v>
      </c>
      <c r="AM7">
        <f t="shared" si="0"/>
        <v>2.2499999999999999E-2</v>
      </c>
      <c r="AN7">
        <f t="shared" si="0"/>
        <v>2.2499999999999999E-2</v>
      </c>
      <c r="AO7">
        <f t="shared" si="0"/>
        <v>2.2499999999999999E-2</v>
      </c>
      <c r="AP7">
        <f t="shared" si="0"/>
        <v>2.2499999999999999E-2</v>
      </c>
      <c r="AQ7">
        <f t="shared" si="0"/>
        <v>2.2499999999999999E-2</v>
      </c>
      <c r="AR7">
        <f t="shared" si="0"/>
        <v>2.2499999999999999E-2</v>
      </c>
      <c r="AS7">
        <f t="shared" si="0"/>
        <v>2.2499999999999999E-2</v>
      </c>
      <c r="AT7">
        <f t="shared" si="0"/>
        <v>2.2499999999999999E-2</v>
      </c>
      <c r="AU7">
        <f t="shared" si="0"/>
        <v>2.2499999999999999E-2</v>
      </c>
      <c r="AV7">
        <f t="shared" si="0"/>
        <v>2.2499999999999999E-2</v>
      </c>
      <c r="AW7">
        <f t="shared" si="0"/>
        <v>2.2499999999999999E-2</v>
      </c>
      <c r="AX7">
        <f t="shared" si="0"/>
        <v>2.2499999999999999E-2</v>
      </c>
      <c r="AY7">
        <f t="shared" si="0"/>
        <v>2.2499999999999999E-2</v>
      </c>
      <c r="AZ7">
        <f t="shared" ref="AV7:BJ22" si="1">T7^2</f>
        <v>2.2499999999999999E-2</v>
      </c>
      <c r="BA7">
        <f t="shared" si="1"/>
        <v>2.2499999999999999E-2</v>
      </c>
      <c r="BB7">
        <f t="shared" si="1"/>
        <v>2.2499999999999999E-2</v>
      </c>
      <c r="BC7">
        <f t="shared" si="1"/>
        <v>2.2499999999999999E-2</v>
      </c>
      <c r="BD7">
        <f t="shared" si="1"/>
        <v>2.2499999999999999E-2</v>
      </c>
      <c r="BE7">
        <f t="shared" si="1"/>
        <v>2.2499999999999999E-2</v>
      </c>
      <c r="BF7">
        <f t="shared" si="1"/>
        <v>2.2499999999999999E-2</v>
      </c>
      <c r="BG7">
        <f t="shared" si="1"/>
        <v>2.2499999999999999E-2</v>
      </c>
      <c r="BH7">
        <f t="shared" si="1"/>
        <v>2.2499999999999999E-2</v>
      </c>
      <c r="BI7">
        <f t="shared" si="1"/>
        <v>2.2499999999999999E-2</v>
      </c>
      <c r="BJ7">
        <f t="shared" si="1"/>
        <v>2.2499999999999999E-2</v>
      </c>
    </row>
    <row r="8" spans="1:62">
      <c r="C8" s="174"/>
      <c r="D8" s="174"/>
      <c r="E8" s="174"/>
      <c r="F8" s="174"/>
      <c r="G8" s="174"/>
      <c r="H8" s="174"/>
      <c r="I8" s="174"/>
      <c r="J8" s="174"/>
      <c r="K8" s="174"/>
      <c r="L8" s="174"/>
      <c r="M8" s="174"/>
      <c r="N8" s="174"/>
      <c r="O8" s="174"/>
      <c r="P8" s="174"/>
      <c r="Q8" s="174"/>
      <c r="R8" s="174"/>
      <c r="S8" s="174"/>
      <c r="T8" s="174"/>
      <c r="U8" s="174"/>
      <c r="V8" s="174"/>
      <c r="W8" s="174"/>
      <c r="X8" s="174"/>
      <c r="Y8" s="174"/>
      <c r="Z8" s="174"/>
      <c r="AA8" s="174"/>
      <c r="AB8" s="174"/>
      <c r="AC8" s="174"/>
      <c r="AD8" s="174"/>
      <c r="AI8">
        <f t="shared" ref="AI8:AX27" si="2">C8^2</f>
        <v>0</v>
      </c>
      <c r="AJ8">
        <f t="shared" si="0"/>
        <v>0</v>
      </c>
      <c r="AK8">
        <f t="shared" si="0"/>
        <v>0</v>
      </c>
      <c r="AL8">
        <f t="shared" si="0"/>
        <v>0</v>
      </c>
      <c r="AM8">
        <f t="shared" si="0"/>
        <v>0</v>
      </c>
      <c r="AN8">
        <f t="shared" si="0"/>
        <v>0</v>
      </c>
      <c r="AO8">
        <f t="shared" si="0"/>
        <v>0</v>
      </c>
      <c r="AP8">
        <f t="shared" si="0"/>
        <v>0</v>
      </c>
      <c r="AQ8">
        <f t="shared" si="0"/>
        <v>0</v>
      </c>
      <c r="AR8">
        <f t="shared" si="0"/>
        <v>0</v>
      </c>
      <c r="AS8">
        <f t="shared" si="0"/>
        <v>0</v>
      </c>
      <c r="AT8">
        <f t="shared" si="0"/>
        <v>0</v>
      </c>
      <c r="AU8">
        <f t="shared" si="0"/>
        <v>0</v>
      </c>
      <c r="AV8">
        <f t="shared" si="0"/>
        <v>0</v>
      </c>
      <c r="AW8">
        <f t="shared" si="0"/>
        <v>0</v>
      </c>
      <c r="AX8">
        <f t="shared" si="0"/>
        <v>0</v>
      </c>
      <c r="AY8">
        <f t="shared" si="0"/>
        <v>0</v>
      </c>
      <c r="AZ8">
        <f t="shared" si="1"/>
        <v>0</v>
      </c>
      <c r="BA8">
        <f t="shared" si="1"/>
        <v>0</v>
      </c>
      <c r="BB8">
        <f t="shared" si="1"/>
        <v>0</v>
      </c>
      <c r="BC8">
        <f t="shared" si="1"/>
        <v>0</v>
      </c>
      <c r="BD8">
        <f t="shared" si="1"/>
        <v>0</v>
      </c>
      <c r="BE8">
        <f t="shared" si="1"/>
        <v>0</v>
      </c>
      <c r="BF8">
        <f t="shared" si="1"/>
        <v>0</v>
      </c>
      <c r="BG8">
        <f t="shared" si="1"/>
        <v>0</v>
      </c>
      <c r="BH8">
        <f t="shared" si="1"/>
        <v>0</v>
      </c>
      <c r="BI8">
        <f t="shared" si="1"/>
        <v>0</v>
      </c>
      <c r="BJ8">
        <f t="shared" si="1"/>
        <v>0</v>
      </c>
    </row>
    <row r="9" spans="1:62">
      <c r="A9" t="s">
        <v>978</v>
      </c>
      <c r="B9" s="175" t="s">
        <v>979</v>
      </c>
      <c r="C9" s="176">
        <v>4.6188021535062415E-3</v>
      </c>
      <c r="D9" s="176">
        <v>3.4641016151378862E-3</v>
      </c>
      <c r="E9" s="176">
        <v>3.4641016151378862E-3</v>
      </c>
      <c r="F9" s="176">
        <v>3.4641016151378862E-3</v>
      </c>
      <c r="G9" s="176">
        <v>3.4641016151378862E-3</v>
      </c>
      <c r="H9" s="176">
        <v>3.4641016151378862E-3</v>
      </c>
      <c r="I9" s="176">
        <v>3.4641016151378862E-3</v>
      </c>
      <c r="J9" s="176">
        <v>3.4641016151378862E-3</v>
      </c>
      <c r="K9" s="176">
        <v>3.4641016151214766E-3</v>
      </c>
      <c r="L9" s="176">
        <v>3.4641016151378862E-3</v>
      </c>
      <c r="M9" s="176">
        <v>3.4641016151378862E-3</v>
      </c>
      <c r="N9" s="176">
        <v>3.4641016151378862E-3</v>
      </c>
      <c r="O9" s="176">
        <v>2.8867513459455035E-3</v>
      </c>
      <c r="P9" s="176">
        <v>2.8867513459455035E-3</v>
      </c>
      <c r="Q9" s="176">
        <v>3.4641016151378862E-3</v>
      </c>
      <c r="R9" s="176">
        <v>2.8867513459455035E-3</v>
      </c>
      <c r="S9" s="176">
        <v>2.8867513459455035E-3</v>
      </c>
      <c r="T9" s="176">
        <v>2.8867513459619127E-3</v>
      </c>
      <c r="U9" s="176">
        <v>2.3094010767695304E-3</v>
      </c>
      <c r="V9" s="176">
        <v>2.3094010767531208E-3</v>
      </c>
      <c r="W9" s="176">
        <v>1.7320508075771477E-3</v>
      </c>
      <c r="X9" s="176">
        <v>5.773502691923826E-4</v>
      </c>
      <c r="Y9" s="176">
        <v>5.773502691923826E-4</v>
      </c>
      <c r="Z9" s="176">
        <v>2.3094010767695304E-3</v>
      </c>
      <c r="AA9" s="176">
        <v>5.773502691891007E-3</v>
      </c>
      <c r="AB9" s="176">
        <v>8.6602540378447144E-3</v>
      </c>
      <c r="AC9" s="176">
        <v>8.6602540378447144E-3</v>
      </c>
      <c r="AD9" s="176">
        <v>8.6602540378447144E-3</v>
      </c>
      <c r="AI9">
        <f t="shared" si="2"/>
        <v>2.1333333333233893E-5</v>
      </c>
      <c r="AJ9">
        <f t="shared" si="0"/>
        <v>1.2000000000000912E-5</v>
      </c>
      <c r="AK9">
        <f t="shared" si="0"/>
        <v>1.2000000000000912E-5</v>
      </c>
      <c r="AL9">
        <f t="shared" si="0"/>
        <v>1.2000000000000912E-5</v>
      </c>
      <c r="AM9">
        <f t="shared" si="0"/>
        <v>1.2000000000000912E-5</v>
      </c>
      <c r="AN9">
        <f t="shared" si="0"/>
        <v>1.2000000000000912E-5</v>
      </c>
      <c r="AO9">
        <f t="shared" si="0"/>
        <v>1.2000000000000912E-5</v>
      </c>
      <c r="AP9">
        <f t="shared" si="0"/>
        <v>1.2000000000000912E-5</v>
      </c>
      <c r="AQ9">
        <f t="shared" si="0"/>
        <v>1.1999999999887223E-5</v>
      </c>
      <c r="AR9">
        <f t="shared" si="0"/>
        <v>1.2000000000000912E-5</v>
      </c>
      <c r="AS9">
        <f t="shared" si="0"/>
        <v>1.2000000000000912E-5</v>
      </c>
      <c r="AT9">
        <f t="shared" si="0"/>
        <v>1.2000000000000912E-5</v>
      </c>
      <c r="AU9">
        <f t="shared" si="0"/>
        <v>8.3333333333181752E-6</v>
      </c>
      <c r="AV9">
        <f t="shared" si="0"/>
        <v>8.3333333333181752E-6</v>
      </c>
      <c r="AW9">
        <f t="shared" si="0"/>
        <v>1.2000000000000912E-5</v>
      </c>
      <c r="AX9">
        <f t="shared" si="0"/>
        <v>8.3333333333181752E-6</v>
      </c>
      <c r="AY9">
        <f t="shared" si="0"/>
        <v>8.3333333333181752E-6</v>
      </c>
      <c r="AZ9">
        <f t="shared" si="1"/>
        <v>8.3333333334129142E-6</v>
      </c>
      <c r="BA9">
        <f t="shared" si="1"/>
        <v>5.3333333333842666E-6</v>
      </c>
      <c r="BB9">
        <f t="shared" si="1"/>
        <v>5.3333333333084732E-6</v>
      </c>
      <c r="BC9">
        <f t="shared" si="1"/>
        <v>3.0000000000286493E-6</v>
      </c>
      <c r="BD9">
        <f t="shared" si="1"/>
        <v>3.3333333333651666E-7</v>
      </c>
      <c r="BE9">
        <f t="shared" si="1"/>
        <v>3.3333333333651666E-7</v>
      </c>
      <c r="BF9">
        <f t="shared" si="1"/>
        <v>5.3333333333842666E-6</v>
      </c>
      <c r="BG9">
        <f t="shared" si="1"/>
        <v>3.3333333333272701E-5</v>
      </c>
      <c r="BH9">
        <f t="shared" si="1"/>
        <v>7.5000000000005685E-5</v>
      </c>
      <c r="BI9">
        <f t="shared" si="1"/>
        <v>7.5000000000005685E-5</v>
      </c>
      <c r="BJ9">
        <f t="shared" si="1"/>
        <v>7.5000000000005685E-5</v>
      </c>
    </row>
    <row r="10" spans="1:62">
      <c r="C10" s="174"/>
      <c r="D10" s="174"/>
      <c r="E10" s="174"/>
      <c r="F10" s="174"/>
      <c r="G10" s="174"/>
      <c r="H10" s="174"/>
      <c r="I10" s="174"/>
      <c r="J10" s="174"/>
      <c r="K10" s="174"/>
      <c r="L10" s="174"/>
      <c r="M10" s="174"/>
      <c r="N10" s="174"/>
      <c r="O10" s="174"/>
      <c r="P10" s="174"/>
      <c r="Q10" s="174"/>
      <c r="R10" s="174"/>
      <c r="S10" s="174"/>
      <c r="T10" s="174"/>
      <c r="U10" s="174"/>
      <c r="V10" s="174"/>
      <c r="W10" s="174"/>
      <c r="X10" s="174"/>
      <c r="Y10" s="174"/>
      <c r="Z10" s="174"/>
      <c r="AA10" s="174"/>
      <c r="AB10" s="174"/>
      <c r="AC10" s="174"/>
      <c r="AD10" s="174"/>
      <c r="AI10">
        <f t="shared" si="2"/>
        <v>0</v>
      </c>
      <c r="AJ10">
        <f t="shared" si="0"/>
        <v>0</v>
      </c>
      <c r="AK10">
        <f t="shared" si="0"/>
        <v>0</v>
      </c>
      <c r="AL10">
        <f t="shared" si="0"/>
        <v>0</v>
      </c>
      <c r="AM10">
        <f t="shared" si="0"/>
        <v>0</v>
      </c>
      <c r="AN10">
        <f t="shared" si="0"/>
        <v>0</v>
      </c>
      <c r="AO10">
        <f t="shared" si="0"/>
        <v>0</v>
      </c>
      <c r="AP10">
        <f t="shared" si="0"/>
        <v>0</v>
      </c>
      <c r="AQ10">
        <f t="shared" si="0"/>
        <v>0</v>
      </c>
      <c r="AR10">
        <f t="shared" si="0"/>
        <v>0</v>
      </c>
      <c r="AS10">
        <f t="shared" si="0"/>
        <v>0</v>
      </c>
      <c r="AT10">
        <f t="shared" si="0"/>
        <v>0</v>
      </c>
      <c r="AU10">
        <f t="shared" si="0"/>
        <v>0</v>
      </c>
      <c r="AV10">
        <f t="shared" si="0"/>
        <v>0</v>
      </c>
      <c r="AW10">
        <f t="shared" si="0"/>
        <v>0</v>
      </c>
      <c r="AX10">
        <f t="shared" si="0"/>
        <v>0</v>
      </c>
      <c r="AY10">
        <f t="shared" si="0"/>
        <v>0</v>
      </c>
      <c r="AZ10">
        <f t="shared" si="1"/>
        <v>0</v>
      </c>
      <c r="BA10">
        <f t="shared" si="1"/>
        <v>0</v>
      </c>
      <c r="BB10">
        <f t="shared" si="1"/>
        <v>0</v>
      </c>
      <c r="BC10">
        <f t="shared" si="1"/>
        <v>0</v>
      </c>
      <c r="BD10">
        <f t="shared" si="1"/>
        <v>0</v>
      </c>
      <c r="BE10">
        <f t="shared" si="1"/>
        <v>0</v>
      </c>
      <c r="BF10">
        <f t="shared" si="1"/>
        <v>0</v>
      </c>
      <c r="BG10">
        <f t="shared" si="1"/>
        <v>0</v>
      </c>
      <c r="BH10">
        <f t="shared" si="1"/>
        <v>0</v>
      </c>
      <c r="BI10">
        <f t="shared" si="1"/>
        <v>0</v>
      </c>
      <c r="BJ10">
        <f t="shared" si="1"/>
        <v>0</v>
      </c>
    </row>
    <row r="11" spans="1:62">
      <c r="A11" s="175" t="s">
        <v>983</v>
      </c>
      <c r="B11" s="175" t="s">
        <v>1011</v>
      </c>
      <c r="C11" s="176">
        <v>7.0000000000050024E-4</v>
      </c>
      <c r="D11" s="176">
        <v>7.0000000000050024E-4</v>
      </c>
      <c r="E11" s="176">
        <v>7.0000000000050003E-4</v>
      </c>
      <c r="F11" s="176">
        <v>7.0000000000050003E-4</v>
      </c>
      <c r="G11" s="176">
        <v>7.0000000000050003E-4</v>
      </c>
      <c r="H11" s="176">
        <v>7.0000000000050003E-4</v>
      </c>
      <c r="I11" s="176">
        <v>7.0000000000050003E-4</v>
      </c>
      <c r="J11" s="176">
        <v>7.0000000000050003E-4</v>
      </c>
      <c r="K11" s="176">
        <v>7.0000000000050003E-4</v>
      </c>
      <c r="L11" s="176">
        <v>7.0000000000050003E-4</v>
      </c>
      <c r="M11" s="176">
        <v>7.0000000000050003E-4</v>
      </c>
      <c r="N11" s="176">
        <v>7.0000000000050003E-4</v>
      </c>
      <c r="O11" s="176">
        <v>7.0000000000050003E-4</v>
      </c>
      <c r="P11" s="176">
        <v>7.0000000000050003E-4</v>
      </c>
      <c r="Q11" s="176">
        <v>7.0000000000050003E-4</v>
      </c>
      <c r="R11" s="176">
        <v>7.0000000000050003E-4</v>
      </c>
      <c r="S11" s="176">
        <v>7.0000000000050003E-4</v>
      </c>
      <c r="T11" s="176">
        <v>7.0000000000050003E-4</v>
      </c>
      <c r="U11" s="176">
        <v>7.0000000000050003E-4</v>
      </c>
      <c r="V11" s="176">
        <v>7.0000000000050003E-4</v>
      </c>
      <c r="W11" s="176">
        <v>7.0000000000050003E-4</v>
      </c>
      <c r="X11" s="176">
        <v>7.0000000000050003E-4</v>
      </c>
      <c r="Y11" s="176">
        <v>7.0000000000050003E-4</v>
      </c>
      <c r="Z11" s="176">
        <v>7.0000000000050003E-4</v>
      </c>
      <c r="AA11" s="176">
        <v>7.0000000000050003E-4</v>
      </c>
      <c r="AB11" s="176">
        <v>7.0000000000050003E-4</v>
      </c>
      <c r="AC11" s="176">
        <v>7.0000000000050003E-4</v>
      </c>
      <c r="AD11" s="176">
        <v>7.0000000000050003E-4</v>
      </c>
      <c r="AI11">
        <f t="shared" si="2"/>
        <v>4.9000000000070036E-7</v>
      </c>
      <c r="AJ11">
        <f t="shared" si="0"/>
        <v>4.9000000000070036E-7</v>
      </c>
      <c r="AK11">
        <f t="shared" si="0"/>
        <v>4.9000000000070004E-7</v>
      </c>
      <c r="AL11">
        <f t="shared" si="0"/>
        <v>4.9000000000070004E-7</v>
      </c>
      <c r="AM11">
        <f t="shared" si="0"/>
        <v>4.9000000000070004E-7</v>
      </c>
      <c r="AN11">
        <f t="shared" si="0"/>
        <v>4.9000000000070004E-7</v>
      </c>
      <c r="AO11">
        <f t="shared" si="0"/>
        <v>4.9000000000070004E-7</v>
      </c>
      <c r="AP11">
        <f t="shared" si="0"/>
        <v>4.9000000000070004E-7</v>
      </c>
      <c r="AQ11">
        <f t="shared" si="0"/>
        <v>4.9000000000070004E-7</v>
      </c>
      <c r="AR11">
        <f t="shared" si="0"/>
        <v>4.9000000000070004E-7</v>
      </c>
      <c r="AS11">
        <f t="shared" si="0"/>
        <v>4.9000000000070004E-7</v>
      </c>
      <c r="AT11">
        <f t="shared" si="0"/>
        <v>4.9000000000070004E-7</v>
      </c>
      <c r="AU11">
        <f t="shared" si="0"/>
        <v>4.9000000000070004E-7</v>
      </c>
      <c r="AV11">
        <f t="shared" si="0"/>
        <v>4.9000000000070004E-7</v>
      </c>
      <c r="AW11">
        <f t="shared" si="0"/>
        <v>4.9000000000070004E-7</v>
      </c>
      <c r="AX11">
        <f t="shared" si="0"/>
        <v>4.9000000000070004E-7</v>
      </c>
      <c r="AY11">
        <f t="shared" si="0"/>
        <v>4.9000000000070004E-7</v>
      </c>
      <c r="AZ11">
        <f t="shared" si="1"/>
        <v>4.9000000000070004E-7</v>
      </c>
      <c r="BA11">
        <f t="shared" si="1"/>
        <v>4.9000000000070004E-7</v>
      </c>
      <c r="BB11">
        <f t="shared" si="1"/>
        <v>4.9000000000070004E-7</v>
      </c>
      <c r="BC11">
        <f t="shared" si="1"/>
        <v>4.9000000000070004E-7</v>
      </c>
      <c r="BD11">
        <f t="shared" si="1"/>
        <v>4.9000000000070004E-7</v>
      </c>
      <c r="BE11">
        <f t="shared" si="1"/>
        <v>4.9000000000070004E-7</v>
      </c>
      <c r="BF11">
        <f t="shared" si="1"/>
        <v>4.9000000000070004E-7</v>
      </c>
      <c r="BG11">
        <f t="shared" si="1"/>
        <v>4.9000000000070004E-7</v>
      </c>
      <c r="BH11">
        <f t="shared" si="1"/>
        <v>4.9000000000070004E-7</v>
      </c>
      <c r="BI11">
        <f t="shared" si="1"/>
        <v>4.9000000000070004E-7</v>
      </c>
      <c r="BJ11">
        <f t="shared" si="1"/>
        <v>4.9000000000070004E-7</v>
      </c>
    </row>
    <row r="12" spans="1:62">
      <c r="B12" t="s">
        <v>985</v>
      </c>
      <c r="C12" s="176">
        <v>7.0000000000050024E-4</v>
      </c>
      <c r="D12" s="176">
        <v>7.0000000000050024E-4</v>
      </c>
      <c r="E12" s="176">
        <v>6.0000000000002282E-4</v>
      </c>
      <c r="F12" s="176">
        <v>4.999999999995453E-4</v>
      </c>
      <c r="G12" s="176">
        <v>4.999999999995453E-4</v>
      </c>
      <c r="H12" s="176">
        <v>3.9999999999906777E-4</v>
      </c>
      <c r="I12" s="176">
        <v>3.9999999999906777E-4</v>
      </c>
      <c r="J12" s="176">
        <v>3.9999999999906777E-4</v>
      </c>
      <c r="K12" s="176">
        <v>2.9999999999859029E-4</v>
      </c>
      <c r="L12" s="176">
        <v>3.0000000000143248E-4</v>
      </c>
      <c r="M12" s="176">
        <v>1.9999999999811282E-4</v>
      </c>
      <c r="N12" s="176">
        <v>1.9999999999811282E-4</v>
      </c>
      <c r="O12" s="176">
        <v>2.0000000000095497E-4</v>
      </c>
      <c r="P12" s="176">
        <v>1.0000000000047749E-4</v>
      </c>
      <c r="Q12" s="176">
        <v>1.9999999999811282E-4</v>
      </c>
      <c r="R12" s="176">
        <v>1.0000000000047749E-4</v>
      </c>
      <c r="S12" s="176">
        <v>9.9999999997635319E-5</v>
      </c>
      <c r="T12" s="176">
        <v>1.0000000000047749E-4</v>
      </c>
      <c r="U12" s="176">
        <v>0</v>
      </c>
      <c r="V12" s="176">
        <v>1.0000000000047749E-4</v>
      </c>
      <c r="W12" s="176">
        <v>0</v>
      </c>
      <c r="X12" s="176">
        <v>1.0000000000047749E-4</v>
      </c>
      <c r="Y12" s="176">
        <v>2.9999999999859029E-4</v>
      </c>
      <c r="Z12" s="176">
        <v>5.0000000000238742E-4</v>
      </c>
      <c r="AA12" s="176">
        <v>1.2999999999976808E-3</v>
      </c>
      <c r="AB12" s="176">
        <v>2.5000000000005686E-3</v>
      </c>
      <c r="AC12" s="176">
        <v>3.9999999999992047E-3</v>
      </c>
      <c r="AD12" s="176">
        <v>4.5000000000001705E-3</v>
      </c>
      <c r="AI12">
        <f t="shared" si="2"/>
        <v>4.9000000000070036E-7</v>
      </c>
      <c r="AJ12">
        <f t="shared" si="2"/>
        <v>4.9000000000070036E-7</v>
      </c>
      <c r="AK12">
        <f t="shared" si="2"/>
        <v>3.6000000000002736E-7</v>
      </c>
      <c r="AL12">
        <f t="shared" si="2"/>
        <v>2.4999999999954529E-7</v>
      </c>
      <c r="AM12">
        <f t="shared" si="2"/>
        <v>2.4999999999954529E-7</v>
      </c>
      <c r="AN12">
        <f t="shared" si="2"/>
        <v>1.5999999999925422E-7</v>
      </c>
      <c r="AO12">
        <f t="shared" si="2"/>
        <v>1.5999999999925422E-7</v>
      </c>
      <c r="AP12">
        <f t="shared" si="2"/>
        <v>1.5999999999925422E-7</v>
      </c>
      <c r="AQ12">
        <f t="shared" si="2"/>
        <v>8.999999999915417E-8</v>
      </c>
      <c r="AR12">
        <f t="shared" si="2"/>
        <v>9.0000000000859486E-8</v>
      </c>
      <c r="AS12">
        <f t="shared" si="2"/>
        <v>3.9999999999245129E-8</v>
      </c>
      <c r="AT12">
        <f t="shared" si="2"/>
        <v>3.9999999999245129E-8</v>
      </c>
      <c r="AU12">
        <f t="shared" si="2"/>
        <v>4.0000000000381993E-8</v>
      </c>
      <c r="AV12">
        <f t="shared" si="1"/>
        <v>1.0000000000095498E-8</v>
      </c>
      <c r="AW12">
        <f t="shared" si="1"/>
        <v>3.9999999999245129E-8</v>
      </c>
      <c r="AX12">
        <f t="shared" si="1"/>
        <v>1.0000000000095498E-8</v>
      </c>
      <c r="AY12">
        <f t="shared" si="1"/>
        <v>9.9999999995270647E-9</v>
      </c>
      <c r="AZ12">
        <f t="shared" si="1"/>
        <v>1.0000000000095498E-8</v>
      </c>
      <c r="BA12">
        <f t="shared" si="1"/>
        <v>0</v>
      </c>
      <c r="BB12">
        <f t="shared" si="1"/>
        <v>1.0000000000095498E-8</v>
      </c>
      <c r="BC12">
        <f t="shared" si="1"/>
        <v>0</v>
      </c>
      <c r="BD12">
        <f t="shared" si="1"/>
        <v>1.0000000000095498E-8</v>
      </c>
      <c r="BE12">
        <f t="shared" si="1"/>
        <v>8.999999999915417E-8</v>
      </c>
      <c r="BF12">
        <f t="shared" si="1"/>
        <v>2.500000000023874E-7</v>
      </c>
      <c r="BG12">
        <f t="shared" si="1"/>
        <v>1.6899999999939701E-6</v>
      </c>
      <c r="BH12">
        <f t="shared" si="1"/>
        <v>6.2500000000028429E-6</v>
      </c>
      <c r="BI12">
        <f t="shared" si="1"/>
        <v>1.5999999999993636E-5</v>
      </c>
      <c r="BJ12">
        <f t="shared" si="1"/>
        <v>2.0250000000001536E-5</v>
      </c>
    </row>
    <row r="13" spans="1:62">
      <c r="B13" s="175" t="s">
        <v>986</v>
      </c>
      <c r="C13" s="176">
        <v>4.0000000000190994E-3</v>
      </c>
      <c r="D13" s="176">
        <v>3.0000000000143245E-3</v>
      </c>
      <c r="E13" s="176">
        <v>3.0000000000143245E-3</v>
      </c>
      <c r="F13" s="176">
        <v>3.0000000000143245E-3</v>
      </c>
      <c r="G13" s="176">
        <v>2.9999999999859028E-3</v>
      </c>
      <c r="H13" s="176">
        <v>2.0000000000095497E-3</v>
      </c>
      <c r="I13" s="176">
        <v>2.0000000000095497E-3</v>
      </c>
      <c r="J13" s="176">
        <v>2.0000000000095497E-3</v>
      </c>
      <c r="K13" s="176">
        <v>1.0000000000047748E-3</v>
      </c>
      <c r="L13" s="176">
        <v>9.9999999997635314E-4</v>
      </c>
      <c r="M13" s="176">
        <v>2.0000000000095497E-3</v>
      </c>
      <c r="N13" s="176">
        <v>1.0000000000047748E-3</v>
      </c>
      <c r="O13" s="176">
        <v>2.0000000000095497E-3</v>
      </c>
      <c r="P13" s="176">
        <v>2.0000000000095497E-3</v>
      </c>
      <c r="Q13" s="176">
        <v>1.0000000000047748E-3</v>
      </c>
      <c r="R13" s="176">
        <v>1.0000000000047748E-3</v>
      </c>
      <c r="S13" s="176">
        <v>1.0000000000047748E-3</v>
      </c>
      <c r="T13" s="176">
        <v>9.9999999997635314E-4</v>
      </c>
      <c r="U13" s="176">
        <v>1.999999999981128E-3</v>
      </c>
      <c r="V13" s="176">
        <v>1.0000000000047748E-3</v>
      </c>
      <c r="W13" s="176">
        <v>1.999999999981128E-3</v>
      </c>
      <c r="X13" s="176">
        <v>2.9999999999859028E-3</v>
      </c>
      <c r="Y13" s="176">
        <v>2.9999999999859028E-3</v>
      </c>
      <c r="Z13" s="176">
        <v>4.0000000000190994E-3</v>
      </c>
      <c r="AA13" s="176">
        <v>5.9999999999718057E-3</v>
      </c>
      <c r="AB13" s="176">
        <v>7.9999999999955662E-3</v>
      </c>
      <c r="AC13" s="176">
        <v>1.099999999999568E-2</v>
      </c>
      <c r="AD13" s="176">
        <v>1.9000000000005457E-2</v>
      </c>
      <c r="AI13">
        <f t="shared" si="2"/>
        <v>1.6000000000152794E-5</v>
      </c>
      <c r="AJ13">
        <f t="shared" si="2"/>
        <v>9.000000000085947E-6</v>
      </c>
      <c r="AK13">
        <f t="shared" si="2"/>
        <v>9.000000000085947E-6</v>
      </c>
      <c r="AL13">
        <f t="shared" si="2"/>
        <v>9.000000000085947E-6</v>
      </c>
      <c r="AM13">
        <f t="shared" si="2"/>
        <v>8.9999999999154172E-6</v>
      </c>
      <c r="AN13">
        <f t="shared" si="2"/>
        <v>4.0000000000381985E-6</v>
      </c>
      <c r="AO13">
        <f t="shared" si="2"/>
        <v>4.0000000000381985E-6</v>
      </c>
      <c r="AP13">
        <f t="shared" si="2"/>
        <v>4.0000000000381985E-6</v>
      </c>
      <c r="AQ13">
        <f t="shared" si="2"/>
        <v>1.0000000000095496E-6</v>
      </c>
      <c r="AR13">
        <f t="shared" si="2"/>
        <v>9.9999999995270629E-7</v>
      </c>
      <c r="AS13">
        <f t="shared" si="2"/>
        <v>4.0000000000381985E-6</v>
      </c>
      <c r="AT13">
        <f t="shared" si="2"/>
        <v>1.0000000000095496E-6</v>
      </c>
      <c r="AU13">
        <f t="shared" si="2"/>
        <v>4.0000000000381985E-6</v>
      </c>
      <c r="AV13">
        <f t="shared" si="1"/>
        <v>4.0000000000381985E-6</v>
      </c>
      <c r="AW13">
        <f t="shared" si="1"/>
        <v>1.0000000000095496E-6</v>
      </c>
      <c r="AX13">
        <f t="shared" si="1"/>
        <v>1.0000000000095496E-6</v>
      </c>
      <c r="AY13">
        <f t="shared" si="1"/>
        <v>1.0000000000095496E-6</v>
      </c>
      <c r="AZ13">
        <f t="shared" si="1"/>
        <v>9.9999999995270629E-7</v>
      </c>
      <c r="BA13">
        <f t="shared" si="1"/>
        <v>3.9999999999245122E-6</v>
      </c>
      <c r="BB13">
        <f t="shared" si="1"/>
        <v>1.0000000000095496E-6</v>
      </c>
      <c r="BC13">
        <f t="shared" si="1"/>
        <v>3.9999999999245122E-6</v>
      </c>
      <c r="BD13">
        <f t="shared" si="1"/>
        <v>8.9999999999154172E-6</v>
      </c>
      <c r="BE13">
        <f t="shared" si="1"/>
        <v>8.9999999999154172E-6</v>
      </c>
      <c r="BF13">
        <f t="shared" si="1"/>
        <v>1.6000000000152794E-5</v>
      </c>
      <c r="BG13">
        <f t="shared" si="1"/>
        <v>3.5999999999661669E-5</v>
      </c>
      <c r="BH13">
        <f t="shared" si="1"/>
        <v>6.3999999999929063E-5</v>
      </c>
      <c r="BI13">
        <f t="shared" si="1"/>
        <v>1.2099999999990496E-4</v>
      </c>
      <c r="BJ13">
        <f t="shared" si="1"/>
        <v>3.6100000000020735E-4</v>
      </c>
    </row>
    <row r="14" spans="1:62">
      <c r="C14" s="174"/>
      <c r="D14" s="174"/>
      <c r="E14" s="174"/>
      <c r="F14" s="174"/>
      <c r="G14" s="174"/>
      <c r="H14" s="174"/>
      <c r="I14" s="174"/>
      <c r="J14" s="174"/>
      <c r="K14" s="174"/>
      <c r="L14" s="174"/>
      <c r="M14" s="174"/>
      <c r="N14" s="174"/>
      <c r="O14" s="174"/>
      <c r="P14" s="174"/>
      <c r="Q14" s="174"/>
      <c r="R14" s="174"/>
      <c r="S14" s="174"/>
      <c r="T14" s="174"/>
      <c r="U14" s="174"/>
      <c r="V14" s="174"/>
      <c r="W14" s="174"/>
      <c r="X14" s="174"/>
      <c r="Y14" s="174"/>
      <c r="Z14" s="174"/>
      <c r="AA14" s="174"/>
      <c r="AB14" s="174"/>
      <c r="AC14" s="174"/>
      <c r="AD14" s="174"/>
      <c r="AI14">
        <f t="shared" si="2"/>
        <v>0</v>
      </c>
      <c r="AJ14">
        <f t="shared" si="2"/>
        <v>0</v>
      </c>
      <c r="AK14">
        <f t="shared" si="2"/>
        <v>0</v>
      </c>
      <c r="AL14">
        <f t="shared" si="2"/>
        <v>0</v>
      </c>
      <c r="AM14">
        <f t="shared" si="2"/>
        <v>0</v>
      </c>
      <c r="AN14">
        <f t="shared" si="2"/>
        <v>0</v>
      </c>
      <c r="AO14">
        <f t="shared" si="2"/>
        <v>0</v>
      </c>
      <c r="AP14">
        <f t="shared" si="2"/>
        <v>0</v>
      </c>
      <c r="AQ14">
        <f t="shared" si="2"/>
        <v>0</v>
      </c>
      <c r="AR14">
        <f t="shared" si="2"/>
        <v>0</v>
      </c>
      <c r="AS14">
        <f t="shared" si="2"/>
        <v>0</v>
      </c>
      <c r="AT14">
        <f t="shared" si="2"/>
        <v>0</v>
      </c>
      <c r="AU14">
        <f t="shared" si="2"/>
        <v>0</v>
      </c>
      <c r="AV14">
        <f t="shared" si="1"/>
        <v>0</v>
      </c>
      <c r="AW14">
        <f t="shared" si="1"/>
        <v>0</v>
      </c>
      <c r="AX14">
        <f t="shared" si="1"/>
        <v>0</v>
      </c>
      <c r="AY14">
        <f t="shared" si="1"/>
        <v>0</v>
      </c>
      <c r="AZ14">
        <f t="shared" si="1"/>
        <v>0</v>
      </c>
      <c r="BA14">
        <f t="shared" si="1"/>
        <v>0</v>
      </c>
      <c r="BB14">
        <f t="shared" si="1"/>
        <v>0</v>
      </c>
      <c r="BC14">
        <f t="shared" si="1"/>
        <v>0</v>
      </c>
      <c r="BD14">
        <f t="shared" si="1"/>
        <v>0</v>
      </c>
      <c r="BE14">
        <f t="shared" si="1"/>
        <v>0</v>
      </c>
      <c r="BF14">
        <f t="shared" si="1"/>
        <v>0</v>
      </c>
      <c r="BG14">
        <f t="shared" si="1"/>
        <v>0</v>
      </c>
      <c r="BH14">
        <f t="shared" si="1"/>
        <v>0</v>
      </c>
      <c r="BI14">
        <f t="shared" si="1"/>
        <v>0</v>
      </c>
      <c r="BJ14">
        <f t="shared" si="1"/>
        <v>0</v>
      </c>
    </row>
    <row r="15" spans="1:62">
      <c r="A15" t="s">
        <v>987</v>
      </c>
      <c r="B15" s="175" t="s">
        <v>988</v>
      </c>
      <c r="C15" s="176">
        <v>1.0000000000047748E-3</v>
      </c>
      <c r="D15" s="176">
        <v>1.999999999981128E-3</v>
      </c>
      <c r="E15" s="176">
        <v>2.0000000000095497E-3</v>
      </c>
      <c r="F15" s="176">
        <v>1.999999999981128E-3</v>
      </c>
      <c r="G15" s="176">
        <v>3.0000000000143245E-3</v>
      </c>
      <c r="H15" s="176">
        <v>3.9999999999906777E-3</v>
      </c>
      <c r="I15" s="176">
        <v>4.9999999999954525E-3</v>
      </c>
      <c r="J15" s="176">
        <v>6.0000000000002274E-3</v>
      </c>
      <c r="K15" s="176">
        <v>7.9999999999813554E-3</v>
      </c>
      <c r="L15" s="176">
        <v>1.0000000000019327E-2</v>
      </c>
      <c r="M15" s="176">
        <v>1.2000000000000455E-2</v>
      </c>
      <c r="N15" s="176">
        <v>1.4999999999986358E-2</v>
      </c>
      <c r="O15" s="176">
        <v>1.9000000000005457E-2</v>
      </c>
      <c r="P15" s="176">
        <v>2.4000000000000909E-2</v>
      </c>
      <c r="Q15" s="176">
        <v>3.0000000000001137E-2</v>
      </c>
      <c r="R15" s="176">
        <v>3.8000000000010914E-2</v>
      </c>
      <c r="S15" s="176">
        <v>4.6999999999997044E-2</v>
      </c>
      <c r="T15" s="176">
        <v>6.0000000000002274E-2</v>
      </c>
      <c r="U15" s="176">
        <v>7.5000000000017053E-2</v>
      </c>
      <c r="V15" s="176">
        <v>9.3999999999994088E-2</v>
      </c>
      <c r="W15" s="176">
        <v>0.11700000000001864</v>
      </c>
      <c r="X15" s="176">
        <v>0.14300000000000068</v>
      </c>
      <c r="Y15" s="176">
        <v>0.17000000000001592</v>
      </c>
      <c r="Z15" s="176">
        <v>0.18899999999999295</v>
      </c>
      <c r="AA15" s="176">
        <v>0.17300000000000182</v>
      </c>
      <c r="AB15" s="176">
        <v>9.9000000000003752E-2</v>
      </c>
      <c r="AC15" s="176">
        <v>0.1</v>
      </c>
      <c r="AD15" s="176">
        <v>0.14900000000000091</v>
      </c>
      <c r="AI15">
        <f t="shared" si="2"/>
        <v>1.0000000000095496E-6</v>
      </c>
      <c r="AJ15">
        <f t="shared" si="2"/>
        <v>3.9999999999245122E-6</v>
      </c>
      <c r="AK15">
        <f t="shared" si="2"/>
        <v>4.0000000000381985E-6</v>
      </c>
      <c r="AL15">
        <f t="shared" si="2"/>
        <v>3.9999999999245122E-6</v>
      </c>
      <c r="AM15">
        <f t="shared" si="2"/>
        <v>9.000000000085947E-6</v>
      </c>
      <c r="AN15">
        <f t="shared" si="2"/>
        <v>1.5999999999925423E-5</v>
      </c>
      <c r="AO15">
        <f t="shared" si="2"/>
        <v>2.4999999999954526E-5</v>
      </c>
      <c r="AP15">
        <f t="shared" si="2"/>
        <v>3.6000000000002732E-5</v>
      </c>
      <c r="AQ15">
        <f t="shared" si="2"/>
        <v>6.3999999999701692E-5</v>
      </c>
      <c r="AR15">
        <f t="shared" si="2"/>
        <v>1.0000000000038654E-4</v>
      </c>
      <c r="AS15">
        <f t="shared" si="2"/>
        <v>1.4400000000001093E-4</v>
      </c>
      <c r="AT15">
        <f t="shared" si="2"/>
        <v>2.2499999999959073E-4</v>
      </c>
      <c r="AU15">
        <f t="shared" si="2"/>
        <v>3.6100000000020735E-4</v>
      </c>
      <c r="AV15">
        <f t="shared" si="1"/>
        <v>5.7600000000004371E-4</v>
      </c>
      <c r="AW15">
        <f t="shared" si="1"/>
        <v>9.0000000000006817E-4</v>
      </c>
      <c r="AX15">
        <f t="shared" si="1"/>
        <v>1.4440000000008294E-3</v>
      </c>
      <c r="AY15">
        <f t="shared" si="1"/>
        <v>2.208999999999722E-3</v>
      </c>
      <c r="AZ15">
        <f t="shared" si="1"/>
        <v>3.6000000000002727E-3</v>
      </c>
      <c r="BA15">
        <f t="shared" si="1"/>
        <v>5.6250000000025576E-3</v>
      </c>
      <c r="BB15">
        <f t="shared" si="1"/>
        <v>8.8359999999988881E-3</v>
      </c>
      <c r="BC15">
        <f t="shared" si="1"/>
        <v>1.3689000000004363E-2</v>
      </c>
      <c r="BD15">
        <f t="shared" si="1"/>
        <v>2.0449000000000196E-2</v>
      </c>
      <c r="BE15">
        <f t="shared" si="1"/>
        <v>2.8900000000005411E-2</v>
      </c>
      <c r="BF15">
        <f t="shared" si="1"/>
        <v>3.5720999999997338E-2</v>
      </c>
      <c r="BG15">
        <f t="shared" si="1"/>
        <v>2.9929000000000629E-2</v>
      </c>
      <c r="BH15">
        <f t="shared" si="1"/>
        <v>9.8010000000007431E-3</v>
      </c>
      <c r="BI15">
        <f t="shared" si="1"/>
        <v>1.0000000000000002E-2</v>
      </c>
      <c r="BJ15">
        <f t="shared" si="1"/>
        <v>2.2201000000000273E-2</v>
      </c>
    </row>
    <row r="16" spans="1:62">
      <c r="B16" s="175" t="s">
        <v>70</v>
      </c>
      <c r="C16" s="176">
        <v>0</v>
      </c>
      <c r="D16" s="176">
        <v>0</v>
      </c>
      <c r="E16" s="176">
        <v>0</v>
      </c>
      <c r="F16" s="176">
        <v>1.0000000000047748E-3</v>
      </c>
      <c r="G16" s="176">
        <v>1.0000000000047748E-3</v>
      </c>
      <c r="H16" s="176">
        <v>1.0000000000047748E-3</v>
      </c>
      <c r="I16" s="176">
        <v>1.0000000000047748E-3</v>
      </c>
      <c r="J16" s="176">
        <v>1.0000000000047748E-3</v>
      </c>
      <c r="K16" s="176">
        <v>1.0000000000047748E-3</v>
      </c>
      <c r="L16" s="176">
        <v>9.9999999997635314E-4</v>
      </c>
      <c r="M16" s="176">
        <v>2.0000000000095497E-3</v>
      </c>
      <c r="N16" s="176">
        <v>2.0000000000095497E-3</v>
      </c>
      <c r="O16" s="176">
        <v>3.0000000000143245E-3</v>
      </c>
      <c r="P16" s="176">
        <v>3.0000000000143245E-3</v>
      </c>
      <c r="Q16" s="176">
        <v>3.0000000000143245E-3</v>
      </c>
      <c r="R16" s="176">
        <v>4.9999999999954525E-3</v>
      </c>
      <c r="S16" s="176">
        <v>6.0000000000002274E-3</v>
      </c>
      <c r="T16" s="176">
        <v>6.9999999999765805E-3</v>
      </c>
      <c r="U16" s="176">
        <v>9.9999999999909051E-3</v>
      </c>
      <c r="V16" s="176">
        <v>1.099999999999568E-2</v>
      </c>
      <c r="W16" s="176">
        <v>1.2999999999976808E-2</v>
      </c>
      <c r="X16" s="176">
        <v>1.5999999999991132E-2</v>
      </c>
      <c r="Y16" s="176">
        <v>1.5999999999991132E-2</v>
      </c>
      <c r="Z16" s="176">
        <v>1.2000000000000455E-2</v>
      </c>
      <c r="AA16" s="176">
        <v>2.9999999999859028E-3</v>
      </c>
      <c r="AB16" s="176">
        <v>6.0000000000002274E-3</v>
      </c>
      <c r="AC16" s="176">
        <v>1.099999999999568E-2</v>
      </c>
      <c r="AD16" s="176">
        <v>3.3000000000001251E-2</v>
      </c>
      <c r="AI16">
        <f t="shared" si="2"/>
        <v>0</v>
      </c>
      <c r="AJ16">
        <f t="shared" si="2"/>
        <v>0</v>
      </c>
      <c r="AK16">
        <f t="shared" si="2"/>
        <v>0</v>
      </c>
      <c r="AL16">
        <f t="shared" si="2"/>
        <v>1.0000000000095496E-6</v>
      </c>
      <c r="AM16">
        <f t="shared" si="2"/>
        <v>1.0000000000095496E-6</v>
      </c>
      <c r="AN16">
        <f t="shared" si="2"/>
        <v>1.0000000000095496E-6</v>
      </c>
      <c r="AO16">
        <f t="shared" si="2"/>
        <v>1.0000000000095496E-6</v>
      </c>
      <c r="AP16">
        <f t="shared" si="2"/>
        <v>1.0000000000095496E-6</v>
      </c>
      <c r="AQ16">
        <f t="shared" si="2"/>
        <v>1.0000000000095496E-6</v>
      </c>
      <c r="AR16">
        <f t="shared" si="2"/>
        <v>9.9999999995270629E-7</v>
      </c>
      <c r="AS16">
        <f t="shared" si="2"/>
        <v>4.0000000000381985E-6</v>
      </c>
      <c r="AT16">
        <f t="shared" si="2"/>
        <v>4.0000000000381985E-6</v>
      </c>
      <c r="AU16">
        <f t="shared" si="2"/>
        <v>9.000000000085947E-6</v>
      </c>
      <c r="AV16">
        <f t="shared" si="1"/>
        <v>9.000000000085947E-6</v>
      </c>
      <c r="AW16">
        <f t="shared" si="1"/>
        <v>9.000000000085947E-6</v>
      </c>
      <c r="AX16">
        <f t="shared" si="1"/>
        <v>2.4999999999954526E-5</v>
      </c>
      <c r="AY16">
        <f t="shared" si="1"/>
        <v>3.6000000000002732E-5</v>
      </c>
      <c r="AZ16">
        <f t="shared" si="1"/>
        <v>4.8999999999672129E-5</v>
      </c>
      <c r="BA16">
        <f t="shared" si="1"/>
        <v>9.9999999999818103E-5</v>
      </c>
      <c r="BB16">
        <f t="shared" si="1"/>
        <v>1.2099999999990496E-4</v>
      </c>
      <c r="BC16">
        <f t="shared" si="1"/>
        <v>1.6899999999939701E-4</v>
      </c>
      <c r="BD16">
        <f t="shared" si="1"/>
        <v>2.5599999999971625E-4</v>
      </c>
      <c r="BE16">
        <f t="shared" si="1"/>
        <v>2.5599999999971625E-4</v>
      </c>
      <c r="BF16">
        <f t="shared" si="1"/>
        <v>1.4400000000001093E-4</v>
      </c>
      <c r="BG16">
        <f t="shared" si="1"/>
        <v>8.9999999999154172E-6</v>
      </c>
      <c r="BH16">
        <f t="shared" si="1"/>
        <v>3.6000000000002732E-5</v>
      </c>
      <c r="BI16">
        <f t="shared" si="1"/>
        <v>1.2099999999990496E-4</v>
      </c>
      <c r="BJ16">
        <f t="shared" si="1"/>
        <v>1.0890000000000825E-3</v>
      </c>
    </row>
    <row r="17" spans="1:62">
      <c r="B17" s="175" t="s">
        <v>989</v>
      </c>
      <c r="C17" s="176">
        <v>0</v>
      </c>
      <c r="D17" s="176">
        <v>0</v>
      </c>
      <c r="E17" s="176">
        <v>0</v>
      </c>
      <c r="F17" s="176">
        <v>0</v>
      </c>
      <c r="G17" s="176">
        <v>0</v>
      </c>
      <c r="H17" s="176">
        <v>0</v>
      </c>
      <c r="I17" s="176">
        <v>0</v>
      </c>
      <c r="J17" s="176">
        <v>0</v>
      </c>
      <c r="K17" s="176">
        <v>0</v>
      </c>
      <c r="L17" s="176">
        <v>0</v>
      </c>
      <c r="M17" s="176">
        <v>1.0000000000047748E-3</v>
      </c>
      <c r="N17" s="176">
        <v>1.0000000000047748E-3</v>
      </c>
      <c r="O17" s="176">
        <v>1.0000000000047748E-3</v>
      </c>
      <c r="P17" s="176">
        <v>2.0000000000095497E-3</v>
      </c>
      <c r="Q17" s="176">
        <v>1.0000000000047748E-3</v>
      </c>
      <c r="R17" s="176">
        <v>1.999999999981128E-3</v>
      </c>
      <c r="S17" s="176">
        <v>3.0000000000143245E-3</v>
      </c>
      <c r="T17" s="176">
        <v>2.9999999999859028E-3</v>
      </c>
      <c r="U17" s="176">
        <v>4.9999999999954525E-3</v>
      </c>
      <c r="V17" s="176">
        <v>4.9999999999954525E-3</v>
      </c>
      <c r="W17" s="176">
        <v>6.9999999999765805E-3</v>
      </c>
      <c r="X17" s="176">
        <v>9.9999999999909051E-3</v>
      </c>
      <c r="Y17" s="176">
        <v>1.2000000000000455E-2</v>
      </c>
      <c r="Z17" s="176">
        <v>1.4000000000010004E-2</v>
      </c>
      <c r="AA17" s="176">
        <v>1.4999999999986358E-2</v>
      </c>
      <c r="AB17" s="176">
        <v>7.9999999999955662E-3</v>
      </c>
      <c r="AC17" s="176">
        <v>9.0000000000003411E-3</v>
      </c>
      <c r="AD17" s="176">
        <v>5.1000000000001933E-2</v>
      </c>
      <c r="AI17">
        <f t="shared" si="2"/>
        <v>0</v>
      </c>
      <c r="AJ17">
        <f t="shared" si="2"/>
        <v>0</v>
      </c>
      <c r="AK17">
        <f t="shared" si="2"/>
        <v>0</v>
      </c>
      <c r="AL17">
        <f t="shared" si="2"/>
        <v>0</v>
      </c>
      <c r="AM17">
        <f t="shared" si="2"/>
        <v>0</v>
      </c>
      <c r="AN17">
        <f t="shared" si="2"/>
        <v>0</v>
      </c>
      <c r="AO17">
        <f t="shared" si="2"/>
        <v>0</v>
      </c>
      <c r="AP17">
        <f t="shared" si="2"/>
        <v>0</v>
      </c>
      <c r="AQ17">
        <f t="shared" si="2"/>
        <v>0</v>
      </c>
      <c r="AR17">
        <f t="shared" si="2"/>
        <v>0</v>
      </c>
      <c r="AS17">
        <f t="shared" si="2"/>
        <v>1.0000000000095496E-6</v>
      </c>
      <c r="AT17">
        <f t="shared" si="2"/>
        <v>1.0000000000095496E-6</v>
      </c>
      <c r="AU17">
        <f t="shared" si="2"/>
        <v>1.0000000000095496E-6</v>
      </c>
      <c r="AV17">
        <f t="shared" si="1"/>
        <v>4.0000000000381985E-6</v>
      </c>
      <c r="AW17">
        <f t="shared" si="1"/>
        <v>1.0000000000095496E-6</v>
      </c>
      <c r="AX17">
        <f t="shared" si="1"/>
        <v>3.9999999999245122E-6</v>
      </c>
      <c r="AY17">
        <f t="shared" si="1"/>
        <v>9.000000000085947E-6</v>
      </c>
      <c r="AZ17">
        <f t="shared" si="1"/>
        <v>8.9999999999154172E-6</v>
      </c>
      <c r="BA17">
        <f t="shared" si="1"/>
        <v>2.4999999999954526E-5</v>
      </c>
      <c r="BB17">
        <f t="shared" si="1"/>
        <v>2.4999999999954526E-5</v>
      </c>
      <c r="BC17">
        <f t="shared" si="1"/>
        <v>4.8999999999672129E-5</v>
      </c>
      <c r="BD17">
        <f t="shared" si="1"/>
        <v>9.9999999999818103E-5</v>
      </c>
      <c r="BE17">
        <f t="shared" si="1"/>
        <v>1.4400000000001093E-4</v>
      </c>
      <c r="BF17">
        <f t="shared" si="1"/>
        <v>1.9600000000028012E-4</v>
      </c>
      <c r="BG17">
        <f t="shared" si="1"/>
        <v>2.2499999999959073E-4</v>
      </c>
      <c r="BH17">
        <f t="shared" si="1"/>
        <v>6.3999999999929063E-5</v>
      </c>
      <c r="BI17">
        <f t="shared" si="1"/>
        <v>8.1000000000006143E-5</v>
      </c>
      <c r="BJ17">
        <f t="shared" si="1"/>
        <v>2.6010000000001973E-3</v>
      </c>
    </row>
    <row r="18" spans="1:62">
      <c r="C18" s="174"/>
      <c r="D18" s="174"/>
      <c r="E18" s="174"/>
      <c r="F18" s="174"/>
      <c r="G18" s="174"/>
      <c r="H18" s="174"/>
      <c r="I18" s="174"/>
      <c r="J18" s="174"/>
      <c r="K18" s="174"/>
      <c r="L18" s="174"/>
      <c r="M18" s="174"/>
      <c r="N18" s="174"/>
      <c r="O18" s="174"/>
      <c r="P18" s="174"/>
      <c r="Q18" s="174"/>
      <c r="R18" s="174"/>
      <c r="S18" s="174"/>
      <c r="T18" s="174"/>
      <c r="U18" s="174"/>
      <c r="V18" s="174"/>
      <c r="W18" s="174"/>
      <c r="X18" s="174"/>
      <c r="Y18" s="174"/>
      <c r="Z18" s="174"/>
      <c r="AA18" s="174"/>
      <c r="AB18" s="174"/>
      <c r="AC18" s="174"/>
      <c r="AD18" s="174"/>
      <c r="AI18">
        <f t="shared" si="2"/>
        <v>0</v>
      </c>
      <c r="AJ18">
        <f t="shared" si="2"/>
        <v>0</v>
      </c>
      <c r="AK18">
        <f t="shared" si="2"/>
        <v>0</v>
      </c>
      <c r="AL18">
        <f t="shared" si="2"/>
        <v>0</v>
      </c>
      <c r="AM18">
        <f t="shared" si="2"/>
        <v>0</v>
      </c>
      <c r="AN18">
        <f t="shared" si="2"/>
        <v>0</v>
      </c>
      <c r="AO18">
        <f t="shared" si="2"/>
        <v>0</v>
      </c>
      <c r="AP18">
        <f t="shared" si="2"/>
        <v>0</v>
      </c>
      <c r="AQ18">
        <f t="shared" si="2"/>
        <v>0</v>
      </c>
      <c r="AR18">
        <f t="shared" si="2"/>
        <v>0</v>
      </c>
      <c r="AS18">
        <f t="shared" si="2"/>
        <v>0</v>
      </c>
      <c r="AT18">
        <f t="shared" si="2"/>
        <v>0</v>
      </c>
      <c r="AU18">
        <f t="shared" si="2"/>
        <v>0</v>
      </c>
      <c r="AV18">
        <f t="shared" si="1"/>
        <v>0</v>
      </c>
      <c r="AW18">
        <f t="shared" si="1"/>
        <v>0</v>
      </c>
      <c r="AX18">
        <f t="shared" si="1"/>
        <v>0</v>
      </c>
      <c r="AY18">
        <f t="shared" si="1"/>
        <v>0</v>
      </c>
      <c r="AZ18">
        <f t="shared" si="1"/>
        <v>0</v>
      </c>
      <c r="BA18">
        <f t="shared" si="1"/>
        <v>0</v>
      </c>
      <c r="BB18">
        <f t="shared" si="1"/>
        <v>0</v>
      </c>
      <c r="BC18">
        <f t="shared" si="1"/>
        <v>0</v>
      </c>
      <c r="BD18">
        <f t="shared" si="1"/>
        <v>0</v>
      </c>
      <c r="BE18">
        <f t="shared" si="1"/>
        <v>0</v>
      </c>
      <c r="BF18">
        <f t="shared" si="1"/>
        <v>0</v>
      </c>
      <c r="BG18">
        <f t="shared" si="1"/>
        <v>0</v>
      </c>
      <c r="BH18">
        <f t="shared" si="1"/>
        <v>0</v>
      </c>
      <c r="BI18">
        <f t="shared" si="1"/>
        <v>0</v>
      </c>
      <c r="BJ18">
        <f t="shared" si="1"/>
        <v>0</v>
      </c>
    </row>
    <row r="19" spans="1:62">
      <c r="A19" s="175" t="s">
        <v>990</v>
      </c>
      <c r="B19" t="s">
        <v>991</v>
      </c>
      <c r="C19" s="176">
        <v>3.836999999999989E-2</v>
      </c>
      <c r="D19" s="176">
        <v>3.4380000000000452E-2</v>
      </c>
      <c r="E19" s="176">
        <v>3.0839999999999746E-2</v>
      </c>
      <c r="F19" s="176">
        <v>2.7630000000000619E-2</v>
      </c>
      <c r="G19" s="176">
        <v>2.4749999999999658E-2</v>
      </c>
      <c r="H19" s="176">
        <v>2.2139999999999986E-2</v>
      </c>
      <c r="I19" s="176">
        <v>1.9799999999999898E-2</v>
      </c>
      <c r="J19" s="176">
        <v>1.7700000000000101E-2</v>
      </c>
      <c r="K19" s="176">
        <v>1.5810000000000456E-2</v>
      </c>
      <c r="L19" s="176">
        <v>1.4129999999999256E-2</v>
      </c>
      <c r="M19" s="176">
        <v>1.263000000000062E-2</v>
      </c>
      <c r="N19" s="176">
        <v>1.125E-2</v>
      </c>
      <c r="O19" s="176">
        <v>1.0050000000000238E-2</v>
      </c>
      <c r="P19" s="176">
        <v>8.9400000000000538E-3</v>
      </c>
      <c r="Q19" s="176">
        <v>7.9500000000004428E-3</v>
      </c>
      <c r="R19" s="176">
        <v>7.0499999999995566E-3</v>
      </c>
      <c r="S19" s="176">
        <v>6.2700000000000949E-3</v>
      </c>
      <c r="T19" s="176">
        <v>5.5199999999999251E-3</v>
      </c>
      <c r="U19" s="176">
        <v>4.8600000000001836E-3</v>
      </c>
      <c r="V19" s="176">
        <v>4.200000000000443E-3</v>
      </c>
      <c r="W19" s="176">
        <v>3.5999999999992835E-3</v>
      </c>
      <c r="X19" s="176">
        <v>3.0299999999999728E-3</v>
      </c>
      <c r="Y19" s="176">
        <v>2.3999999999995223E-3</v>
      </c>
      <c r="Z19" s="176">
        <v>1.6800000000003479E-3</v>
      </c>
      <c r="AA19" s="176">
        <v>8.999999999991814E-4</v>
      </c>
      <c r="AB19" s="176">
        <v>1.4999999999986357E-4</v>
      </c>
      <c r="AC19" s="176">
        <v>1.5600000000002012E-3</v>
      </c>
      <c r="AD19" s="176">
        <v>3.9300000000000064E-3</v>
      </c>
      <c r="AI19">
        <f t="shared" si="2"/>
        <v>1.4722568999999915E-3</v>
      </c>
      <c r="AJ19">
        <f t="shared" si="2"/>
        <v>1.181984400000031E-3</v>
      </c>
      <c r="AK19">
        <f t="shared" si="2"/>
        <v>9.5110559999998432E-4</v>
      </c>
      <c r="AL19">
        <f t="shared" si="2"/>
        <v>7.6341690000003419E-4</v>
      </c>
      <c r="AM19">
        <f t="shared" si="2"/>
        <v>6.1256249999998302E-4</v>
      </c>
      <c r="AN19">
        <f t="shared" si="2"/>
        <v>4.9017959999999943E-4</v>
      </c>
      <c r="AO19">
        <f t="shared" si="2"/>
        <v>3.9203999999999596E-4</v>
      </c>
      <c r="AP19">
        <f t="shared" si="2"/>
        <v>3.1329000000000355E-4</v>
      </c>
      <c r="AQ19">
        <f t="shared" si="2"/>
        <v>2.4995610000001442E-4</v>
      </c>
      <c r="AR19">
        <f t="shared" si="2"/>
        <v>1.9965689999997896E-4</v>
      </c>
      <c r="AS19">
        <f t="shared" si="2"/>
        <v>1.5951690000001566E-4</v>
      </c>
      <c r="AT19">
        <f t="shared" si="2"/>
        <v>1.2656249999999999E-4</v>
      </c>
      <c r="AU19">
        <f t="shared" si="2"/>
        <v>1.0100250000000477E-4</v>
      </c>
      <c r="AV19">
        <f t="shared" si="1"/>
        <v>7.9923600000000964E-5</v>
      </c>
      <c r="AW19">
        <f t="shared" si="1"/>
        <v>6.3202500000007037E-5</v>
      </c>
      <c r="AX19">
        <f t="shared" si="1"/>
        <v>4.9702499999993746E-5</v>
      </c>
      <c r="AY19">
        <f t="shared" si="1"/>
        <v>3.9312900000001194E-5</v>
      </c>
      <c r="AZ19">
        <f t="shared" si="1"/>
        <v>3.0470399999999172E-5</v>
      </c>
      <c r="BA19">
        <f t="shared" si="1"/>
        <v>2.3619600000001786E-5</v>
      </c>
      <c r="BB19">
        <f t="shared" si="1"/>
        <v>1.7640000000003721E-5</v>
      </c>
      <c r="BC19">
        <f t="shared" si="1"/>
        <v>1.2959999999994841E-5</v>
      </c>
      <c r="BD19">
        <f t="shared" si="1"/>
        <v>9.1808999999998345E-6</v>
      </c>
      <c r="BE19">
        <f t="shared" si="1"/>
        <v>5.759999999997707E-6</v>
      </c>
      <c r="BF19">
        <f t="shared" si="1"/>
        <v>2.8224000000011688E-6</v>
      </c>
      <c r="BG19">
        <f t="shared" si="1"/>
        <v>8.0999999999852656E-7</v>
      </c>
      <c r="BH19">
        <f t="shared" si="1"/>
        <v>2.2499999999959071E-8</v>
      </c>
      <c r="BI19">
        <f t="shared" si="1"/>
        <v>2.4336000000006279E-6</v>
      </c>
      <c r="BJ19">
        <f t="shared" si="1"/>
        <v>1.5444900000000049E-5</v>
      </c>
    </row>
    <row r="20" spans="1:62">
      <c r="B20" t="s">
        <v>992</v>
      </c>
      <c r="C20" s="176">
        <v>1.7900000000000204E-2</v>
      </c>
      <c r="D20" s="176">
        <v>1.6199999999997772E-2</v>
      </c>
      <c r="E20" s="176">
        <v>1.4599999999998659E-2</v>
      </c>
      <c r="F20" s="176">
        <v>1.2999999999999547E-2</v>
      </c>
      <c r="G20" s="176">
        <v>1.1700000000001865E-2</v>
      </c>
      <c r="H20" s="176">
        <v>1.0499999999998977E-2</v>
      </c>
      <c r="I20" s="176">
        <v>9.3999999999994088E-3</v>
      </c>
      <c r="J20" s="176">
        <v>8.4999999999979536E-3</v>
      </c>
      <c r="K20" s="176">
        <v>7.5999999999993408E-3</v>
      </c>
      <c r="L20" s="176">
        <v>6.8000000000012053E-3</v>
      </c>
      <c r="M20" s="176">
        <v>6.0000000000002274E-3</v>
      </c>
      <c r="N20" s="176">
        <v>5.400000000000205E-3</v>
      </c>
      <c r="O20" s="176">
        <v>4.8000000000001826E-3</v>
      </c>
      <c r="P20" s="176">
        <v>4.3000000000006366E-3</v>
      </c>
      <c r="Q20" s="176">
        <v>3.899999999998727E-3</v>
      </c>
      <c r="R20" s="176">
        <v>3.4000000000020238E-3</v>
      </c>
      <c r="S20" s="176">
        <v>3.0000000000001137E-3</v>
      </c>
      <c r="T20" s="176">
        <v>2.7000000000015237E-3</v>
      </c>
      <c r="U20" s="176">
        <v>2.2999999999996136E-3</v>
      </c>
      <c r="V20" s="176">
        <v>2.0999999999986585E-3</v>
      </c>
      <c r="W20" s="176">
        <v>1.8000000000000683E-3</v>
      </c>
      <c r="X20" s="176">
        <v>1.500000000001478E-3</v>
      </c>
      <c r="Y20" s="176">
        <v>1.2000000000000456E-3</v>
      </c>
      <c r="Z20" s="176">
        <v>9.9999999999909059E-4</v>
      </c>
      <c r="AA20" s="176">
        <v>6.0000000000002282E-4</v>
      </c>
      <c r="AB20" s="176">
        <v>6.0000000000002282E-4</v>
      </c>
      <c r="AC20" s="176">
        <v>6.0000000000002282E-4</v>
      </c>
      <c r="AD20" s="176">
        <v>6.0000000000002282E-4</v>
      </c>
      <c r="AI20">
        <f t="shared" si="2"/>
        <v>3.2041000000000729E-4</v>
      </c>
      <c r="AJ20">
        <f t="shared" si="2"/>
        <v>2.6243999999992781E-4</v>
      </c>
      <c r="AK20">
        <f t="shared" si="2"/>
        <v>2.1315999999996086E-4</v>
      </c>
      <c r="AL20">
        <f t="shared" si="2"/>
        <v>1.6899999999998822E-4</v>
      </c>
      <c r="AM20">
        <f t="shared" si="2"/>
        <v>1.3689000000004364E-4</v>
      </c>
      <c r="AN20">
        <f t="shared" si="2"/>
        <v>1.1024999999997852E-4</v>
      </c>
      <c r="AO20">
        <f t="shared" si="2"/>
        <v>8.8359999999988888E-5</v>
      </c>
      <c r="AP20">
        <f t="shared" si="2"/>
        <v>7.2249999999965219E-5</v>
      </c>
      <c r="AQ20">
        <f t="shared" si="2"/>
        <v>5.7759999999989981E-5</v>
      </c>
      <c r="AR20">
        <f t="shared" si="2"/>
        <v>4.624000000001639E-5</v>
      </c>
      <c r="AS20">
        <f t="shared" si="2"/>
        <v>3.6000000000002732E-5</v>
      </c>
      <c r="AT20">
        <f t="shared" si="2"/>
        <v>2.9160000000002214E-5</v>
      </c>
      <c r="AU20">
        <f t="shared" si="2"/>
        <v>2.3040000000001751E-5</v>
      </c>
      <c r="AV20">
        <f t="shared" si="1"/>
        <v>1.8490000000005476E-5</v>
      </c>
      <c r="AW20">
        <f t="shared" si="1"/>
        <v>1.5209999999990071E-5</v>
      </c>
      <c r="AX20">
        <f t="shared" si="1"/>
        <v>1.1560000000013762E-5</v>
      </c>
      <c r="AY20">
        <f t="shared" si="1"/>
        <v>9.0000000000006829E-6</v>
      </c>
      <c r="AZ20">
        <f t="shared" si="1"/>
        <v>7.2900000000082277E-6</v>
      </c>
      <c r="BA20">
        <f t="shared" si="1"/>
        <v>5.2899999999982223E-6</v>
      </c>
      <c r="BB20">
        <f t="shared" si="1"/>
        <v>4.4099999999943657E-6</v>
      </c>
      <c r="BC20">
        <f t="shared" si="1"/>
        <v>3.2400000000002455E-6</v>
      </c>
      <c r="BD20">
        <f t="shared" si="1"/>
        <v>2.2500000000044339E-6</v>
      </c>
      <c r="BE20">
        <f t="shared" si="1"/>
        <v>1.4400000000001095E-6</v>
      </c>
      <c r="BF20">
        <f t="shared" si="1"/>
        <v>9.9999999999818116E-7</v>
      </c>
      <c r="BG20">
        <f t="shared" si="1"/>
        <v>3.6000000000002736E-7</v>
      </c>
      <c r="BH20">
        <f t="shared" si="1"/>
        <v>3.6000000000002736E-7</v>
      </c>
      <c r="BI20">
        <f t="shared" si="1"/>
        <v>3.6000000000002736E-7</v>
      </c>
      <c r="BJ20">
        <f t="shared" si="1"/>
        <v>3.6000000000002736E-7</v>
      </c>
    </row>
    <row r="21" spans="1:62">
      <c r="C21" s="174"/>
      <c r="D21" s="174"/>
      <c r="E21" s="174"/>
      <c r="F21" s="174"/>
      <c r="G21" s="174"/>
      <c r="H21" s="174"/>
      <c r="I21" s="174"/>
      <c r="J21" s="174"/>
      <c r="K21" s="174"/>
      <c r="L21" s="174"/>
      <c r="M21" s="174"/>
      <c r="N21" s="174"/>
      <c r="O21" s="174"/>
      <c r="P21" s="174"/>
      <c r="Q21" s="174"/>
      <c r="R21" s="174"/>
      <c r="S21" s="174"/>
      <c r="T21" s="174"/>
      <c r="U21" s="174"/>
      <c r="V21" s="174"/>
      <c r="W21" s="174"/>
      <c r="X21" s="174"/>
      <c r="Y21" s="174"/>
      <c r="Z21" s="174"/>
      <c r="AA21" s="174"/>
      <c r="AB21" s="174"/>
      <c r="AC21" s="174"/>
      <c r="AD21" s="174"/>
      <c r="AI21">
        <f t="shared" si="2"/>
        <v>0</v>
      </c>
      <c r="AJ21">
        <f t="shared" si="2"/>
        <v>0</v>
      </c>
      <c r="AK21">
        <f t="shared" si="2"/>
        <v>0</v>
      </c>
      <c r="AL21">
        <f t="shared" si="2"/>
        <v>0</v>
      </c>
      <c r="AM21">
        <f t="shared" si="2"/>
        <v>0</v>
      </c>
      <c r="AN21">
        <f t="shared" si="2"/>
        <v>0</v>
      </c>
      <c r="AO21">
        <f t="shared" si="2"/>
        <v>0</v>
      </c>
      <c r="AP21">
        <f t="shared" si="2"/>
        <v>0</v>
      </c>
      <c r="AQ21">
        <f t="shared" si="2"/>
        <v>0</v>
      </c>
      <c r="AR21">
        <f t="shared" si="2"/>
        <v>0</v>
      </c>
      <c r="AS21">
        <f t="shared" si="2"/>
        <v>0</v>
      </c>
      <c r="AT21">
        <f t="shared" si="2"/>
        <v>0</v>
      </c>
      <c r="AU21">
        <f t="shared" si="2"/>
        <v>0</v>
      </c>
      <c r="AV21">
        <f t="shared" si="1"/>
        <v>0</v>
      </c>
      <c r="AW21">
        <f t="shared" si="1"/>
        <v>0</v>
      </c>
      <c r="AX21">
        <f t="shared" si="1"/>
        <v>0</v>
      </c>
      <c r="AY21">
        <f t="shared" si="1"/>
        <v>0</v>
      </c>
      <c r="AZ21">
        <f t="shared" si="1"/>
        <v>0</v>
      </c>
      <c r="BA21">
        <f t="shared" si="1"/>
        <v>0</v>
      </c>
      <c r="BB21">
        <f t="shared" si="1"/>
        <v>0</v>
      </c>
      <c r="BC21">
        <f t="shared" si="1"/>
        <v>0</v>
      </c>
      <c r="BD21">
        <f t="shared" si="1"/>
        <v>0</v>
      </c>
      <c r="BE21">
        <f t="shared" si="1"/>
        <v>0</v>
      </c>
      <c r="BF21">
        <f t="shared" si="1"/>
        <v>0</v>
      </c>
      <c r="BG21">
        <f t="shared" si="1"/>
        <v>0</v>
      </c>
      <c r="BH21">
        <f t="shared" si="1"/>
        <v>0</v>
      </c>
      <c r="BI21">
        <f t="shared" si="1"/>
        <v>0</v>
      </c>
      <c r="BJ21">
        <f t="shared" si="1"/>
        <v>0</v>
      </c>
    </row>
    <row r="22" spans="1:62">
      <c r="A22" s="175" t="s">
        <v>995</v>
      </c>
      <c r="C22" s="176">
        <v>0</v>
      </c>
      <c r="D22" s="176">
        <v>0</v>
      </c>
      <c r="E22" s="176">
        <v>0</v>
      </c>
      <c r="F22" s="176">
        <v>0</v>
      </c>
      <c r="G22" s="176">
        <v>0</v>
      </c>
      <c r="H22" s="176">
        <v>0</v>
      </c>
      <c r="I22" s="176">
        <v>0</v>
      </c>
      <c r="J22" s="176">
        <v>0</v>
      </c>
      <c r="K22" s="176">
        <v>0</v>
      </c>
      <c r="L22" s="176">
        <v>0</v>
      </c>
      <c r="M22" s="176">
        <v>0</v>
      </c>
      <c r="N22" s="176">
        <v>0</v>
      </c>
      <c r="O22" s="176">
        <v>0</v>
      </c>
      <c r="P22" s="176">
        <v>0</v>
      </c>
      <c r="Q22" s="176">
        <v>0</v>
      </c>
      <c r="R22" s="176">
        <v>0</v>
      </c>
      <c r="S22" s="176">
        <v>0</v>
      </c>
      <c r="T22" s="176">
        <v>0</v>
      </c>
      <c r="U22" s="176">
        <v>0</v>
      </c>
      <c r="V22" s="176">
        <v>0</v>
      </c>
      <c r="W22" s="176">
        <v>0.01</v>
      </c>
      <c r="X22" s="176">
        <v>0.01</v>
      </c>
      <c r="Y22" s="176">
        <v>0.02</v>
      </c>
      <c r="Z22" s="176">
        <v>0.03</v>
      </c>
      <c r="AA22" s="176">
        <v>0.05</v>
      </c>
      <c r="AB22" s="176">
        <v>0.01</v>
      </c>
      <c r="AC22" s="176">
        <v>0.15</v>
      </c>
      <c r="AD22" s="176">
        <v>0.2</v>
      </c>
      <c r="AI22">
        <f t="shared" si="2"/>
        <v>0</v>
      </c>
      <c r="AJ22">
        <f t="shared" si="2"/>
        <v>0</v>
      </c>
      <c r="AK22">
        <f t="shared" si="2"/>
        <v>0</v>
      </c>
      <c r="AL22">
        <f t="shared" si="2"/>
        <v>0</v>
      </c>
      <c r="AM22">
        <f t="shared" si="2"/>
        <v>0</v>
      </c>
      <c r="AN22">
        <f t="shared" si="2"/>
        <v>0</v>
      </c>
      <c r="AO22">
        <f t="shared" si="2"/>
        <v>0</v>
      </c>
      <c r="AP22">
        <f t="shared" si="2"/>
        <v>0</v>
      </c>
      <c r="AQ22">
        <f t="shared" si="2"/>
        <v>0</v>
      </c>
      <c r="AR22">
        <f t="shared" si="2"/>
        <v>0</v>
      </c>
      <c r="AS22">
        <f t="shared" si="2"/>
        <v>0</v>
      </c>
      <c r="AT22">
        <f t="shared" si="2"/>
        <v>0</v>
      </c>
      <c r="AU22">
        <f t="shared" si="2"/>
        <v>0</v>
      </c>
      <c r="AV22">
        <f t="shared" si="1"/>
        <v>0</v>
      </c>
      <c r="AW22">
        <f t="shared" si="1"/>
        <v>0</v>
      </c>
      <c r="AX22">
        <f t="shared" si="1"/>
        <v>0</v>
      </c>
      <c r="AY22">
        <f t="shared" si="1"/>
        <v>0</v>
      </c>
      <c r="AZ22">
        <f t="shared" si="1"/>
        <v>0</v>
      </c>
      <c r="BA22">
        <f t="shared" si="1"/>
        <v>0</v>
      </c>
      <c r="BB22">
        <f t="shared" si="1"/>
        <v>0</v>
      </c>
      <c r="BC22">
        <f t="shared" si="1"/>
        <v>1E-4</v>
      </c>
      <c r="BD22">
        <f t="shared" si="1"/>
        <v>1E-4</v>
      </c>
      <c r="BE22">
        <f t="shared" si="1"/>
        <v>4.0000000000000002E-4</v>
      </c>
      <c r="BF22">
        <f t="shared" si="1"/>
        <v>8.9999999999999998E-4</v>
      </c>
      <c r="BG22">
        <f t="shared" si="1"/>
        <v>2.5000000000000005E-3</v>
      </c>
      <c r="BH22">
        <f t="shared" si="1"/>
        <v>1E-4</v>
      </c>
      <c r="BI22">
        <f t="shared" si="1"/>
        <v>2.2499999999999999E-2</v>
      </c>
      <c r="BJ22">
        <f t="shared" si="1"/>
        <v>4.0000000000000008E-2</v>
      </c>
    </row>
    <row r="23" spans="1:62">
      <c r="C23" s="174"/>
      <c r="D23" s="174"/>
      <c r="E23" s="174"/>
      <c r="F23" s="174"/>
      <c r="G23" s="174"/>
      <c r="H23" s="174"/>
      <c r="I23" s="174"/>
      <c r="J23" s="174"/>
      <c r="K23" s="174"/>
      <c r="L23" s="174"/>
      <c r="M23" s="174"/>
      <c r="N23" s="174"/>
      <c r="O23" s="174"/>
      <c r="P23" s="174"/>
      <c r="Q23" s="174"/>
      <c r="R23" s="174"/>
      <c r="S23" s="174"/>
      <c r="T23" s="174"/>
      <c r="U23" s="174"/>
      <c r="V23" s="174"/>
      <c r="W23" s="174"/>
      <c r="X23" s="174"/>
      <c r="Y23" s="174"/>
      <c r="Z23" s="174"/>
      <c r="AA23" s="174"/>
      <c r="AB23" s="174"/>
      <c r="AI23">
        <f t="shared" si="2"/>
        <v>0</v>
      </c>
      <c r="AJ23">
        <f t="shared" si="2"/>
        <v>0</v>
      </c>
      <c r="AK23">
        <f t="shared" si="2"/>
        <v>0</v>
      </c>
      <c r="AL23">
        <f t="shared" si="2"/>
        <v>0</v>
      </c>
      <c r="AM23">
        <f t="shared" si="2"/>
        <v>0</v>
      </c>
      <c r="AN23">
        <f t="shared" si="2"/>
        <v>0</v>
      </c>
      <c r="AO23">
        <f t="shared" si="2"/>
        <v>0</v>
      </c>
      <c r="AP23">
        <f t="shared" si="2"/>
        <v>0</v>
      </c>
      <c r="AQ23">
        <f t="shared" si="2"/>
        <v>0</v>
      </c>
      <c r="AR23">
        <f t="shared" si="2"/>
        <v>0</v>
      </c>
      <c r="AS23">
        <f t="shared" si="2"/>
        <v>0</v>
      </c>
      <c r="AT23">
        <f t="shared" si="2"/>
        <v>0</v>
      </c>
      <c r="AU23">
        <f t="shared" si="2"/>
        <v>0</v>
      </c>
      <c r="AV23">
        <f t="shared" si="2"/>
        <v>0</v>
      </c>
      <c r="AW23">
        <f t="shared" si="2"/>
        <v>0</v>
      </c>
      <c r="AX23">
        <f t="shared" si="2"/>
        <v>0</v>
      </c>
      <c r="AY23">
        <f t="shared" ref="AV23:BJ36" si="3">S23^2</f>
        <v>0</v>
      </c>
      <c r="AZ23">
        <f t="shared" si="3"/>
        <v>0</v>
      </c>
      <c r="BA23">
        <f t="shared" si="3"/>
        <v>0</v>
      </c>
      <c r="BB23">
        <f t="shared" si="3"/>
        <v>0</v>
      </c>
      <c r="BC23">
        <f t="shared" si="3"/>
        <v>0</v>
      </c>
      <c r="BD23">
        <f t="shared" si="3"/>
        <v>0</v>
      </c>
      <c r="BE23">
        <f t="shared" si="3"/>
        <v>0</v>
      </c>
      <c r="BF23">
        <f t="shared" si="3"/>
        <v>0</v>
      </c>
      <c r="BG23">
        <f t="shared" si="3"/>
        <v>0</v>
      </c>
      <c r="BH23">
        <f t="shared" si="3"/>
        <v>0</v>
      </c>
      <c r="BI23">
        <f t="shared" si="3"/>
        <v>0</v>
      </c>
      <c r="BJ23">
        <f t="shared" si="3"/>
        <v>0</v>
      </c>
    </row>
    <row r="24" spans="1:62">
      <c r="A24" s="175" t="s">
        <v>996</v>
      </c>
      <c r="B24" t="s">
        <v>997</v>
      </c>
      <c r="C24" s="176">
        <v>5.0000000000238742E-4</v>
      </c>
      <c r="D24" s="176">
        <v>0</v>
      </c>
      <c r="E24" s="176">
        <v>0</v>
      </c>
      <c r="F24" s="176">
        <v>5.0000000000238742E-4</v>
      </c>
      <c r="G24" s="176">
        <v>5.0000000000238742E-4</v>
      </c>
      <c r="H24" s="176">
        <v>5.0000000000238742E-4</v>
      </c>
      <c r="I24" s="176">
        <v>5.0000000000238742E-4</v>
      </c>
      <c r="J24" s="176">
        <v>0</v>
      </c>
      <c r="K24" s="176">
        <v>0</v>
      </c>
      <c r="L24" s="176">
        <v>0</v>
      </c>
      <c r="M24" s="176">
        <v>5.0000000000238742E-4</v>
      </c>
      <c r="N24" s="176">
        <v>0</v>
      </c>
      <c r="O24" s="176">
        <v>5.0000000000238742E-4</v>
      </c>
      <c r="P24" s="176">
        <v>5.0000000000238742E-4</v>
      </c>
      <c r="Q24" s="176">
        <v>0</v>
      </c>
      <c r="R24" s="176">
        <v>0</v>
      </c>
      <c r="S24" s="176">
        <v>0</v>
      </c>
      <c r="T24" s="176">
        <v>0</v>
      </c>
      <c r="U24" s="176">
        <v>5.0000000000238742E-4</v>
      </c>
      <c r="V24" s="176">
        <v>0</v>
      </c>
      <c r="W24" s="176">
        <v>0</v>
      </c>
      <c r="X24" s="176">
        <v>0</v>
      </c>
      <c r="Y24" s="176">
        <v>0</v>
      </c>
      <c r="Z24" s="176">
        <v>0</v>
      </c>
      <c r="AA24" s="176">
        <v>0</v>
      </c>
      <c r="AB24" s="176">
        <v>5.0000000000238742E-4</v>
      </c>
      <c r="AC24" s="176">
        <v>1.5000000000000568E-3</v>
      </c>
      <c r="AD24" s="176">
        <v>2.4999999999977263E-3</v>
      </c>
      <c r="AI24">
        <f t="shared" si="2"/>
        <v>2.500000000023874E-7</v>
      </c>
      <c r="AJ24">
        <f t="shared" si="2"/>
        <v>0</v>
      </c>
      <c r="AK24">
        <f t="shared" si="2"/>
        <v>0</v>
      </c>
      <c r="AL24">
        <f t="shared" si="2"/>
        <v>2.500000000023874E-7</v>
      </c>
      <c r="AM24">
        <f t="shared" si="2"/>
        <v>2.500000000023874E-7</v>
      </c>
      <c r="AN24">
        <f t="shared" si="2"/>
        <v>2.500000000023874E-7</v>
      </c>
      <c r="AO24">
        <f t="shared" si="2"/>
        <v>2.500000000023874E-7</v>
      </c>
      <c r="AP24">
        <f t="shared" si="2"/>
        <v>0</v>
      </c>
      <c r="AQ24">
        <f t="shared" si="2"/>
        <v>0</v>
      </c>
      <c r="AR24">
        <f t="shared" si="2"/>
        <v>0</v>
      </c>
      <c r="AS24">
        <f t="shared" si="2"/>
        <v>2.500000000023874E-7</v>
      </c>
      <c r="AT24">
        <f t="shared" si="2"/>
        <v>0</v>
      </c>
      <c r="AU24">
        <f t="shared" si="2"/>
        <v>2.500000000023874E-7</v>
      </c>
      <c r="AV24">
        <f t="shared" si="3"/>
        <v>2.500000000023874E-7</v>
      </c>
      <c r="AW24">
        <f t="shared" si="3"/>
        <v>0</v>
      </c>
      <c r="AX24">
        <f t="shared" si="3"/>
        <v>0</v>
      </c>
      <c r="AY24">
        <f t="shared" si="3"/>
        <v>0</v>
      </c>
      <c r="AZ24">
        <f t="shared" si="3"/>
        <v>0</v>
      </c>
      <c r="BA24">
        <f t="shared" si="3"/>
        <v>2.500000000023874E-7</v>
      </c>
      <c r="BB24">
        <f t="shared" si="3"/>
        <v>0</v>
      </c>
      <c r="BC24">
        <f t="shared" si="3"/>
        <v>0</v>
      </c>
      <c r="BD24">
        <f t="shared" si="3"/>
        <v>0</v>
      </c>
      <c r="BE24">
        <f t="shared" si="3"/>
        <v>0</v>
      </c>
      <c r="BF24">
        <f t="shared" si="3"/>
        <v>0</v>
      </c>
      <c r="BG24">
        <f t="shared" si="3"/>
        <v>0</v>
      </c>
      <c r="BH24">
        <f t="shared" si="3"/>
        <v>2.500000000023874E-7</v>
      </c>
      <c r="BI24">
        <f t="shared" si="3"/>
        <v>2.2500000000001707E-6</v>
      </c>
      <c r="BJ24">
        <f t="shared" si="3"/>
        <v>6.2499999999886314E-6</v>
      </c>
    </row>
    <row r="25" spans="1:62">
      <c r="B25" t="s">
        <v>37</v>
      </c>
      <c r="C25" s="176">
        <v>1.9999999999981812E-3</v>
      </c>
      <c r="D25" s="176">
        <v>1.9000000000005458E-3</v>
      </c>
      <c r="E25" s="176">
        <v>1.6999999999995907E-3</v>
      </c>
      <c r="F25" s="176">
        <v>1.4999999999986359E-3</v>
      </c>
      <c r="G25" s="176">
        <v>1.300000000000523E-3</v>
      </c>
      <c r="H25" s="176">
        <v>1.2000000000000456E-3</v>
      </c>
      <c r="I25" s="176">
        <v>1.0999999999995681E-3</v>
      </c>
      <c r="J25" s="176">
        <v>9.9999999999909059E-4</v>
      </c>
      <c r="K25" s="176">
        <v>8.9999999999861306E-4</v>
      </c>
      <c r="L25" s="176">
        <v>8.0000000000097777E-4</v>
      </c>
      <c r="M25" s="176">
        <v>6.9999999999765812E-4</v>
      </c>
      <c r="N25" s="176">
        <v>6.0000000000002282E-4</v>
      </c>
      <c r="O25" s="176">
        <v>4.999999999995453E-4</v>
      </c>
      <c r="P25" s="176">
        <v>4.999999999995453E-4</v>
      </c>
      <c r="Q25" s="176">
        <v>4.999999999995453E-4</v>
      </c>
      <c r="R25" s="176">
        <v>4.0000000000190995E-4</v>
      </c>
      <c r="S25" s="176">
        <v>2.9999999999859029E-4</v>
      </c>
      <c r="T25" s="176">
        <v>3.0000000000143248E-4</v>
      </c>
      <c r="U25" s="176">
        <v>3.0000000000143248E-4</v>
      </c>
      <c r="V25" s="176">
        <v>2.9999999999859029E-4</v>
      </c>
      <c r="W25" s="176">
        <v>3.0000000000143248E-4</v>
      </c>
      <c r="X25" s="176">
        <v>3.0000000000143248E-4</v>
      </c>
      <c r="Y25" s="176">
        <v>4.999999999995453E-4</v>
      </c>
      <c r="Z25" s="176">
        <v>8.9999999999861306E-4</v>
      </c>
      <c r="AA25" s="176">
        <v>1.9000000000005458E-3</v>
      </c>
      <c r="AB25" s="176">
        <v>3.9999999999992047E-3</v>
      </c>
      <c r="AC25" s="176">
        <v>7.5000000000002842E-3</v>
      </c>
      <c r="AD25" s="176">
        <v>1.1999999999999034E-2</v>
      </c>
      <c r="AI25">
        <f t="shared" si="2"/>
        <v>3.9999999999927247E-6</v>
      </c>
      <c r="AJ25">
        <f t="shared" si="2"/>
        <v>3.6100000000020741E-6</v>
      </c>
      <c r="AK25">
        <f t="shared" si="2"/>
        <v>2.8899999999986086E-6</v>
      </c>
      <c r="AL25">
        <f t="shared" si="2"/>
        <v>2.2499999999959076E-6</v>
      </c>
      <c r="AM25">
        <f t="shared" si="2"/>
        <v>1.6900000000013596E-6</v>
      </c>
      <c r="AN25">
        <f t="shared" si="2"/>
        <v>1.4400000000001095E-6</v>
      </c>
      <c r="AO25">
        <f t="shared" si="2"/>
        <v>1.2099999999990499E-6</v>
      </c>
      <c r="AP25">
        <f t="shared" si="2"/>
        <v>9.9999999999818116E-7</v>
      </c>
      <c r="AQ25">
        <f t="shared" si="2"/>
        <v>8.0999999999750356E-7</v>
      </c>
      <c r="AR25">
        <f t="shared" si="2"/>
        <v>6.4000000000156448E-7</v>
      </c>
      <c r="AS25">
        <f t="shared" si="2"/>
        <v>4.8999999999672131E-7</v>
      </c>
      <c r="AT25">
        <f t="shared" si="2"/>
        <v>3.6000000000002736E-7</v>
      </c>
      <c r="AU25">
        <f t="shared" si="2"/>
        <v>2.4999999999954529E-7</v>
      </c>
      <c r="AV25">
        <f t="shared" si="2"/>
        <v>2.4999999999954529E-7</v>
      </c>
      <c r="AW25">
        <f t="shared" si="2"/>
        <v>2.4999999999954529E-7</v>
      </c>
      <c r="AX25">
        <f t="shared" si="2"/>
        <v>1.6000000000152797E-7</v>
      </c>
      <c r="AY25">
        <f t="shared" si="3"/>
        <v>8.999999999915417E-8</v>
      </c>
      <c r="AZ25">
        <f t="shared" si="3"/>
        <v>9.0000000000859486E-8</v>
      </c>
      <c r="BA25">
        <f t="shared" si="3"/>
        <v>9.0000000000859486E-8</v>
      </c>
      <c r="BB25">
        <f t="shared" si="3"/>
        <v>8.999999999915417E-8</v>
      </c>
      <c r="BC25">
        <f t="shared" si="3"/>
        <v>9.0000000000859486E-8</v>
      </c>
      <c r="BD25">
        <f t="shared" si="3"/>
        <v>9.0000000000859486E-8</v>
      </c>
      <c r="BE25">
        <f t="shared" si="3"/>
        <v>2.4999999999954529E-7</v>
      </c>
      <c r="BF25">
        <f t="shared" si="3"/>
        <v>8.0999999999750356E-7</v>
      </c>
      <c r="BG25">
        <f t="shared" si="3"/>
        <v>3.6100000000020741E-6</v>
      </c>
      <c r="BH25">
        <f t="shared" si="3"/>
        <v>1.5999999999993636E-5</v>
      </c>
      <c r="BI25">
        <f t="shared" si="3"/>
        <v>5.6250000000004261E-5</v>
      </c>
      <c r="BJ25">
        <f t="shared" si="3"/>
        <v>1.4399999999997683E-4</v>
      </c>
    </row>
    <row r="26" spans="1:62">
      <c r="B26" t="s">
        <v>998</v>
      </c>
      <c r="C26" s="176">
        <v>2.0000000000010231E-3</v>
      </c>
      <c r="D26" s="176">
        <v>1.6999999999995907E-3</v>
      </c>
      <c r="E26" s="176">
        <v>1.500000000001478E-3</v>
      </c>
      <c r="F26" s="176">
        <v>1.4000000000010005E-3</v>
      </c>
      <c r="G26" s="176">
        <v>1.300000000000523E-3</v>
      </c>
      <c r="H26" s="176">
        <v>1.0999999999995681E-3</v>
      </c>
      <c r="I26" s="176">
        <v>1.0000000000019327E-3</v>
      </c>
      <c r="J26" s="176">
        <v>9.0000000000145519E-4</v>
      </c>
      <c r="K26" s="176">
        <v>8.0000000000097777E-4</v>
      </c>
      <c r="L26" s="176">
        <v>6.9999999999765812E-4</v>
      </c>
      <c r="M26" s="176">
        <v>6.0000000000002282E-4</v>
      </c>
      <c r="N26" s="176">
        <v>4.999999999995453E-4</v>
      </c>
      <c r="O26" s="176">
        <v>3.9999999999906777E-4</v>
      </c>
      <c r="P26" s="176">
        <v>3.0000000000143248E-4</v>
      </c>
      <c r="Q26" s="176">
        <v>2.0000000000095497E-4</v>
      </c>
      <c r="R26" s="176">
        <v>1.0000000000047749E-4</v>
      </c>
      <c r="S26" s="176">
        <v>0</v>
      </c>
      <c r="T26" s="176">
        <v>1.0000000000047749E-4</v>
      </c>
      <c r="U26" s="176">
        <v>2.0000000000095497E-4</v>
      </c>
      <c r="V26" s="176">
        <v>3.9999999999906777E-4</v>
      </c>
      <c r="W26" s="176">
        <v>6.0000000000002282E-4</v>
      </c>
      <c r="X26" s="176">
        <v>8.0000000000097777E-4</v>
      </c>
      <c r="Y26" s="176">
        <v>1.0000000000019327E-3</v>
      </c>
      <c r="Z26" s="176">
        <v>1.2999999999976808E-3</v>
      </c>
      <c r="AA26" s="176">
        <v>1.300000000000523E-3</v>
      </c>
      <c r="AB26" s="176">
        <v>9.0000000000003413E-4</v>
      </c>
      <c r="AC26" s="176">
        <v>4.999999999995453E-4</v>
      </c>
      <c r="AD26" s="176">
        <v>2.4000000000000913E-3</v>
      </c>
      <c r="AI26">
        <f t="shared" si="2"/>
        <v>4.0000000000040927E-6</v>
      </c>
      <c r="AJ26">
        <f t="shared" si="2"/>
        <v>2.8899999999986086E-6</v>
      </c>
      <c r="AK26">
        <f t="shared" si="2"/>
        <v>2.2500000000044339E-6</v>
      </c>
      <c r="AL26">
        <f t="shared" si="2"/>
        <v>1.9600000000028014E-6</v>
      </c>
      <c r="AM26">
        <f t="shared" si="2"/>
        <v>1.6900000000013596E-6</v>
      </c>
      <c r="AN26">
        <f t="shared" si="2"/>
        <v>1.2099999999990499E-6</v>
      </c>
      <c r="AO26">
        <f t="shared" si="2"/>
        <v>1.0000000000038654E-6</v>
      </c>
      <c r="AP26">
        <f t="shared" si="2"/>
        <v>8.1000000000261932E-7</v>
      </c>
      <c r="AQ26">
        <f t="shared" si="2"/>
        <v>6.4000000000156448E-7</v>
      </c>
      <c r="AR26">
        <f t="shared" si="2"/>
        <v>4.8999999999672131E-7</v>
      </c>
      <c r="AS26">
        <f t="shared" si="2"/>
        <v>3.6000000000002736E-7</v>
      </c>
      <c r="AT26">
        <f t="shared" si="2"/>
        <v>2.4999999999954529E-7</v>
      </c>
      <c r="AU26">
        <f t="shared" si="2"/>
        <v>1.5999999999925422E-7</v>
      </c>
      <c r="AV26">
        <f t="shared" si="2"/>
        <v>9.0000000000859486E-8</v>
      </c>
      <c r="AW26">
        <f t="shared" si="2"/>
        <v>4.0000000000381993E-8</v>
      </c>
      <c r="AX26">
        <f t="shared" si="2"/>
        <v>1.0000000000095498E-8</v>
      </c>
      <c r="AY26">
        <f t="shared" si="3"/>
        <v>0</v>
      </c>
      <c r="AZ26">
        <f t="shared" si="3"/>
        <v>1.0000000000095498E-8</v>
      </c>
      <c r="BA26">
        <f t="shared" si="3"/>
        <v>4.0000000000381993E-8</v>
      </c>
      <c r="BB26">
        <f t="shared" si="3"/>
        <v>1.5999999999925422E-7</v>
      </c>
      <c r="BC26">
        <f t="shared" si="3"/>
        <v>3.6000000000002736E-7</v>
      </c>
      <c r="BD26">
        <f t="shared" si="3"/>
        <v>6.4000000000156448E-7</v>
      </c>
      <c r="BE26">
        <f t="shared" si="3"/>
        <v>1.0000000000038654E-6</v>
      </c>
      <c r="BF26">
        <f t="shared" si="3"/>
        <v>1.6899999999939701E-6</v>
      </c>
      <c r="BG26">
        <f t="shared" si="3"/>
        <v>1.6900000000013596E-6</v>
      </c>
      <c r="BH26">
        <f t="shared" si="3"/>
        <v>8.1000000000006138E-7</v>
      </c>
      <c r="BI26">
        <f t="shared" si="3"/>
        <v>2.4999999999954529E-7</v>
      </c>
      <c r="BJ26">
        <f t="shared" si="3"/>
        <v>5.7600000000004378E-6</v>
      </c>
    </row>
    <row r="27" spans="1:62">
      <c r="C27" s="174"/>
      <c r="D27" s="174"/>
      <c r="E27" s="174"/>
      <c r="F27" s="174"/>
      <c r="G27" s="174"/>
      <c r="H27" s="174"/>
      <c r="I27" s="174"/>
      <c r="J27" s="174"/>
      <c r="K27" s="174"/>
      <c r="L27" s="174"/>
      <c r="M27" s="174"/>
      <c r="N27" s="174"/>
      <c r="O27" s="174"/>
      <c r="P27" s="174"/>
      <c r="Q27" s="174"/>
      <c r="R27" s="174"/>
      <c r="S27" s="174"/>
      <c r="T27" s="174"/>
      <c r="U27" s="174"/>
      <c r="V27" s="174"/>
      <c r="W27" s="174"/>
      <c r="X27" s="174"/>
      <c r="Y27" s="174"/>
      <c r="Z27" s="174"/>
      <c r="AA27" s="174"/>
      <c r="AB27" s="174"/>
      <c r="AC27" s="174"/>
      <c r="AD27" s="174"/>
      <c r="AI27">
        <f t="shared" si="2"/>
        <v>0</v>
      </c>
      <c r="AJ27">
        <f t="shared" si="2"/>
        <v>0</v>
      </c>
      <c r="AK27">
        <f t="shared" si="2"/>
        <v>0</v>
      </c>
      <c r="AL27">
        <f t="shared" si="2"/>
        <v>0</v>
      </c>
      <c r="AM27">
        <f t="shared" si="2"/>
        <v>0</v>
      </c>
      <c r="AN27">
        <f t="shared" si="2"/>
        <v>0</v>
      </c>
      <c r="AO27">
        <f t="shared" si="2"/>
        <v>0</v>
      </c>
      <c r="AP27">
        <f t="shared" si="2"/>
        <v>0</v>
      </c>
      <c r="AQ27">
        <f t="shared" si="2"/>
        <v>0</v>
      </c>
      <c r="AR27">
        <f t="shared" si="2"/>
        <v>0</v>
      </c>
      <c r="AS27">
        <f t="shared" si="2"/>
        <v>0</v>
      </c>
      <c r="AT27">
        <f t="shared" si="2"/>
        <v>0</v>
      </c>
      <c r="AU27">
        <f t="shared" si="2"/>
        <v>0</v>
      </c>
      <c r="AV27">
        <f t="shared" si="2"/>
        <v>0</v>
      </c>
      <c r="AW27">
        <f t="shared" si="2"/>
        <v>0</v>
      </c>
      <c r="AX27">
        <f t="shared" si="2"/>
        <v>0</v>
      </c>
      <c r="AY27">
        <f t="shared" si="3"/>
        <v>0</v>
      </c>
      <c r="AZ27">
        <f t="shared" si="3"/>
        <v>0</v>
      </c>
      <c r="BA27">
        <f t="shared" si="3"/>
        <v>0</v>
      </c>
      <c r="BB27">
        <f t="shared" si="3"/>
        <v>0</v>
      </c>
      <c r="BC27">
        <f t="shared" si="3"/>
        <v>0</v>
      </c>
      <c r="BD27">
        <f t="shared" si="3"/>
        <v>0</v>
      </c>
      <c r="BE27">
        <f t="shared" si="3"/>
        <v>0</v>
      </c>
      <c r="BF27">
        <f t="shared" si="3"/>
        <v>0</v>
      </c>
      <c r="BG27">
        <f t="shared" si="3"/>
        <v>0</v>
      </c>
      <c r="BH27">
        <f t="shared" si="3"/>
        <v>0</v>
      </c>
      <c r="BI27">
        <f t="shared" si="3"/>
        <v>0</v>
      </c>
      <c r="BJ27">
        <f t="shared" si="3"/>
        <v>0</v>
      </c>
    </row>
    <row r="28" spans="1:62">
      <c r="A28" t="s">
        <v>999</v>
      </c>
      <c r="B28" t="s">
        <v>994</v>
      </c>
      <c r="C28" s="176">
        <v>6.0000000000000001E-3</v>
      </c>
      <c r="D28" s="176">
        <v>6.0000000000000001E-3</v>
      </c>
      <c r="E28" s="174">
        <v>5.0000000000000001E-3</v>
      </c>
      <c r="F28" s="174">
        <v>5.0000000000000001E-3</v>
      </c>
      <c r="G28" s="174">
        <v>4.0000000000000001E-3</v>
      </c>
      <c r="H28" s="174">
        <v>4.0000000000000001E-3</v>
      </c>
      <c r="I28" s="174">
        <v>3.0000000000000001E-3</v>
      </c>
      <c r="J28" s="174">
        <v>3.0000000000000001E-3</v>
      </c>
      <c r="K28" s="176">
        <v>2E-3</v>
      </c>
      <c r="L28" s="176">
        <v>2E-3</v>
      </c>
      <c r="M28" s="176">
        <v>2E-3</v>
      </c>
      <c r="N28" s="174">
        <v>2E-3</v>
      </c>
      <c r="O28" s="176">
        <v>1E-3</v>
      </c>
      <c r="P28" s="176">
        <v>1E-3</v>
      </c>
      <c r="Q28" s="176">
        <v>1E-3</v>
      </c>
      <c r="R28" s="176">
        <v>1E-3</v>
      </c>
      <c r="S28" s="176">
        <v>1E-3</v>
      </c>
      <c r="T28" s="176">
        <v>1E-3</v>
      </c>
      <c r="U28" s="176">
        <v>1E-3</v>
      </c>
      <c r="V28" s="176">
        <v>1E-3</v>
      </c>
      <c r="W28" s="176">
        <v>1E-3</v>
      </c>
      <c r="X28" s="176">
        <v>1E-3</v>
      </c>
      <c r="Y28" s="176">
        <v>1E-3</v>
      </c>
      <c r="Z28" s="176">
        <v>1E-3</v>
      </c>
      <c r="AA28" s="176">
        <v>1E-3</v>
      </c>
      <c r="AB28" s="176">
        <v>1E-3</v>
      </c>
      <c r="AC28" s="176">
        <v>1E-3</v>
      </c>
      <c r="AD28" s="176">
        <v>1E-3</v>
      </c>
      <c r="AI28">
        <f t="shared" ref="AI28:AX36" si="4">C28^2</f>
        <v>3.6000000000000001E-5</v>
      </c>
      <c r="AJ28">
        <f t="shared" si="4"/>
        <v>3.6000000000000001E-5</v>
      </c>
      <c r="AK28">
        <f t="shared" si="4"/>
        <v>2.5000000000000001E-5</v>
      </c>
      <c r="AL28">
        <f t="shared" si="4"/>
        <v>2.5000000000000001E-5</v>
      </c>
      <c r="AM28">
        <f t="shared" si="4"/>
        <v>1.5999999999999999E-5</v>
      </c>
      <c r="AN28">
        <f t="shared" si="4"/>
        <v>1.5999999999999999E-5</v>
      </c>
      <c r="AO28">
        <f t="shared" si="4"/>
        <v>9.0000000000000002E-6</v>
      </c>
      <c r="AP28">
        <f t="shared" si="4"/>
        <v>9.0000000000000002E-6</v>
      </c>
      <c r="AQ28">
        <f t="shared" si="4"/>
        <v>3.9999999999999998E-6</v>
      </c>
      <c r="AR28">
        <f t="shared" si="4"/>
        <v>3.9999999999999998E-6</v>
      </c>
      <c r="AS28">
        <f t="shared" si="4"/>
        <v>3.9999999999999998E-6</v>
      </c>
      <c r="AT28">
        <f t="shared" si="4"/>
        <v>3.9999999999999998E-6</v>
      </c>
      <c r="AU28">
        <f t="shared" si="4"/>
        <v>9.9999999999999995E-7</v>
      </c>
      <c r="AV28">
        <f t="shared" si="4"/>
        <v>9.9999999999999995E-7</v>
      </c>
      <c r="AW28">
        <f t="shared" si="4"/>
        <v>9.9999999999999995E-7</v>
      </c>
      <c r="AX28">
        <f t="shared" si="4"/>
        <v>9.9999999999999995E-7</v>
      </c>
      <c r="AY28">
        <f t="shared" si="3"/>
        <v>9.9999999999999995E-7</v>
      </c>
      <c r="AZ28">
        <f t="shared" si="3"/>
        <v>9.9999999999999995E-7</v>
      </c>
      <c r="BA28">
        <f t="shared" si="3"/>
        <v>9.9999999999999995E-7</v>
      </c>
      <c r="BB28">
        <f t="shared" si="3"/>
        <v>9.9999999999999995E-7</v>
      </c>
      <c r="BC28">
        <f t="shared" si="3"/>
        <v>9.9999999999999995E-7</v>
      </c>
      <c r="BD28">
        <f t="shared" si="3"/>
        <v>9.9999999999999995E-7</v>
      </c>
      <c r="BE28">
        <f t="shared" si="3"/>
        <v>9.9999999999999995E-7</v>
      </c>
      <c r="BF28">
        <f t="shared" si="3"/>
        <v>9.9999999999999995E-7</v>
      </c>
      <c r="BG28">
        <f t="shared" si="3"/>
        <v>9.9999999999999995E-7</v>
      </c>
      <c r="BH28">
        <f t="shared" si="3"/>
        <v>9.9999999999999995E-7</v>
      </c>
      <c r="BI28">
        <f t="shared" si="3"/>
        <v>9.9999999999999995E-7</v>
      </c>
      <c r="BJ28">
        <f t="shared" si="3"/>
        <v>9.9999999999999995E-7</v>
      </c>
    </row>
    <row r="29" spans="1:62">
      <c r="C29" s="174"/>
      <c r="D29" s="174"/>
      <c r="E29" s="174"/>
      <c r="F29" s="174"/>
      <c r="G29" s="174"/>
      <c r="H29" s="174"/>
      <c r="I29" s="174"/>
      <c r="J29" s="174"/>
      <c r="K29" s="174"/>
      <c r="L29" s="174"/>
      <c r="M29" s="174"/>
      <c r="N29" s="174"/>
      <c r="O29" s="174"/>
      <c r="P29" s="174"/>
      <c r="Q29" s="174"/>
      <c r="R29" s="174"/>
      <c r="S29" s="174"/>
      <c r="T29" s="174"/>
      <c r="U29" s="174"/>
      <c r="V29" s="174"/>
      <c r="W29" s="174"/>
      <c r="X29" s="174"/>
      <c r="Y29" s="174"/>
      <c r="Z29" s="174"/>
      <c r="AA29" s="174"/>
      <c r="AB29" s="174"/>
      <c r="AC29" s="174"/>
      <c r="AD29" s="174"/>
      <c r="AI29">
        <f t="shared" si="4"/>
        <v>0</v>
      </c>
      <c r="AJ29">
        <f t="shared" si="4"/>
        <v>0</v>
      </c>
      <c r="AK29">
        <f t="shared" si="4"/>
        <v>0</v>
      </c>
      <c r="AL29">
        <f t="shared" si="4"/>
        <v>0</v>
      </c>
      <c r="AM29">
        <f t="shared" si="4"/>
        <v>0</v>
      </c>
      <c r="AN29">
        <f t="shared" si="4"/>
        <v>0</v>
      </c>
      <c r="AO29">
        <f t="shared" si="4"/>
        <v>0</v>
      </c>
      <c r="AP29">
        <f t="shared" si="4"/>
        <v>0</v>
      </c>
      <c r="AQ29">
        <f t="shared" si="4"/>
        <v>0</v>
      </c>
      <c r="AR29">
        <f t="shared" si="4"/>
        <v>0</v>
      </c>
      <c r="AS29">
        <f t="shared" si="4"/>
        <v>0</v>
      </c>
      <c r="AT29">
        <f t="shared" si="4"/>
        <v>0</v>
      </c>
      <c r="AU29">
        <f t="shared" si="4"/>
        <v>0</v>
      </c>
      <c r="AV29">
        <f t="shared" si="4"/>
        <v>0</v>
      </c>
      <c r="AW29">
        <f t="shared" si="4"/>
        <v>0</v>
      </c>
      <c r="AX29">
        <f t="shared" si="4"/>
        <v>0</v>
      </c>
      <c r="AY29">
        <f t="shared" si="3"/>
        <v>0</v>
      </c>
      <c r="AZ29">
        <f t="shared" si="3"/>
        <v>0</v>
      </c>
      <c r="BA29">
        <f t="shared" si="3"/>
        <v>0</v>
      </c>
      <c r="BB29">
        <f t="shared" si="3"/>
        <v>0</v>
      </c>
      <c r="BC29">
        <f t="shared" si="3"/>
        <v>0</v>
      </c>
      <c r="BD29">
        <f t="shared" si="3"/>
        <v>0</v>
      </c>
      <c r="BE29">
        <f t="shared" si="3"/>
        <v>0</v>
      </c>
      <c r="BF29">
        <f t="shared" si="3"/>
        <v>0</v>
      </c>
      <c r="BG29">
        <f t="shared" si="3"/>
        <v>0</v>
      </c>
      <c r="BH29">
        <f t="shared" si="3"/>
        <v>0</v>
      </c>
      <c r="BI29">
        <f t="shared" si="3"/>
        <v>0</v>
      </c>
      <c r="BJ29">
        <f t="shared" si="3"/>
        <v>0</v>
      </c>
    </row>
    <row r="30" spans="1:62">
      <c r="A30" t="s">
        <v>1003</v>
      </c>
      <c r="B30" s="175" t="s">
        <v>1004</v>
      </c>
      <c r="C30" s="176">
        <v>0.01</v>
      </c>
      <c r="D30" s="176">
        <v>0.01</v>
      </c>
      <c r="E30" s="176">
        <v>0.01</v>
      </c>
      <c r="F30" s="176">
        <v>0.01</v>
      </c>
      <c r="G30" s="176">
        <v>0.01</v>
      </c>
      <c r="H30" s="176">
        <v>0.01</v>
      </c>
      <c r="I30" s="176">
        <v>0.01</v>
      </c>
      <c r="J30" s="176">
        <v>0.01</v>
      </c>
      <c r="K30" s="176">
        <v>0.01</v>
      </c>
      <c r="L30" s="176">
        <v>0.01</v>
      </c>
      <c r="M30" s="176">
        <v>0.01</v>
      </c>
      <c r="N30" s="176">
        <v>0.01</v>
      </c>
      <c r="O30" s="176">
        <v>0.01</v>
      </c>
      <c r="P30" s="176">
        <v>0.01</v>
      </c>
      <c r="Q30" s="176">
        <v>0.01</v>
      </c>
      <c r="R30" s="176">
        <v>0.01</v>
      </c>
      <c r="S30" s="176">
        <v>0.01</v>
      </c>
      <c r="T30" s="176">
        <v>0.01</v>
      </c>
      <c r="U30" s="176">
        <v>0.01</v>
      </c>
      <c r="V30" s="176">
        <v>0.01</v>
      </c>
      <c r="W30" s="176">
        <v>0.01</v>
      </c>
      <c r="X30" s="176">
        <v>0.01</v>
      </c>
      <c r="Y30" s="176">
        <v>0.01</v>
      </c>
      <c r="Z30" s="176">
        <v>0.02</v>
      </c>
      <c r="AA30" s="176">
        <v>0.04</v>
      </c>
      <c r="AB30" s="176">
        <v>0.06</v>
      </c>
      <c r="AC30" s="176">
        <v>0.08</v>
      </c>
      <c r="AD30" s="176">
        <v>0.1</v>
      </c>
      <c r="AI30">
        <f t="shared" si="4"/>
        <v>1E-4</v>
      </c>
      <c r="AJ30">
        <f t="shared" si="4"/>
        <v>1E-4</v>
      </c>
      <c r="AK30">
        <f t="shared" si="4"/>
        <v>1E-4</v>
      </c>
      <c r="AL30">
        <f t="shared" si="4"/>
        <v>1E-4</v>
      </c>
      <c r="AM30">
        <f t="shared" si="4"/>
        <v>1E-4</v>
      </c>
      <c r="AN30">
        <f t="shared" si="4"/>
        <v>1E-4</v>
      </c>
      <c r="AO30">
        <f t="shared" si="4"/>
        <v>1E-4</v>
      </c>
      <c r="AP30">
        <f t="shared" si="4"/>
        <v>1E-4</v>
      </c>
      <c r="AQ30">
        <f t="shared" si="4"/>
        <v>1E-4</v>
      </c>
      <c r="AR30">
        <f t="shared" si="4"/>
        <v>1E-4</v>
      </c>
      <c r="AS30">
        <f t="shared" si="4"/>
        <v>1E-4</v>
      </c>
      <c r="AT30">
        <f t="shared" si="4"/>
        <v>1E-4</v>
      </c>
      <c r="AU30">
        <f t="shared" si="4"/>
        <v>1E-4</v>
      </c>
      <c r="AV30">
        <f t="shared" si="4"/>
        <v>1E-4</v>
      </c>
      <c r="AW30">
        <f t="shared" si="4"/>
        <v>1E-4</v>
      </c>
      <c r="AX30">
        <f t="shared" si="4"/>
        <v>1E-4</v>
      </c>
      <c r="AY30">
        <f t="shared" si="3"/>
        <v>1E-4</v>
      </c>
      <c r="AZ30">
        <f t="shared" si="3"/>
        <v>1E-4</v>
      </c>
      <c r="BA30">
        <f t="shared" si="3"/>
        <v>1E-4</v>
      </c>
      <c r="BB30">
        <f t="shared" si="3"/>
        <v>1E-4</v>
      </c>
      <c r="BC30">
        <f t="shared" si="3"/>
        <v>1E-4</v>
      </c>
      <c r="BD30">
        <f t="shared" si="3"/>
        <v>1E-4</v>
      </c>
      <c r="BE30">
        <f t="shared" si="3"/>
        <v>1E-4</v>
      </c>
      <c r="BF30">
        <f t="shared" si="3"/>
        <v>4.0000000000000002E-4</v>
      </c>
      <c r="BG30">
        <f t="shared" si="3"/>
        <v>1.6000000000000001E-3</v>
      </c>
      <c r="BH30">
        <f t="shared" si="3"/>
        <v>3.5999999999999999E-3</v>
      </c>
      <c r="BI30">
        <f t="shared" si="3"/>
        <v>6.4000000000000003E-3</v>
      </c>
      <c r="BJ30">
        <f t="shared" si="3"/>
        <v>1.0000000000000002E-2</v>
      </c>
    </row>
    <row r="31" spans="1:62">
      <c r="C31" s="174"/>
      <c r="D31" s="174"/>
      <c r="E31" s="174"/>
      <c r="F31" s="174"/>
      <c r="G31" s="174"/>
      <c r="H31" s="174"/>
      <c r="I31" s="174"/>
      <c r="J31" s="174"/>
      <c r="K31" s="174"/>
      <c r="L31" s="174"/>
      <c r="M31" s="174"/>
      <c r="N31" s="174"/>
      <c r="O31" s="174"/>
      <c r="P31" s="174"/>
      <c r="Q31" s="174"/>
      <c r="R31" s="174"/>
      <c r="S31" s="174"/>
      <c r="T31" s="174"/>
      <c r="U31" s="174"/>
      <c r="V31" s="174"/>
      <c r="W31" s="174"/>
      <c r="X31" s="174"/>
      <c r="Y31" s="174"/>
      <c r="Z31" s="174"/>
      <c r="AA31" s="174"/>
      <c r="AB31" s="174"/>
      <c r="AC31" s="174"/>
      <c r="AD31" s="174"/>
      <c r="AI31">
        <f t="shared" si="4"/>
        <v>0</v>
      </c>
      <c r="AJ31">
        <f t="shared" si="4"/>
        <v>0</v>
      </c>
      <c r="AK31">
        <f t="shared" si="4"/>
        <v>0</v>
      </c>
      <c r="AL31">
        <f t="shared" si="4"/>
        <v>0</v>
      </c>
      <c r="AM31">
        <f t="shared" si="4"/>
        <v>0</v>
      </c>
      <c r="AN31">
        <f t="shared" si="4"/>
        <v>0</v>
      </c>
      <c r="AO31">
        <f t="shared" si="4"/>
        <v>0</v>
      </c>
      <c r="AP31">
        <f t="shared" si="4"/>
        <v>0</v>
      </c>
      <c r="AQ31">
        <f t="shared" si="4"/>
        <v>0</v>
      </c>
      <c r="AR31">
        <f t="shared" si="4"/>
        <v>0</v>
      </c>
      <c r="AS31">
        <f t="shared" si="4"/>
        <v>0</v>
      </c>
      <c r="AT31">
        <f t="shared" si="4"/>
        <v>0</v>
      </c>
      <c r="AU31">
        <f t="shared" si="4"/>
        <v>0</v>
      </c>
      <c r="AV31">
        <f t="shared" si="4"/>
        <v>0</v>
      </c>
      <c r="AW31">
        <f t="shared" si="4"/>
        <v>0</v>
      </c>
      <c r="AX31">
        <f t="shared" si="4"/>
        <v>0</v>
      </c>
      <c r="AY31">
        <f t="shared" si="3"/>
        <v>0</v>
      </c>
      <c r="AZ31">
        <f t="shared" si="3"/>
        <v>0</v>
      </c>
      <c r="BA31">
        <f t="shared" si="3"/>
        <v>0</v>
      </c>
      <c r="BB31">
        <f t="shared" si="3"/>
        <v>0</v>
      </c>
      <c r="BC31">
        <f t="shared" si="3"/>
        <v>0</v>
      </c>
      <c r="BD31">
        <f t="shared" si="3"/>
        <v>0</v>
      </c>
      <c r="BE31">
        <f t="shared" si="3"/>
        <v>0</v>
      </c>
      <c r="BF31">
        <f t="shared" si="3"/>
        <v>0</v>
      </c>
      <c r="BG31">
        <f t="shared" si="3"/>
        <v>0</v>
      </c>
      <c r="BH31">
        <f t="shared" si="3"/>
        <v>0</v>
      </c>
      <c r="BI31">
        <f t="shared" si="3"/>
        <v>0</v>
      </c>
      <c r="BJ31">
        <f t="shared" si="3"/>
        <v>0</v>
      </c>
    </row>
    <row r="32" spans="1:62">
      <c r="A32" t="s">
        <v>1005</v>
      </c>
      <c r="C32" s="176">
        <v>2.9000000000000001E-2</v>
      </c>
      <c r="D32" s="176">
        <v>2.9000000000000001E-2</v>
      </c>
      <c r="E32" s="176">
        <v>2.9000000000000001E-2</v>
      </c>
      <c r="F32" s="176">
        <v>2.9000000000000001E-2</v>
      </c>
      <c r="G32" s="176">
        <v>2.9000000000000001E-2</v>
      </c>
      <c r="H32" s="176">
        <v>2.9000000000000001E-2</v>
      </c>
      <c r="I32" s="176">
        <v>2.9000000000000001E-2</v>
      </c>
      <c r="J32" s="176">
        <v>2.9000000000000001E-2</v>
      </c>
      <c r="K32" s="176">
        <v>2.9000000000000001E-2</v>
      </c>
      <c r="L32" s="176">
        <v>2.9000000000000001E-2</v>
      </c>
      <c r="M32" s="176">
        <v>2.9000000000000001E-2</v>
      </c>
      <c r="N32" s="176">
        <v>2.9000000000000001E-2</v>
      </c>
      <c r="O32" s="176">
        <v>2.9000000000000001E-2</v>
      </c>
      <c r="P32" s="176">
        <v>2.9000000000000001E-2</v>
      </c>
      <c r="Q32" s="176">
        <v>2.9000000000000001E-2</v>
      </c>
      <c r="R32" s="176">
        <v>2.9000000000000001E-2</v>
      </c>
      <c r="S32" s="176">
        <v>2.9000000000000001E-2</v>
      </c>
      <c r="T32" s="176">
        <v>2.9000000000000001E-2</v>
      </c>
      <c r="U32" s="176">
        <v>2.9000000000000001E-2</v>
      </c>
      <c r="V32" s="176">
        <v>2.9000000000000001E-2</v>
      </c>
      <c r="W32" s="176">
        <v>2.9000000000000001E-2</v>
      </c>
      <c r="X32" s="176">
        <v>2.9000000000000001E-2</v>
      </c>
      <c r="Y32" s="176">
        <v>2.9000000000000001E-2</v>
      </c>
      <c r="Z32" s="176">
        <v>2.9000000000000001E-2</v>
      </c>
      <c r="AA32" s="176">
        <v>2.9000000000000001E-2</v>
      </c>
      <c r="AB32" s="176">
        <v>2.9000000000000001E-2</v>
      </c>
      <c r="AC32" s="176">
        <v>2.9000000000000001E-2</v>
      </c>
      <c r="AD32" s="176">
        <v>2.9000000000000001E-2</v>
      </c>
      <c r="AI32">
        <f t="shared" si="4"/>
        <v>8.4100000000000006E-4</v>
      </c>
      <c r="AJ32">
        <f t="shared" si="4"/>
        <v>8.4100000000000006E-4</v>
      </c>
      <c r="AK32">
        <f t="shared" si="4"/>
        <v>8.4100000000000006E-4</v>
      </c>
      <c r="AL32">
        <f t="shared" si="4"/>
        <v>8.4100000000000006E-4</v>
      </c>
      <c r="AM32">
        <f t="shared" si="4"/>
        <v>8.4100000000000006E-4</v>
      </c>
      <c r="AN32">
        <f t="shared" si="4"/>
        <v>8.4100000000000006E-4</v>
      </c>
      <c r="AO32">
        <f t="shared" si="4"/>
        <v>8.4100000000000006E-4</v>
      </c>
      <c r="AP32">
        <f t="shared" si="4"/>
        <v>8.4100000000000006E-4</v>
      </c>
      <c r="AQ32">
        <f t="shared" si="4"/>
        <v>8.4100000000000006E-4</v>
      </c>
      <c r="AR32">
        <f t="shared" si="4"/>
        <v>8.4100000000000006E-4</v>
      </c>
      <c r="AS32">
        <f t="shared" si="4"/>
        <v>8.4100000000000006E-4</v>
      </c>
      <c r="AT32">
        <f t="shared" si="4"/>
        <v>8.4100000000000006E-4</v>
      </c>
      <c r="AU32">
        <f t="shared" si="4"/>
        <v>8.4100000000000006E-4</v>
      </c>
      <c r="AV32">
        <f t="shared" si="4"/>
        <v>8.4100000000000006E-4</v>
      </c>
      <c r="AW32">
        <f t="shared" si="4"/>
        <v>8.4100000000000006E-4</v>
      </c>
      <c r="AX32">
        <f t="shared" si="4"/>
        <v>8.4100000000000006E-4</v>
      </c>
      <c r="AY32">
        <f t="shared" si="3"/>
        <v>8.4100000000000006E-4</v>
      </c>
      <c r="AZ32">
        <f t="shared" si="3"/>
        <v>8.4100000000000006E-4</v>
      </c>
      <c r="BA32">
        <f t="shared" si="3"/>
        <v>8.4100000000000006E-4</v>
      </c>
      <c r="BB32">
        <f t="shared" si="3"/>
        <v>8.4100000000000006E-4</v>
      </c>
      <c r="BC32">
        <f t="shared" si="3"/>
        <v>8.4100000000000006E-4</v>
      </c>
      <c r="BD32">
        <f t="shared" si="3"/>
        <v>8.4100000000000006E-4</v>
      </c>
      <c r="BE32">
        <f t="shared" si="3"/>
        <v>8.4100000000000006E-4</v>
      </c>
      <c r="BF32">
        <f t="shared" si="3"/>
        <v>8.4100000000000006E-4</v>
      </c>
      <c r="BG32">
        <f t="shared" si="3"/>
        <v>8.4100000000000006E-4</v>
      </c>
      <c r="BH32">
        <f t="shared" si="3"/>
        <v>8.4100000000000006E-4</v>
      </c>
      <c r="BI32">
        <f t="shared" si="3"/>
        <v>8.4100000000000006E-4</v>
      </c>
      <c r="BJ32">
        <f t="shared" si="3"/>
        <v>8.4100000000000006E-4</v>
      </c>
    </row>
    <row r="33" spans="1:62">
      <c r="C33" s="174"/>
      <c r="D33" s="174"/>
      <c r="E33" s="174"/>
      <c r="F33" s="174"/>
      <c r="G33" s="174"/>
      <c r="H33" s="174"/>
      <c r="I33" s="174"/>
      <c r="J33" s="174"/>
      <c r="K33" s="174"/>
      <c r="L33" s="174"/>
      <c r="M33" s="174"/>
      <c r="N33" s="174"/>
      <c r="O33" s="174"/>
      <c r="P33" s="174"/>
      <c r="Q33" s="174"/>
      <c r="R33" s="174"/>
      <c r="S33" s="174"/>
      <c r="T33" s="174"/>
      <c r="U33" s="174"/>
      <c r="V33" s="174"/>
      <c r="W33" s="174"/>
      <c r="X33" s="174"/>
      <c r="Y33" s="174"/>
      <c r="Z33" s="174"/>
      <c r="AA33" s="174"/>
      <c r="AB33" s="174"/>
      <c r="AC33" s="174"/>
      <c r="AD33" s="174"/>
      <c r="AI33">
        <f>C33^2</f>
        <v>0</v>
      </c>
      <c r="AJ33">
        <f t="shared" si="4"/>
        <v>0</v>
      </c>
      <c r="AK33">
        <f t="shared" si="4"/>
        <v>0</v>
      </c>
      <c r="AL33">
        <f t="shared" si="4"/>
        <v>0</v>
      </c>
      <c r="AM33">
        <f t="shared" si="4"/>
        <v>0</v>
      </c>
      <c r="AN33">
        <f t="shared" si="4"/>
        <v>0</v>
      </c>
      <c r="AO33">
        <f t="shared" si="4"/>
        <v>0</v>
      </c>
      <c r="AP33">
        <f t="shared" si="4"/>
        <v>0</v>
      </c>
      <c r="AQ33">
        <f t="shared" si="4"/>
        <v>0</v>
      </c>
      <c r="AR33">
        <f t="shared" si="4"/>
        <v>0</v>
      </c>
      <c r="AS33">
        <f t="shared" si="4"/>
        <v>0</v>
      </c>
      <c r="AT33">
        <f t="shared" si="4"/>
        <v>0</v>
      </c>
      <c r="AU33">
        <f t="shared" si="4"/>
        <v>0</v>
      </c>
      <c r="AV33">
        <f t="shared" si="4"/>
        <v>0</v>
      </c>
      <c r="AW33">
        <f t="shared" si="4"/>
        <v>0</v>
      </c>
      <c r="AX33">
        <f t="shared" si="4"/>
        <v>0</v>
      </c>
      <c r="AY33">
        <f t="shared" si="3"/>
        <v>0</v>
      </c>
      <c r="AZ33">
        <f t="shared" si="3"/>
        <v>0</v>
      </c>
      <c r="BA33">
        <f t="shared" si="3"/>
        <v>0</v>
      </c>
      <c r="BB33">
        <f t="shared" si="3"/>
        <v>0</v>
      </c>
      <c r="BC33">
        <f t="shared" si="3"/>
        <v>0</v>
      </c>
      <c r="BD33">
        <f t="shared" si="3"/>
        <v>0</v>
      </c>
      <c r="BE33">
        <f t="shared" si="3"/>
        <v>0</v>
      </c>
      <c r="BF33">
        <f t="shared" si="3"/>
        <v>0</v>
      </c>
      <c r="BG33">
        <f t="shared" si="3"/>
        <v>0</v>
      </c>
      <c r="BH33">
        <f t="shared" si="3"/>
        <v>0</v>
      </c>
      <c r="BI33">
        <f t="shared" si="3"/>
        <v>0</v>
      </c>
      <c r="BJ33">
        <f t="shared" si="3"/>
        <v>0</v>
      </c>
    </row>
    <row r="34" spans="1:62" ht="12" customHeight="1">
      <c r="A34" t="s">
        <v>1006</v>
      </c>
      <c r="C34" s="176">
        <v>0.1</v>
      </c>
      <c r="D34" s="176">
        <v>0.1</v>
      </c>
      <c r="E34" s="176">
        <v>0.1</v>
      </c>
      <c r="F34" s="176">
        <v>0.1</v>
      </c>
      <c r="G34" s="176">
        <v>0.1</v>
      </c>
      <c r="H34" s="176">
        <v>0.1</v>
      </c>
      <c r="I34" s="176">
        <v>0.1</v>
      </c>
      <c r="J34" s="176">
        <v>0.1</v>
      </c>
      <c r="K34" s="176">
        <v>0.1</v>
      </c>
      <c r="L34" s="176">
        <v>0.1</v>
      </c>
      <c r="M34" s="176">
        <v>0.1</v>
      </c>
      <c r="N34" s="176">
        <v>0.1</v>
      </c>
      <c r="O34" s="176">
        <v>0.1</v>
      </c>
      <c r="P34" s="176">
        <v>0.1</v>
      </c>
      <c r="Q34" s="176">
        <v>0.1</v>
      </c>
      <c r="R34" s="176">
        <v>0.1</v>
      </c>
      <c r="S34" s="176">
        <v>0.1</v>
      </c>
      <c r="T34" s="176">
        <v>0.1</v>
      </c>
      <c r="U34" s="176">
        <v>0.1</v>
      </c>
      <c r="V34" s="176">
        <v>0.1</v>
      </c>
      <c r="W34" s="176">
        <v>0.1</v>
      </c>
      <c r="X34" s="176">
        <v>0.1</v>
      </c>
      <c r="Y34" s="176">
        <v>0.1</v>
      </c>
      <c r="Z34" s="176">
        <v>0.1</v>
      </c>
      <c r="AA34" s="176">
        <v>0.1</v>
      </c>
      <c r="AB34" s="176">
        <v>0.1</v>
      </c>
      <c r="AC34" s="176">
        <v>0.1</v>
      </c>
      <c r="AD34" s="176">
        <v>0.1</v>
      </c>
      <c r="AI34">
        <f>C34^2</f>
        <v>1.0000000000000002E-2</v>
      </c>
      <c r="AJ34">
        <f t="shared" si="4"/>
        <v>1.0000000000000002E-2</v>
      </c>
      <c r="AK34">
        <f t="shared" si="4"/>
        <v>1.0000000000000002E-2</v>
      </c>
      <c r="AL34">
        <f t="shared" si="4"/>
        <v>1.0000000000000002E-2</v>
      </c>
      <c r="AM34">
        <f t="shared" si="4"/>
        <v>1.0000000000000002E-2</v>
      </c>
      <c r="AN34">
        <f t="shared" si="4"/>
        <v>1.0000000000000002E-2</v>
      </c>
      <c r="AO34">
        <f t="shared" si="4"/>
        <v>1.0000000000000002E-2</v>
      </c>
      <c r="AP34">
        <f t="shared" si="4"/>
        <v>1.0000000000000002E-2</v>
      </c>
      <c r="AQ34">
        <f t="shared" si="4"/>
        <v>1.0000000000000002E-2</v>
      </c>
      <c r="AR34">
        <f t="shared" si="4"/>
        <v>1.0000000000000002E-2</v>
      </c>
      <c r="AS34">
        <f t="shared" si="4"/>
        <v>1.0000000000000002E-2</v>
      </c>
      <c r="AT34">
        <f t="shared" si="4"/>
        <v>1.0000000000000002E-2</v>
      </c>
      <c r="AU34">
        <f t="shared" si="4"/>
        <v>1.0000000000000002E-2</v>
      </c>
      <c r="AV34">
        <f t="shared" si="4"/>
        <v>1.0000000000000002E-2</v>
      </c>
      <c r="AW34">
        <f t="shared" si="4"/>
        <v>1.0000000000000002E-2</v>
      </c>
      <c r="AX34">
        <f t="shared" si="4"/>
        <v>1.0000000000000002E-2</v>
      </c>
      <c r="AY34">
        <f t="shared" si="3"/>
        <v>1.0000000000000002E-2</v>
      </c>
      <c r="AZ34">
        <f t="shared" si="3"/>
        <v>1.0000000000000002E-2</v>
      </c>
      <c r="BA34">
        <f t="shared" si="3"/>
        <v>1.0000000000000002E-2</v>
      </c>
      <c r="BB34">
        <f t="shared" si="3"/>
        <v>1.0000000000000002E-2</v>
      </c>
      <c r="BC34">
        <f t="shared" si="3"/>
        <v>1.0000000000000002E-2</v>
      </c>
      <c r="BD34">
        <f t="shared" si="3"/>
        <v>1.0000000000000002E-2</v>
      </c>
      <c r="BE34">
        <f t="shared" si="3"/>
        <v>1.0000000000000002E-2</v>
      </c>
      <c r="BF34">
        <f t="shared" si="3"/>
        <v>1.0000000000000002E-2</v>
      </c>
      <c r="BG34">
        <f t="shared" si="3"/>
        <v>1.0000000000000002E-2</v>
      </c>
      <c r="BH34">
        <f t="shared" si="3"/>
        <v>1.0000000000000002E-2</v>
      </c>
      <c r="BI34">
        <f t="shared" si="3"/>
        <v>1.0000000000000002E-2</v>
      </c>
      <c r="BJ34">
        <f t="shared" si="3"/>
        <v>1.0000000000000002E-2</v>
      </c>
    </row>
    <row r="35" spans="1:62">
      <c r="AI35">
        <f>C35^2</f>
        <v>0</v>
      </c>
      <c r="AJ35">
        <f t="shared" si="4"/>
        <v>0</v>
      </c>
      <c r="AK35">
        <f t="shared" si="4"/>
        <v>0</v>
      </c>
      <c r="AL35">
        <f t="shared" si="4"/>
        <v>0</v>
      </c>
      <c r="AM35">
        <f t="shared" si="4"/>
        <v>0</v>
      </c>
      <c r="AN35">
        <f t="shared" si="4"/>
        <v>0</v>
      </c>
      <c r="AO35">
        <f t="shared" si="4"/>
        <v>0</v>
      </c>
      <c r="AP35">
        <f t="shared" si="4"/>
        <v>0</v>
      </c>
      <c r="AQ35">
        <f t="shared" si="4"/>
        <v>0</v>
      </c>
      <c r="AR35">
        <f t="shared" si="4"/>
        <v>0</v>
      </c>
      <c r="AS35">
        <f t="shared" si="4"/>
        <v>0</v>
      </c>
      <c r="AT35">
        <f t="shared" si="4"/>
        <v>0</v>
      </c>
      <c r="AU35">
        <f t="shared" si="4"/>
        <v>0</v>
      </c>
      <c r="AV35">
        <f t="shared" si="4"/>
        <v>0</v>
      </c>
      <c r="AW35">
        <f t="shared" si="4"/>
        <v>0</v>
      </c>
      <c r="AX35">
        <f t="shared" si="4"/>
        <v>0</v>
      </c>
      <c r="AY35">
        <f t="shared" si="3"/>
        <v>0</v>
      </c>
      <c r="AZ35">
        <f t="shared" si="3"/>
        <v>0</v>
      </c>
      <c r="BA35">
        <f t="shared" si="3"/>
        <v>0</v>
      </c>
      <c r="BB35">
        <f t="shared" si="3"/>
        <v>0</v>
      </c>
      <c r="BC35">
        <f t="shared" si="3"/>
        <v>0</v>
      </c>
      <c r="BD35">
        <f t="shared" si="3"/>
        <v>0</v>
      </c>
      <c r="BE35">
        <f t="shared" si="3"/>
        <v>0</v>
      </c>
      <c r="BF35">
        <f t="shared" si="3"/>
        <v>0</v>
      </c>
      <c r="BG35">
        <f t="shared" si="3"/>
        <v>0</v>
      </c>
      <c r="BH35">
        <f t="shared" si="3"/>
        <v>0</v>
      </c>
      <c r="BI35">
        <f t="shared" si="3"/>
        <v>0</v>
      </c>
      <c r="BJ35">
        <f t="shared" si="3"/>
        <v>0</v>
      </c>
    </row>
    <row r="36" spans="1:62">
      <c r="A36" t="s">
        <v>1007</v>
      </c>
      <c r="C36" s="176">
        <v>0.11129357386469842</v>
      </c>
      <c r="D36" s="176">
        <v>8.2081846472957257E-2</v>
      </c>
      <c r="E36" s="176">
        <v>6.3058249156923638E-2</v>
      </c>
      <c r="F36" s="176">
        <v>4.8091587908729617E-2</v>
      </c>
      <c r="G36" s="176">
        <v>3.8762595983110028E-2</v>
      </c>
      <c r="H36" s="176">
        <v>2.7764856902192981E-2</v>
      </c>
      <c r="I36" s="176">
        <v>2.7787018522235689E-2</v>
      </c>
      <c r="J36" s="176">
        <v>0.02</v>
      </c>
      <c r="K36" s="176">
        <v>1.7802067065059005E-2</v>
      </c>
      <c r="L36" s="176">
        <v>1.6038361745697598E-2</v>
      </c>
      <c r="M36" s="178">
        <v>1.2E-2</v>
      </c>
      <c r="N36" s="176">
        <v>8.6108239341364974E-3</v>
      </c>
      <c r="O36" s="176">
        <v>8.9999999999999993E-3</v>
      </c>
      <c r="P36" s="176">
        <v>9.2192484614619999E-3</v>
      </c>
      <c r="Q36" s="176">
        <v>2.0394269704013031E-3</v>
      </c>
      <c r="R36" s="176">
        <v>2.5547434406466476E-3</v>
      </c>
      <c r="S36" s="176">
        <v>6.7242902178656439E-3</v>
      </c>
      <c r="T36" s="176">
        <v>3.8320513952533322E-3</v>
      </c>
      <c r="U36" s="176">
        <v>5.3275388485108134E-3</v>
      </c>
      <c r="V36" s="176">
        <v>9.7395403225490791E-3</v>
      </c>
      <c r="W36" s="176">
        <v>1.169413527905978E-2</v>
      </c>
      <c r="X36" s="176">
        <v>1.0619758992088434E-2</v>
      </c>
      <c r="Y36" s="176">
        <v>1.1088236483432637E-2</v>
      </c>
      <c r="Z36" s="176">
        <v>2.1164186459871726E-2</v>
      </c>
      <c r="AA36" s="176">
        <v>1.4047742638605528E-2</v>
      </c>
      <c r="AB36" s="176">
        <v>1.6420408647981159E-2</v>
      </c>
      <c r="AC36" s="176">
        <v>4.2492267068415059E-2</v>
      </c>
      <c r="AD36" s="176">
        <v>0.10434595593272795</v>
      </c>
      <c r="AI36">
        <f>C36^2</f>
        <v>1.2386259583577083E-2</v>
      </c>
      <c r="AJ36">
        <f t="shared" si="4"/>
        <v>6.7374295204101252E-3</v>
      </c>
      <c r="AK36">
        <f t="shared" si="4"/>
        <v>3.976342786736661E-3</v>
      </c>
      <c r="AL36">
        <f t="shared" si="4"/>
        <v>2.3128008275830688E-3</v>
      </c>
      <c r="AM36">
        <f t="shared" si="4"/>
        <v>1.5025388473498176E-3</v>
      </c>
      <c r="AN36">
        <f t="shared" si="4"/>
        <v>7.7088727879925326E-4</v>
      </c>
      <c r="AO36">
        <f t="shared" si="4"/>
        <v>7.7211839835506922E-4</v>
      </c>
      <c r="AP36">
        <f t="shared" si="4"/>
        <v>4.0000000000000002E-4</v>
      </c>
      <c r="AQ36">
        <f t="shared" si="4"/>
        <v>3.1691359178885852E-4</v>
      </c>
      <c r="AR36">
        <f t="shared" si="4"/>
        <v>2.5722904748585611E-4</v>
      </c>
      <c r="AS36">
        <f t="shared" si="4"/>
        <v>1.44E-4</v>
      </c>
      <c r="AT36">
        <f t="shared" si="4"/>
        <v>7.4146288824697941E-5</v>
      </c>
      <c r="AU36">
        <f t="shared" si="4"/>
        <v>8.099999999999999E-5</v>
      </c>
      <c r="AV36">
        <f t="shared" si="4"/>
        <v>8.4994542194169451E-5</v>
      </c>
      <c r="AW36">
        <f t="shared" si="4"/>
        <v>4.1592623676002377E-6</v>
      </c>
      <c r="AX36">
        <f t="shared" si="4"/>
        <v>6.5267140475270708E-6</v>
      </c>
      <c r="AY36">
        <f t="shared" si="3"/>
        <v>4.5216078934083589E-5</v>
      </c>
      <c r="AZ36">
        <f t="shared" si="3"/>
        <v>1.4684617895863011E-5</v>
      </c>
      <c r="BA36">
        <f t="shared" si="3"/>
        <v>2.8382670182391923E-5</v>
      </c>
      <c r="BB36">
        <f t="shared" si="3"/>
        <v>9.4858645694559417E-5</v>
      </c>
      <c r="BC36">
        <f t="shared" si="3"/>
        <v>1.3675279992495057E-4</v>
      </c>
      <c r="BD36">
        <f t="shared" si="3"/>
        <v>1.1277928105004315E-4</v>
      </c>
      <c r="BE36">
        <f t="shared" si="3"/>
        <v>1.2294898831252657E-4</v>
      </c>
      <c r="BF36">
        <f t="shared" si="3"/>
        <v>4.4792278850821766E-4</v>
      </c>
      <c r="BG36">
        <f t="shared" si="3"/>
        <v>1.973390732404958E-4</v>
      </c>
      <c r="BH36">
        <f t="shared" si="3"/>
        <v>2.6962982016669445E-4</v>
      </c>
      <c r="BI36">
        <f t="shared" si="3"/>
        <v>1.8055927606135109E-3</v>
      </c>
      <c r="BJ36">
        <f t="shared" si="3"/>
        <v>1.0888078519514803E-2</v>
      </c>
    </row>
    <row r="41" spans="1:62">
      <c r="A41" t="s">
        <v>1008</v>
      </c>
      <c r="C41" s="177">
        <f t="shared" ref="C41:AD41" si="5">2*SQRT(SUM(AI7:AI36))</f>
        <v>0.43682257183854628</v>
      </c>
      <c r="D41" s="177">
        <f t="shared" si="5"/>
        <v>0.40836911695381717</v>
      </c>
      <c r="E41" s="177">
        <f t="shared" si="5"/>
        <v>0.39312897825897669</v>
      </c>
      <c r="F41" s="177">
        <f t="shared" si="5"/>
        <v>0.3833662360072056</v>
      </c>
      <c r="G41" s="177">
        <f t="shared" si="5"/>
        <v>0.37812358480978076</v>
      </c>
      <c r="H41" s="177">
        <f t="shared" si="5"/>
        <v>0.37344272320557648</v>
      </c>
      <c r="I41" s="177">
        <f t="shared" si="5"/>
        <v>0.37281431516697461</v>
      </c>
      <c r="J41" s="177">
        <f t="shared" si="5"/>
        <v>0.37035658492863344</v>
      </c>
      <c r="K41" s="177">
        <f t="shared" si="5"/>
        <v>0.36959253072424758</v>
      </c>
      <c r="L41" s="177">
        <f t="shared" si="5"/>
        <v>0.36912781497733899</v>
      </c>
      <c r="M41" s="177">
        <f t="shared" si="5"/>
        <v>0.36851673991828443</v>
      </c>
      <c r="N41" s="177">
        <f t="shared" si="5"/>
        <v>0.36834227989099677</v>
      </c>
      <c r="O41" s="177">
        <f t="shared" si="5"/>
        <v>0.36895292834362309</v>
      </c>
      <c r="P41" s="177">
        <f t="shared" si="5"/>
        <v>0.37001530495657997</v>
      </c>
      <c r="Q41" s="177">
        <f t="shared" si="5"/>
        <v>0.37120555902285607</v>
      </c>
      <c r="R41" s="177">
        <f t="shared" si="5"/>
        <v>0.37412721123907355</v>
      </c>
      <c r="S41" s="177">
        <f t="shared" si="5"/>
        <v>0.37841486393780688</v>
      </c>
      <c r="T41" s="177">
        <f t="shared" si="5"/>
        <v>0.38555092193498436</v>
      </c>
      <c r="U41" s="177">
        <f t="shared" si="5"/>
        <v>0.39628018170742801</v>
      </c>
      <c r="V41" s="177">
        <f t="shared" si="5"/>
        <v>0.4125432921719932</v>
      </c>
      <c r="W41" s="177">
        <f t="shared" si="5"/>
        <v>0.43639382580384128</v>
      </c>
      <c r="X41" s="177">
        <f t="shared" si="5"/>
        <v>0.46682662098206457</v>
      </c>
      <c r="Y41" s="177">
        <f t="shared" si="5"/>
        <v>0.50312349307759785</v>
      </c>
      <c r="Z41" s="177">
        <f t="shared" si="5"/>
        <v>0.53358904981957556</v>
      </c>
      <c r="AA41" s="177">
        <f t="shared" si="5"/>
        <v>0.5210770476870904</v>
      </c>
      <c r="AB41" s="177">
        <f t="shared" si="5"/>
        <v>0.43531970927201219</v>
      </c>
      <c r="AC41" s="177">
        <f t="shared" si="5"/>
        <v>0.54598031598442576</v>
      </c>
      <c r="AD41" s="177">
        <f t="shared" si="5"/>
        <v>0.69498095921979197</v>
      </c>
    </row>
    <row r="42" spans="1:62">
      <c r="C42" s="177"/>
      <c r="D42" s="177"/>
      <c r="E42" s="177"/>
      <c r="F42" s="177"/>
      <c r="G42" s="177"/>
      <c r="H42" s="177"/>
      <c r="I42" s="177"/>
      <c r="J42" s="177"/>
      <c r="K42" s="177"/>
      <c r="L42" s="177"/>
      <c r="M42" s="177"/>
      <c r="N42" s="177"/>
      <c r="O42" s="177"/>
      <c r="P42" s="177"/>
      <c r="Q42" s="177"/>
      <c r="R42" s="177"/>
      <c r="S42" s="177"/>
      <c r="T42" s="177"/>
      <c r="U42" s="177"/>
      <c r="V42" s="177"/>
      <c r="W42" s="177"/>
      <c r="X42" s="177"/>
      <c r="Y42" s="177"/>
      <c r="Z42" s="177"/>
      <c r="AA42" s="177"/>
      <c r="AB42" s="177"/>
      <c r="AC42" s="177"/>
      <c r="AD42" s="177"/>
    </row>
    <row r="43" spans="1:62">
      <c r="B43" s="173" t="s">
        <v>44</v>
      </c>
      <c r="C43">
        <v>20</v>
      </c>
      <c r="D43">
        <v>25</v>
      </c>
      <c r="E43">
        <v>31.5</v>
      </c>
      <c r="F43">
        <v>40</v>
      </c>
      <c r="G43">
        <v>50</v>
      </c>
      <c r="H43">
        <v>63</v>
      </c>
      <c r="I43">
        <v>80</v>
      </c>
      <c r="J43">
        <v>100</v>
      </c>
      <c r="K43">
        <v>125</v>
      </c>
      <c r="L43">
        <v>160</v>
      </c>
      <c r="M43">
        <v>200</v>
      </c>
      <c r="N43">
        <v>250</v>
      </c>
      <c r="O43">
        <v>315</v>
      </c>
      <c r="P43">
        <v>400</v>
      </c>
      <c r="Q43">
        <v>500</v>
      </c>
      <c r="R43">
        <v>630</v>
      </c>
      <c r="S43">
        <v>800</v>
      </c>
      <c r="T43" t="s">
        <v>5</v>
      </c>
      <c r="U43" t="s">
        <v>967</v>
      </c>
      <c r="V43" t="s">
        <v>968</v>
      </c>
      <c r="W43" t="s">
        <v>6</v>
      </c>
      <c r="X43" t="s">
        <v>969</v>
      </c>
      <c r="Y43" t="s">
        <v>970</v>
      </c>
      <c r="Z43" t="s">
        <v>9</v>
      </c>
      <c r="AA43" t="s">
        <v>10</v>
      </c>
      <c r="AB43" t="s">
        <v>971</v>
      </c>
      <c r="AC43" t="s">
        <v>12</v>
      </c>
      <c r="AD43" t="s">
        <v>13</v>
      </c>
      <c r="AI43">
        <v>20</v>
      </c>
      <c r="AJ43">
        <v>25</v>
      </c>
      <c r="AK43">
        <v>31.5</v>
      </c>
      <c r="AL43">
        <v>40</v>
      </c>
      <c r="AM43">
        <v>50</v>
      </c>
      <c r="AN43">
        <v>63</v>
      </c>
      <c r="AO43">
        <v>80</v>
      </c>
      <c r="AP43">
        <v>100</v>
      </c>
      <c r="AQ43">
        <v>125</v>
      </c>
      <c r="AR43">
        <v>160</v>
      </c>
      <c r="AS43">
        <v>200</v>
      </c>
      <c r="AT43">
        <v>250</v>
      </c>
      <c r="AU43">
        <v>315</v>
      </c>
      <c r="AV43">
        <v>400</v>
      </c>
      <c r="AW43">
        <v>500</v>
      </c>
      <c r="AX43">
        <v>630</v>
      </c>
      <c r="AY43">
        <v>800</v>
      </c>
      <c r="AZ43" t="s">
        <v>5</v>
      </c>
      <c r="BA43" t="s">
        <v>967</v>
      </c>
      <c r="BB43" t="s">
        <v>968</v>
      </c>
      <c r="BC43" t="s">
        <v>6</v>
      </c>
      <c r="BD43" t="s">
        <v>969</v>
      </c>
      <c r="BE43" t="s">
        <v>970</v>
      </c>
      <c r="BF43" t="s">
        <v>9</v>
      </c>
      <c r="BG43" t="s">
        <v>10</v>
      </c>
      <c r="BH43" t="s">
        <v>971</v>
      </c>
      <c r="BI43" t="s">
        <v>12</v>
      </c>
      <c r="BJ43" t="s">
        <v>13</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7"/>
  <sheetViews>
    <sheetView topLeftCell="A19" workbookViewId="0">
      <selection sqref="A1:B1"/>
    </sheetView>
  </sheetViews>
  <sheetFormatPr defaultColWidth="14" defaultRowHeight="15"/>
  <cols>
    <col min="1" max="3" width="14" style="175" customWidth="1"/>
    <col min="4" max="4" width="19" style="175" customWidth="1"/>
    <col min="5" max="8" width="14" style="175" customWidth="1"/>
    <col min="10" max="12" width="4.85546875" style="175" customWidth="1"/>
    <col min="13" max="13" width="4.42578125" style="175" customWidth="1"/>
    <col min="14" max="14" width="8.28515625" style="175" customWidth="1"/>
    <col min="15" max="15" width="6.5703125" style="175" customWidth="1"/>
    <col min="16" max="16" width="6" style="175" customWidth="1"/>
    <col min="17" max="17" width="5.42578125" style="175" customWidth="1"/>
    <col min="18" max="18" width="6" style="175" bestFit="1" customWidth="1"/>
    <col min="19" max="26" width="5.85546875" style="175" bestFit="1" customWidth="1"/>
    <col min="27" max="27" width="6.42578125" style="175" customWidth="1"/>
    <col min="28" max="256" width="14" style="175"/>
    <col min="257" max="259" width="14" style="175" customWidth="1"/>
    <col min="260" max="260" width="19" style="175" customWidth="1"/>
    <col min="261" max="264" width="14" style="175" customWidth="1"/>
    <col min="265" max="265" width="14" style="175"/>
    <col min="266" max="268" width="4.85546875" style="175" customWidth="1"/>
    <col min="269" max="269" width="4.42578125" style="175" customWidth="1"/>
    <col min="270" max="270" width="8.28515625" style="175" customWidth="1"/>
    <col min="271" max="271" width="6.5703125" style="175" customWidth="1"/>
    <col min="272" max="272" width="6" style="175" customWidth="1"/>
    <col min="273" max="273" width="5.42578125" style="175" customWidth="1"/>
    <col min="274" max="274" width="6" style="175" bestFit="1" customWidth="1"/>
    <col min="275" max="282" width="5.85546875" style="175" bestFit="1" customWidth="1"/>
    <col min="283" max="283" width="6.42578125" style="175" customWidth="1"/>
    <col min="284" max="512" width="14" style="175"/>
    <col min="513" max="515" width="14" style="175" customWidth="1"/>
    <col min="516" max="516" width="19" style="175" customWidth="1"/>
    <col min="517" max="520" width="14" style="175" customWidth="1"/>
    <col min="521" max="521" width="14" style="175"/>
    <col min="522" max="524" width="4.85546875" style="175" customWidth="1"/>
    <col min="525" max="525" width="4.42578125" style="175" customWidth="1"/>
    <col min="526" max="526" width="8.28515625" style="175" customWidth="1"/>
    <col min="527" max="527" width="6.5703125" style="175" customWidth="1"/>
    <col min="528" max="528" width="6" style="175" customWidth="1"/>
    <col min="529" max="529" width="5.42578125" style="175" customWidth="1"/>
    <col min="530" max="530" width="6" style="175" bestFit="1" customWidth="1"/>
    <col min="531" max="538" width="5.85546875" style="175" bestFit="1" customWidth="1"/>
    <col min="539" max="539" width="6.42578125" style="175" customWidth="1"/>
    <col min="540" max="768" width="14" style="175"/>
    <col min="769" max="771" width="14" style="175" customWidth="1"/>
    <col min="772" max="772" width="19" style="175" customWidth="1"/>
    <col min="773" max="776" width="14" style="175" customWidth="1"/>
    <col min="777" max="777" width="14" style="175"/>
    <col min="778" max="780" width="4.85546875" style="175" customWidth="1"/>
    <col min="781" max="781" width="4.42578125" style="175" customWidth="1"/>
    <col min="782" max="782" width="8.28515625" style="175" customWidth="1"/>
    <col min="783" max="783" width="6.5703125" style="175" customWidth="1"/>
    <col min="784" max="784" width="6" style="175" customWidth="1"/>
    <col min="785" max="785" width="5.42578125" style="175" customWidth="1"/>
    <col min="786" max="786" width="6" style="175" bestFit="1" customWidth="1"/>
    <col min="787" max="794" width="5.85546875" style="175" bestFit="1" customWidth="1"/>
    <col min="795" max="795" width="6.42578125" style="175" customWidth="1"/>
    <col min="796" max="1024" width="14" style="175"/>
    <col min="1025" max="1027" width="14" style="175" customWidth="1"/>
    <col min="1028" max="1028" width="19" style="175" customWidth="1"/>
    <col min="1029" max="1032" width="14" style="175" customWidth="1"/>
    <col min="1033" max="1033" width="14" style="175"/>
    <col min="1034" max="1036" width="4.85546875" style="175" customWidth="1"/>
    <col min="1037" max="1037" width="4.42578125" style="175" customWidth="1"/>
    <col min="1038" max="1038" width="8.28515625" style="175" customWidth="1"/>
    <col min="1039" max="1039" width="6.5703125" style="175" customWidth="1"/>
    <col min="1040" max="1040" width="6" style="175" customWidth="1"/>
    <col min="1041" max="1041" width="5.42578125" style="175" customWidth="1"/>
    <col min="1042" max="1042" width="6" style="175" bestFit="1" customWidth="1"/>
    <col min="1043" max="1050" width="5.85546875" style="175" bestFit="1" customWidth="1"/>
    <col min="1051" max="1051" width="6.42578125" style="175" customWidth="1"/>
    <col min="1052" max="1280" width="14" style="175"/>
    <col min="1281" max="1283" width="14" style="175" customWidth="1"/>
    <col min="1284" max="1284" width="19" style="175" customWidth="1"/>
    <col min="1285" max="1288" width="14" style="175" customWidth="1"/>
    <col min="1289" max="1289" width="14" style="175"/>
    <col min="1290" max="1292" width="4.85546875" style="175" customWidth="1"/>
    <col min="1293" max="1293" width="4.42578125" style="175" customWidth="1"/>
    <col min="1294" max="1294" width="8.28515625" style="175" customWidth="1"/>
    <col min="1295" max="1295" width="6.5703125" style="175" customWidth="1"/>
    <col min="1296" max="1296" width="6" style="175" customWidth="1"/>
    <col min="1297" max="1297" width="5.42578125" style="175" customWidth="1"/>
    <col min="1298" max="1298" width="6" style="175" bestFit="1" customWidth="1"/>
    <col min="1299" max="1306" width="5.85546875" style="175" bestFit="1" customWidth="1"/>
    <col min="1307" max="1307" width="6.42578125" style="175" customWidth="1"/>
    <col min="1308" max="1536" width="14" style="175"/>
    <col min="1537" max="1539" width="14" style="175" customWidth="1"/>
    <col min="1540" max="1540" width="19" style="175" customWidth="1"/>
    <col min="1541" max="1544" width="14" style="175" customWidth="1"/>
    <col min="1545" max="1545" width="14" style="175"/>
    <col min="1546" max="1548" width="4.85546875" style="175" customWidth="1"/>
    <col min="1549" max="1549" width="4.42578125" style="175" customWidth="1"/>
    <col min="1550" max="1550" width="8.28515625" style="175" customWidth="1"/>
    <col min="1551" max="1551" width="6.5703125" style="175" customWidth="1"/>
    <col min="1552" max="1552" width="6" style="175" customWidth="1"/>
    <col min="1553" max="1553" width="5.42578125" style="175" customWidth="1"/>
    <col min="1554" max="1554" width="6" style="175" bestFit="1" customWidth="1"/>
    <col min="1555" max="1562" width="5.85546875" style="175" bestFit="1" customWidth="1"/>
    <col min="1563" max="1563" width="6.42578125" style="175" customWidth="1"/>
    <col min="1564" max="1792" width="14" style="175"/>
    <col min="1793" max="1795" width="14" style="175" customWidth="1"/>
    <col min="1796" max="1796" width="19" style="175" customWidth="1"/>
    <col min="1797" max="1800" width="14" style="175" customWidth="1"/>
    <col min="1801" max="1801" width="14" style="175"/>
    <col min="1802" max="1804" width="4.85546875" style="175" customWidth="1"/>
    <col min="1805" max="1805" width="4.42578125" style="175" customWidth="1"/>
    <col min="1806" max="1806" width="8.28515625" style="175" customWidth="1"/>
    <col min="1807" max="1807" width="6.5703125" style="175" customWidth="1"/>
    <col min="1808" max="1808" width="6" style="175" customWidth="1"/>
    <col min="1809" max="1809" width="5.42578125" style="175" customWidth="1"/>
    <col min="1810" max="1810" width="6" style="175" bestFit="1" customWidth="1"/>
    <col min="1811" max="1818" width="5.85546875" style="175" bestFit="1" customWidth="1"/>
    <col min="1819" max="1819" width="6.42578125" style="175" customWidth="1"/>
    <col min="1820" max="2048" width="14" style="175"/>
    <col min="2049" max="2051" width="14" style="175" customWidth="1"/>
    <col min="2052" max="2052" width="19" style="175" customWidth="1"/>
    <col min="2053" max="2056" width="14" style="175" customWidth="1"/>
    <col min="2057" max="2057" width="14" style="175"/>
    <col min="2058" max="2060" width="4.85546875" style="175" customWidth="1"/>
    <col min="2061" max="2061" width="4.42578125" style="175" customWidth="1"/>
    <col min="2062" max="2062" width="8.28515625" style="175" customWidth="1"/>
    <col min="2063" max="2063" width="6.5703125" style="175" customWidth="1"/>
    <col min="2064" max="2064" width="6" style="175" customWidth="1"/>
    <col min="2065" max="2065" width="5.42578125" style="175" customWidth="1"/>
    <col min="2066" max="2066" width="6" style="175" bestFit="1" customWidth="1"/>
    <col min="2067" max="2074" width="5.85546875" style="175" bestFit="1" customWidth="1"/>
    <col min="2075" max="2075" width="6.42578125" style="175" customWidth="1"/>
    <col min="2076" max="2304" width="14" style="175"/>
    <col min="2305" max="2307" width="14" style="175" customWidth="1"/>
    <col min="2308" max="2308" width="19" style="175" customWidth="1"/>
    <col min="2309" max="2312" width="14" style="175" customWidth="1"/>
    <col min="2313" max="2313" width="14" style="175"/>
    <col min="2314" max="2316" width="4.85546875" style="175" customWidth="1"/>
    <col min="2317" max="2317" width="4.42578125" style="175" customWidth="1"/>
    <col min="2318" max="2318" width="8.28515625" style="175" customWidth="1"/>
    <col min="2319" max="2319" width="6.5703125" style="175" customWidth="1"/>
    <col min="2320" max="2320" width="6" style="175" customWidth="1"/>
    <col min="2321" max="2321" width="5.42578125" style="175" customWidth="1"/>
    <col min="2322" max="2322" width="6" style="175" bestFit="1" customWidth="1"/>
    <col min="2323" max="2330" width="5.85546875" style="175" bestFit="1" customWidth="1"/>
    <col min="2331" max="2331" width="6.42578125" style="175" customWidth="1"/>
    <col min="2332" max="2560" width="14" style="175"/>
    <col min="2561" max="2563" width="14" style="175" customWidth="1"/>
    <col min="2564" max="2564" width="19" style="175" customWidth="1"/>
    <col min="2565" max="2568" width="14" style="175" customWidth="1"/>
    <col min="2569" max="2569" width="14" style="175"/>
    <col min="2570" max="2572" width="4.85546875" style="175" customWidth="1"/>
    <col min="2573" max="2573" width="4.42578125" style="175" customWidth="1"/>
    <col min="2574" max="2574" width="8.28515625" style="175" customWidth="1"/>
    <col min="2575" max="2575" width="6.5703125" style="175" customWidth="1"/>
    <col min="2576" max="2576" width="6" style="175" customWidth="1"/>
    <col min="2577" max="2577" width="5.42578125" style="175" customWidth="1"/>
    <col min="2578" max="2578" width="6" style="175" bestFit="1" customWidth="1"/>
    <col min="2579" max="2586" width="5.85546875" style="175" bestFit="1" customWidth="1"/>
    <col min="2587" max="2587" width="6.42578125" style="175" customWidth="1"/>
    <col min="2588" max="2816" width="14" style="175"/>
    <col min="2817" max="2819" width="14" style="175" customWidth="1"/>
    <col min="2820" max="2820" width="19" style="175" customWidth="1"/>
    <col min="2821" max="2824" width="14" style="175" customWidth="1"/>
    <col min="2825" max="2825" width="14" style="175"/>
    <col min="2826" max="2828" width="4.85546875" style="175" customWidth="1"/>
    <col min="2829" max="2829" width="4.42578125" style="175" customWidth="1"/>
    <col min="2830" max="2830" width="8.28515625" style="175" customWidth="1"/>
    <col min="2831" max="2831" width="6.5703125" style="175" customWidth="1"/>
    <col min="2832" max="2832" width="6" style="175" customWidth="1"/>
    <col min="2833" max="2833" width="5.42578125" style="175" customWidth="1"/>
    <col min="2834" max="2834" width="6" style="175" bestFit="1" customWidth="1"/>
    <col min="2835" max="2842" width="5.85546875" style="175" bestFit="1" customWidth="1"/>
    <col min="2843" max="2843" width="6.42578125" style="175" customWidth="1"/>
    <col min="2844" max="3072" width="14" style="175"/>
    <col min="3073" max="3075" width="14" style="175" customWidth="1"/>
    <col min="3076" max="3076" width="19" style="175" customWidth="1"/>
    <col min="3077" max="3080" width="14" style="175" customWidth="1"/>
    <col min="3081" max="3081" width="14" style="175"/>
    <col min="3082" max="3084" width="4.85546875" style="175" customWidth="1"/>
    <col min="3085" max="3085" width="4.42578125" style="175" customWidth="1"/>
    <col min="3086" max="3086" width="8.28515625" style="175" customWidth="1"/>
    <col min="3087" max="3087" width="6.5703125" style="175" customWidth="1"/>
    <col min="3088" max="3088" width="6" style="175" customWidth="1"/>
    <col min="3089" max="3089" width="5.42578125" style="175" customWidth="1"/>
    <col min="3090" max="3090" width="6" style="175" bestFit="1" customWidth="1"/>
    <col min="3091" max="3098" width="5.85546875" style="175" bestFit="1" customWidth="1"/>
    <col min="3099" max="3099" width="6.42578125" style="175" customWidth="1"/>
    <col min="3100" max="3328" width="14" style="175"/>
    <col min="3329" max="3331" width="14" style="175" customWidth="1"/>
    <col min="3332" max="3332" width="19" style="175" customWidth="1"/>
    <col min="3333" max="3336" width="14" style="175" customWidth="1"/>
    <col min="3337" max="3337" width="14" style="175"/>
    <col min="3338" max="3340" width="4.85546875" style="175" customWidth="1"/>
    <col min="3341" max="3341" width="4.42578125" style="175" customWidth="1"/>
    <col min="3342" max="3342" width="8.28515625" style="175" customWidth="1"/>
    <col min="3343" max="3343" width="6.5703125" style="175" customWidth="1"/>
    <col min="3344" max="3344" width="6" style="175" customWidth="1"/>
    <col min="3345" max="3345" width="5.42578125" style="175" customWidth="1"/>
    <col min="3346" max="3346" width="6" style="175" bestFit="1" customWidth="1"/>
    <col min="3347" max="3354" width="5.85546875" style="175" bestFit="1" customWidth="1"/>
    <col min="3355" max="3355" width="6.42578125" style="175" customWidth="1"/>
    <col min="3356" max="3584" width="14" style="175"/>
    <col min="3585" max="3587" width="14" style="175" customWidth="1"/>
    <col min="3588" max="3588" width="19" style="175" customWidth="1"/>
    <col min="3589" max="3592" width="14" style="175" customWidth="1"/>
    <col min="3593" max="3593" width="14" style="175"/>
    <col min="3594" max="3596" width="4.85546875" style="175" customWidth="1"/>
    <col min="3597" max="3597" width="4.42578125" style="175" customWidth="1"/>
    <col min="3598" max="3598" width="8.28515625" style="175" customWidth="1"/>
    <col min="3599" max="3599" width="6.5703125" style="175" customWidth="1"/>
    <col min="3600" max="3600" width="6" style="175" customWidth="1"/>
    <col min="3601" max="3601" width="5.42578125" style="175" customWidth="1"/>
    <col min="3602" max="3602" width="6" style="175" bestFit="1" customWidth="1"/>
    <col min="3603" max="3610" width="5.85546875" style="175" bestFit="1" customWidth="1"/>
    <col min="3611" max="3611" width="6.42578125" style="175" customWidth="1"/>
    <col min="3612" max="3840" width="14" style="175"/>
    <col min="3841" max="3843" width="14" style="175" customWidth="1"/>
    <col min="3844" max="3844" width="19" style="175" customWidth="1"/>
    <col min="3845" max="3848" width="14" style="175" customWidth="1"/>
    <col min="3849" max="3849" width="14" style="175"/>
    <col min="3850" max="3852" width="4.85546875" style="175" customWidth="1"/>
    <col min="3853" max="3853" width="4.42578125" style="175" customWidth="1"/>
    <col min="3854" max="3854" width="8.28515625" style="175" customWidth="1"/>
    <col min="3855" max="3855" width="6.5703125" style="175" customWidth="1"/>
    <col min="3856" max="3856" width="6" style="175" customWidth="1"/>
    <col min="3857" max="3857" width="5.42578125" style="175" customWidth="1"/>
    <col min="3858" max="3858" width="6" style="175" bestFit="1" customWidth="1"/>
    <col min="3859" max="3866" width="5.85546875" style="175" bestFit="1" customWidth="1"/>
    <col min="3867" max="3867" width="6.42578125" style="175" customWidth="1"/>
    <col min="3868" max="4096" width="14" style="175"/>
    <col min="4097" max="4099" width="14" style="175" customWidth="1"/>
    <col min="4100" max="4100" width="19" style="175" customWidth="1"/>
    <col min="4101" max="4104" width="14" style="175" customWidth="1"/>
    <col min="4105" max="4105" width="14" style="175"/>
    <col min="4106" max="4108" width="4.85546875" style="175" customWidth="1"/>
    <col min="4109" max="4109" width="4.42578125" style="175" customWidth="1"/>
    <col min="4110" max="4110" width="8.28515625" style="175" customWidth="1"/>
    <col min="4111" max="4111" width="6.5703125" style="175" customWidth="1"/>
    <col min="4112" max="4112" width="6" style="175" customWidth="1"/>
    <col min="4113" max="4113" width="5.42578125" style="175" customWidth="1"/>
    <col min="4114" max="4114" width="6" style="175" bestFit="1" customWidth="1"/>
    <col min="4115" max="4122" width="5.85546875" style="175" bestFit="1" customWidth="1"/>
    <col min="4123" max="4123" width="6.42578125" style="175" customWidth="1"/>
    <col min="4124" max="4352" width="14" style="175"/>
    <col min="4353" max="4355" width="14" style="175" customWidth="1"/>
    <col min="4356" max="4356" width="19" style="175" customWidth="1"/>
    <col min="4357" max="4360" width="14" style="175" customWidth="1"/>
    <col min="4361" max="4361" width="14" style="175"/>
    <col min="4362" max="4364" width="4.85546875" style="175" customWidth="1"/>
    <col min="4365" max="4365" width="4.42578125" style="175" customWidth="1"/>
    <col min="4366" max="4366" width="8.28515625" style="175" customWidth="1"/>
    <col min="4367" max="4367" width="6.5703125" style="175" customWidth="1"/>
    <col min="4368" max="4368" width="6" style="175" customWidth="1"/>
    <col min="4369" max="4369" width="5.42578125" style="175" customWidth="1"/>
    <col min="4370" max="4370" width="6" style="175" bestFit="1" customWidth="1"/>
    <col min="4371" max="4378" width="5.85546875" style="175" bestFit="1" customWidth="1"/>
    <col min="4379" max="4379" width="6.42578125" style="175" customWidth="1"/>
    <col min="4380" max="4608" width="14" style="175"/>
    <col min="4609" max="4611" width="14" style="175" customWidth="1"/>
    <col min="4612" max="4612" width="19" style="175" customWidth="1"/>
    <col min="4613" max="4616" width="14" style="175" customWidth="1"/>
    <col min="4617" max="4617" width="14" style="175"/>
    <col min="4618" max="4620" width="4.85546875" style="175" customWidth="1"/>
    <col min="4621" max="4621" width="4.42578125" style="175" customWidth="1"/>
    <col min="4622" max="4622" width="8.28515625" style="175" customWidth="1"/>
    <col min="4623" max="4623" width="6.5703125" style="175" customWidth="1"/>
    <col min="4624" max="4624" width="6" style="175" customWidth="1"/>
    <col min="4625" max="4625" width="5.42578125" style="175" customWidth="1"/>
    <col min="4626" max="4626" width="6" style="175" bestFit="1" customWidth="1"/>
    <col min="4627" max="4634" width="5.85546875" style="175" bestFit="1" customWidth="1"/>
    <col min="4635" max="4635" width="6.42578125" style="175" customWidth="1"/>
    <col min="4636" max="4864" width="14" style="175"/>
    <col min="4865" max="4867" width="14" style="175" customWidth="1"/>
    <col min="4868" max="4868" width="19" style="175" customWidth="1"/>
    <col min="4869" max="4872" width="14" style="175" customWidth="1"/>
    <col min="4873" max="4873" width="14" style="175"/>
    <col min="4874" max="4876" width="4.85546875" style="175" customWidth="1"/>
    <col min="4877" max="4877" width="4.42578125" style="175" customWidth="1"/>
    <col min="4878" max="4878" width="8.28515625" style="175" customWidth="1"/>
    <col min="4879" max="4879" width="6.5703125" style="175" customWidth="1"/>
    <col min="4880" max="4880" width="6" style="175" customWidth="1"/>
    <col min="4881" max="4881" width="5.42578125" style="175" customWidth="1"/>
    <col min="4882" max="4882" width="6" style="175" bestFit="1" customWidth="1"/>
    <col min="4883" max="4890" width="5.85546875" style="175" bestFit="1" customWidth="1"/>
    <col min="4891" max="4891" width="6.42578125" style="175" customWidth="1"/>
    <col min="4892" max="5120" width="14" style="175"/>
    <col min="5121" max="5123" width="14" style="175" customWidth="1"/>
    <col min="5124" max="5124" width="19" style="175" customWidth="1"/>
    <col min="5125" max="5128" width="14" style="175" customWidth="1"/>
    <col min="5129" max="5129" width="14" style="175"/>
    <col min="5130" max="5132" width="4.85546875" style="175" customWidth="1"/>
    <col min="5133" max="5133" width="4.42578125" style="175" customWidth="1"/>
    <col min="5134" max="5134" width="8.28515625" style="175" customWidth="1"/>
    <col min="5135" max="5135" width="6.5703125" style="175" customWidth="1"/>
    <col min="5136" max="5136" width="6" style="175" customWidth="1"/>
    <col min="5137" max="5137" width="5.42578125" style="175" customWidth="1"/>
    <col min="5138" max="5138" width="6" style="175" bestFit="1" customWidth="1"/>
    <col min="5139" max="5146" width="5.85546875" style="175" bestFit="1" customWidth="1"/>
    <col min="5147" max="5147" width="6.42578125" style="175" customWidth="1"/>
    <col min="5148" max="5376" width="14" style="175"/>
    <col min="5377" max="5379" width="14" style="175" customWidth="1"/>
    <col min="5380" max="5380" width="19" style="175" customWidth="1"/>
    <col min="5381" max="5384" width="14" style="175" customWidth="1"/>
    <col min="5385" max="5385" width="14" style="175"/>
    <col min="5386" max="5388" width="4.85546875" style="175" customWidth="1"/>
    <col min="5389" max="5389" width="4.42578125" style="175" customWidth="1"/>
    <col min="5390" max="5390" width="8.28515625" style="175" customWidth="1"/>
    <col min="5391" max="5391" width="6.5703125" style="175" customWidth="1"/>
    <col min="5392" max="5392" width="6" style="175" customWidth="1"/>
    <col min="5393" max="5393" width="5.42578125" style="175" customWidth="1"/>
    <col min="5394" max="5394" width="6" style="175" bestFit="1" customWidth="1"/>
    <col min="5395" max="5402" width="5.85546875" style="175" bestFit="1" customWidth="1"/>
    <col min="5403" max="5403" width="6.42578125" style="175" customWidth="1"/>
    <col min="5404" max="5632" width="14" style="175"/>
    <col min="5633" max="5635" width="14" style="175" customWidth="1"/>
    <col min="5636" max="5636" width="19" style="175" customWidth="1"/>
    <col min="5637" max="5640" width="14" style="175" customWidth="1"/>
    <col min="5641" max="5641" width="14" style="175"/>
    <col min="5642" max="5644" width="4.85546875" style="175" customWidth="1"/>
    <col min="5645" max="5645" width="4.42578125" style="175" customWidth="1"/>
    <col min="5646" max="5646" width="8.28515625" style="175" customWidth="1"/>
    <col min="5647" max="5647" width="6.5703125" style="175" customWidth="1"/>
    <col min="5648" max="5648" width="6" style="175" customWidth="1"/>
    <col min="5649" max="5649" width="5.42578125" style="175" customWidth="1"/>
    <col min="5650" max="5650" width="6" style="175" bestFit="1" customWidth="1"/>
    <col min="5651" max="5658" width="5.85546875" style="175" bestFit="1" customWidth="1"/>
    <col min="5659" max="5659" width="6.42578125" style="175" customWidth="1"/>
    <col min="5660" max="5888" width="14" style="175"/>
    <col min="5889" max="5891" width="14" style="175" customWidth="1"/>
    <col min="5892" max="5892" width="19" style="175" customWidth="1"/>
    <col min="5893" max="5896" width="14" style="175" customWidth="1"/>
    <col min="5897" max="5897" width="14" style="175"/>
    <col min="5898" max="5900" width="4.85546875" style="175" customWidth="1"/>
    <col min="5901" max="5901" width="4.42578125" style="175" customWidth="1"/>
    <col min="5902" max="5902" width="8.28515625" style="175" customWidth="1"/>
    <col min="5903" max="5903" width="6.5703125" style="175" customWidth="1"/>
    <col min="5904" max="5904" width="6" style="175" customWidth="1"/>
    <col min="5905" max="5905" width="5.42578125" style="175" customWidth="1"/>
    <col min="5906" max="5906" width="6" style="175" bestFit="1" customWidth="1"/>
    <col min="5907" max="5914" width="5.85546875" style="175" bestFit="1" customWidth="1"/>
    <col min="5915" max="5915" width="6.42578125" style="175" customWidth="1"/>
    <col min="5916" max="6144" width="14" style="175"/>
    <col min="6145" max="6147" width="14" style="175" customWidth="1"/>
    <col min="6148" max="6148" width="19" style="175" customWidth="1"/>
    <col min="6149" max="6152" width="14" style="175" customWidth="1"/>
    <col min="6153" max="6153" width="14" style="175"/>
    <col min="6154" max="6156" width="4.85546875" style="175" customWidth="1"/>
    <col min="6157" max="6157" width="4.42578125" style="175" customWidth="1"/>
    <col min="6158" max="6158" width="8.28515625" style="175" customWidth="1"/>
    <col min="6159" max="6159" width="6.5703125" style="175" customWidth="1"/>
    <col min="6160" max="6160" width="6" style="175" customWidth="1"/>
    <col min="6161" max="6161" width="5.42578125" style="175" customWidth="1"/>
    <col min="6162" max="6162" width="6" style="175" bestFit="1" customWidth="1"/>
    <col min="6163" max="6170" width="5.85546875" style="175" bestFit="1" customWidth="1"/>
    <col min="6171" max="6171" width="6.42578125" style="175" customWidth="1"/>
    <col min="6172" max="6400" width="14" style="175"/>
    <col min="6401" max="6403" width="14" style="175" customWidth="1"/>
    <col min="6404" max="6404" width="19" style="175" customWidth="1"/>
    <col min="6405" max="6408" width="14" style="175" customWidth="1"/>
    <col min="6409" max="6409" width="14" style="175"/>
    <col min="6410" max="6412" width="4.85546875" style="175" customWidth="1"/>
    <col min="6413" max="6413" width="4.42578125" style="175" customWidth="1"/>
    <col min="6414" max="6414" width="8.28515625" style="175" customWidth="1"/>
    <col min="6415" max="6415" width="6.5703125" style="175" customWidth="1"/>
    <col min="6416" max="6416" width="6" style="175" customWidth="1"/>
    <col min="6417" max="6417" width="5.42578125" style="175" customWidth="1"/>
    <col min="6418" max="6418" width="6" style="175" bestFit="1" customWidth="1"/>
    <col min="6419" max="6426" width="5.85546875" style="175" bestFit="1" customWidth="1"/>
    <col min="6427" max="6427" width="6.42578125" style="175" customWidth="1"/>
    <col min="6428" max="6656" width="14" style="175"/>
    <col min="6657" max="6659" width="14" style="175" customWidth="1"/>
    <col min="6660" max="6660" width="19" style="175" customWidth="1"/>
    <col min="6661" max="6664" width="14" style="175" customWidth="1"/>
    <col min="6665" max="6665" width="14" style="175"/>
    <col min="6666" max="6668" width="4.85546875" style="175" customWidth="1"/>
    <col min="6669" max="6669" width="4.42578125" style="175" customWidth="1"/>
    <col min="6670" max="6670" width="8.28515625" style="175" customWidth="1"/>
    <col min="6671" max="6671" width="6.5703125" style="175" customWidth="1"/>
    <col min="6672" max="6672" width="6" style="175" customWidth="1"/>
    <col min="6673" max="6673" width="5.42578125" style="175" customWidth="1"/>
    <col min="6674" max="6674" width="6" style="175" bestFit="1" customWidth="1"/>
    <col min="6675" max="6682" width="5.85546875" style="175" bestFit="1" customWidth="1"/>
    <col min="6683" max="6683" width="6.42578125" style="175" customWidth="1"/>
    <col min="6684" max="6912" width="14" style="175"/>
    <col min="6913" max="6915" width="14" style="175" customWidth="1"/>
    <col min="6916" max="6916" width="19" style="175" customWidth="1"/>
    <col min="6917" max="6920" width="14" style="175" customWidth="1"/>
    <col min="6921" max="6921" width="14" style="175"/>
    <col min="6922" max="6924" width="4.85546875" style="175" customWidth="1"/>
    <col min="6925" max="6925" width="4.42578125" style="175" customWidth="1"/>
    <col min="6926" max="6926" width="8.28515625" style="175" customWidth="1"/>
    <col min="6927" max="6927" width="6.5703125" style="175" customWidth="1"/>
    <col min="6928" max="6928" width="6" style="175" customWidth="1"/>
    <col min="6929" max="6929" width="5.42578125" style="175" customWidth="1"/>
    <col min="6930" max="6930" width="6" style="175" bestFit="1" customWidth="1"/>
    <col min="6931" max="6938" width="5.85546875" style="175" bestFit="1" customWidth="1"/>
    <col min="6939" max="6939" width="6.42578125" style="175" customWidth="1"/>
    <col min="6940" max="7168" width="14" style="175"/>
    <col min="7169" max="7171" width="14" style="175" customWidth="1"/>
    <col min="7172" max="7172" width="19" style="175" customWidth="1"/>
    <col min="7173" max="7176" width="14" style="175" customWidth="1"/>
    <col min="7177" max="7177" width="14" style="175"/>
    <col min="7178" max="7180" width="4.85546875" style="175" customWidth="1"/>
    <col min="7181" max="7181" width="4.42578125" style="175" customWidth="1"/>
    <col min="7182" max="7182" width="8.28515625" style="175" customWidth="1"/>
    <col min="7183" max="7183" width="6.5703125" style="175" customWidth="1"/>
    <col min="7184" max="7184" width="6" style="175" customWidth="1"/>
    <col min="7185" max="7185" width="5.42578125" style="175" customWidth="1"/>
    <col min="7186" max="7186" width="6" style="175" bestFit="1" customWidth="1"/>
    <col min="7187" max="7194" width="5.85546875" style="175" bestFit="1" customWidth="1"/>
    <col min="7195" max="7195" width="6.42578125" style="175" customWidth="1"/>
    <col min="7196" max="7424" width="14" style="175"/>
    <col min="7425" max="7427" width="14" style="175" customWidth="1"/>
    <col min="7428" max="7428" width="19" style="175" customWidth="1"/>
    <col min="7429" max="7432" width="14" style="175" customWidth="1"/>
    <col min="7433" max="7433" width="14" style="175"/>
    <col min="7434" max="7436" width="4.85546875" style="175" customWidth="1"/>
    <col min="7437" max="7437" width="4.42578125" style="175" customWidth="1"/>
    <col min="7438" max="7438" width="8.28515625" style="175" customWidth="1"/>
    <col min="7439" max="7439" width="6.5703125" style="175" customWidth="1"/>
    <col min="7440" max="7440" width="6" style="175" customWidth="1"/>
    <col min="7441" max="7441" width="5.42578125" style="175" customWidth="1"/>
    <col min="7442" max="7442" width="6" style="175" bestFit="1" customWidth="1"/>
    <col min="7443" max="7450" width="5.85546875" style="175" bestFit="1" customWidth="1"/>
    <col min="7451" max="7451" width="6.42578125" style="175" customWidth="1"/>
    <col min="7452" max="7680" width="14" style="175"/>
    <col min="7681" max="7683" width="14" style="175" customWidth="1"/>
    <col min="7684" max="7684" width="19" style="175" customWidth="1"/>
    <col min="7685" max="7688" width="14" style="175" customWidth="1"/>
    <col min="7689" max="7689" width="14" style="175"/>
    <col min="7690" max="7692" width="4.85546875" style="175" customWidth="1"/>
    <col min="7693" max="7693" width="4.42578125" style="175" customWidth="1"/>
    <col min="7694" max="7694" width="8.28515625" style="175" customWidth="1"/>
    <col min="7695" max="7695" width="6.5703125" style="175" customWidth="1"/>
    <col min="7696" max="7696" width="6" style="175" customWidth="1"/>
    <col min="7697" max="7697" width="5.42578125" style="175" customWidth="1"/>
    <col min="7698" max="7698" width="6" style="175" bestFit="1" customWidth="1"/>
    <col min="7699" max="7706" width="5.85546875" style="175" bestFit="1" customWidth="1"/>
    <col min="7707" max="7707" width="6.42578125" style="175" customWidth="1"/>
    <col min="7708" max="7936" width="14" style="175"/>
    <col min="7937" max="7939" width="14" style="175" customWidth="1"/>
    <col min="7940" max="7940" width="19" style="175" customWidth="1"/>
    <col min="7941" max="7944" width="14" style="175" customWidth="1"/>
    <col min="7945" max="7945" width="14" style="175"/>
    <col min="7946" max="7948" width="4.85546875" style="175" customWidth="1"/>
    <col min="7949" max="7949" width="4.42578125" style="175" customWidth="1"/>
    <col min="7950" max="7950" width="8.28515625" style="175" customWidth="1"/>
    <col min="7951" max="7951" width="6.5703125" style="175" customWidth="1"/>
    <col min="7952" max="7952" width="6" style="175" customWidth="1"/>
    <col min="7953" max="7953" width="5.42578125" style="175" customWidth="1"/>
    <col min="7954" max="7954" width="6" style="175" bestFit="1" customWidth="1"/>
    <col min="7955" max="7962" width="5.85546875" style="175" bestFit="1" customWidth="1"/>
    <col min="7963" max="7963" width="6.42578125" style="175" customWidth="1"/>
    <col min="7964" max="8192" width="14" style="175"/>
    <col min="8193" max="8195" width="14" style="175" customWidth="1"/>
    <col min="8196" max="8196" width="19" style="175" customWidth="1"/>
    <col min="8197" max="8200" width="14" style="175" customWidth="1"/>
    <col min="8201" max="8201" width="14" style="175"/>
    <col min="8202" max="8204" width="4.85546875" style="175" customWidth="1"/>
    <col min="8205" max="8205" width="4.42578125" style="175" customWidth="1"/>
    <col min="8206" max="8206" width="8.28515625" style="175" customWidth="1"/>
    <col min="8207" max="8207" width="6.5703125" style="175" customWidth="1"/>
    <col min="8208" max="8208" width="6" style="175" customWidth="1"/>
    <col min="8209" max="8209" width="5.42578125" style="175" customWidth="1"/>
    <col min="8210" max="8210" width="6" style="175" bestFit="1" customWidth="1"/>
    <col min="8211" max="8218" width="5.85546875" style="175" bestFit="1" customWidth="1"/>
    <col min="8219" max="8219" width="6.42578125" style="175" customWidth="1"/>
    <col min="8220" max="8448" width="14" style="175"/>
    <col min="8449" max="8451" width="14" style="175" customWidth="1"/>
    <col min="8452" max="8452" width="19" style="175" customWidth="1"/>
    <col min="8453" max="8456" width="14" style="175" customWidth="1"/>
    <col min="8457" max="8457" width="14" style="175"/>
    <col min="8458" max="8460" width="4.85546875" style="175" customWidth="1"/>
    <col min="8461" max="8461" width="4.42578125" style="175" customWidth="1"/>
    <col min="8462" max="8462" width="8.28515625" style="175" customWidth="1"/>
    <col min="8463" max="8463" width="6.5703125" style="175" customWidth="1"/>
    <col min="8464" max="8464" width="6" style="175" customWidth="1"/>
    <col min="8465" max="8465" width="5.42578125" style="175" customWidth="1"/>
    <col min="8466" max="8466" width="6" style="175" bestFit="1" customWidth="1"/>
    <col min="8467" max="8474" width="5.85546875" style="175" bestFit="1" customWidth="1"/>
    <col min="8475" max="8475" width="6.42578125" style="175" customWidth="1"/>
    <col min="8476" max="8704" width="14" style="175"/>
    <col min="8705" max="8707" width="14" style="175" customWidth="1"/>
    <col min="8708" max="8708" width="19" style="175" customWidth="1"/>
    <col min="8709" max="8712" width="14" style="175" customWidth="1"/>
    <col min="8713" max="8713" width="14" style="175"/>
    <col min="8714" max="8716" width="4.85546875" style="175" customWidth="1"/>
    <col min="8717" max="8717" width="4.42578125" style="175" customWidth="1"/>
    <col min="8718" max="8718" width="8.28515625" style="175" customWidth="1"/>
    <col min="8719" max="8719" width="6.5703125" style="175" customWidth="1"/>
    <col min="8720" max="8720" width="6" style="175" customWidth="1"/>
    <col min="8721" max="8721" width="5.42578125" style="175" customWidth="1"/>
    <col min="8722" max="8722" width="6" style="175" bestFit="1" customWidth="1"/>
    <col min="8723" max="8730" width="5.85546875" style="175" bestFit="1" customWidth="1"/>
    <col min="8731" max="8731" width="6.42578125" style="175" customWidth="1"/>
    <col min="8732" max="8960" width="14" style="175"/>
    <col min="8961" max="8963" width="14" style="175" customWidth="1"/>
    <col min="8964" max="8964" width="19" style="175" customWidth="1"/>
    <col min="8965" max="8968" width="14" style="175" customWidth="1"/>
    <col min="8969" max="8969" width="14" style="175"/>
    <col min="8970" max="8972" width="4.85546875" style="175" customWidth="1"/>
    <col min="8973" max="8973" width="4.42578125" style="175" customWidth="1"/>
    <col min="8974" max="8974" width="8.28515625" style="175" customWidth="1"/>
    <col min="8975" max="8975" width="6.5703125" style="175" customWidth="1"/>
    <col min="8976" max="8976" width="6" style="175" customWidth="1"/>
    <col min="8977" max="8977" width="5.42578125" style="175" customWidth="1"/>
    <col min="8978" max="8978" width="6" style="175" bestFit="1" customWidth="1"/>
    <col min="8979" max="8986" width="5.85546875" style="175" bestFit="1" customWidth="1"/>
    <col min="8987" max="8987" width="6.42578125" style="175" customWidth="1"/>
    <col min="8988" max="9216" width="14" style="175"/>
    <col min="9217" max="9219" width="14" style="175" customWidth="1"/>
    <col min="9220" max="9220" width="19" style="175" customWidth="1"/>
    <col min="9221" max="9224" width="14" style="175" customWidth="1"/>
    <col min="9225" max="9225" width="14" style="175"/>
    <col min="9226" max="9228" width="4.85546875" style="175" customWidth="1"/>
    <col min="9229" max="9229" width="4.42578125" style="175" customWidth="1"/>
    <col min="9230" max="9230" width="8.28515625" style="175" customWidth="1"/>
    <col min="9231" max="9231" width="6.5703125" style="175" customWidth="1"/>
    <col min="9232" max="9232" width="6" style="175" customWidth="1"/>
    <col min="9233" max="9233" width="5.42578125" style="175" customWidth="1"/>
    <col min="9234" max="9234" width="6" style="175" bestFit="1" customWidth="1"/>
    <col min="9235" max="9242" width="5.85546875" style="175" bestFit="1" customWidth="1"/>
    <col min="9243" max="9243" width="6.42578125" style="175" customWidth="1"/>
    <col min="9244" max="9472" width="14" style="175"/>
    <col min="9473" max="9475" width="14" style="175" customWidth="1"/>
    <col min="9476" max="9476" width="19" style="175" customWidth="1"/>
    <col min="9477" max="9480" width="14" style="175" customWidth="1"/>
    <col min="9481" max="9481" width="14" style="175"/>
    <col min="9482" max="9484" width="4.85546875" style="175" customWidth="1"/>
    <col min="9485" max="9485" width="4.42578125" style="175" customWidth="1"/>
    <col min="9486" max="9486" width="8.28515625" style="175" customWidth="1"/>
    <col min="9487" max="9487" width="6.5703125" style="175" customWidth="1"/>
    <col min="9488" max="9488" width="6" style="175" customWidth="1"/>
    <col min="9489" max="9489" width="5.42578125" style="175" customWidth="1"/>
    <col min="9490" max="9490" width="6" style="175" bestFit="1" customWidth="1"/>
    <col min="9491" max="9498" width="5.85546875" style="175" bestFit="1" customWidth="1"/>
    <col min="9499" max="9499" width="6.42578125" style="175" customWidth="1"/>
    <col min="9500" max="9728" width="14" style="175"/>
    <col min="9729" max="9731" width="14" style="175" customWidth="1"/>
    <col min="9732" max="9732" width="19" style="175" customWidth="1"/>
    <col min="9733" max="9736" width="14" style="175" customWidth="1"/>
    <col min="9737" max="9737" width="14" style="175"/>
    <col min="9738" max="9740" width="4.85546875" style="175" customWidth="1"/>
    <col min="9741" max="9741" width="4.42578125" style="175" customWidth="1"/>
    <col min="9742" max="9742" width="8.28515625" style="175" customWidth="1"/>
    <col min="9743" max="9743" width="6.5703125" style="175" customWidth="1"/>
    <col min="9744" max="9744" width="6" style="175" customWidth="1"/>
    <col min="9745" max="9745" width="5.42578125" style="175" customWidth="1"/>
    <col min="9746" max="9746" width="6" style="175" bestFit="1" customWidth="1"/>
    <col min="9747" max="9754" width="5.85546875" style="175" bestFit="1" customWidth="1"/>
    <col min="9755" max="9755" width="6.42578125" style="175" customWidth="1"/>
    <col min="9756" max="9984" width="14" style="175"/>
    <col min="9985" max="9987" width="14" style="175" customWidth="1"/>
    <col min="9988" max="9988" width="19" style="175" customWidth="1"/>
    <col min="9989" max="9992" width="14" style="175" customWidth="1"/>
    <col min="9993" max="9993" width="14" style="175"/>
    <col min="9994" max="9996" width="4.85546875" style="175" customWidth="1"/>
    <col min="9997" max="9997" width="4.42578125" style="175" customWidth="1"/>
    <col min="9998" max="9998" width="8.28515625" style="175" customWidth="1"/>
    <col min="9999" max="9999" width="6.5703125" style="175" customWidth="1"/>
    <col min="10000" max="10000" width="6" style="175" customWidth="1"/>
    <col min="10001" max="10001" width="5.42578125" style="175" customWidth="1"/>
    <col min="10002" max="10002" width="6" style="175" bestFit="1" customWidth="1"/>
    <col min="10003" max="10010" width="5.85546875" style="175" bestFit="1" customWidth="1"/>
    <col min="10011" max="10011" width="6.42578125" style="175" customWidth="1"/>
    <col min="10012" max="10240" width="14" style="175"/>
    <col min="10241" max="10243" width="14" style="175" customWidth="1"/>
    <col min="10244" max="10244" width="19" style="175" customWidth="1"/>
    <col min="10245" max="10248" width="14" style="175" customWidth="1"/>
    <col min="10249" max="10249" width="14" style="175"/>
    <col min="10250" max="10252" width="4.85546875" style="175" customWidth="1"/>
    <col min="10253" max="10253" width="4.42578125" style="175" customWidth="1"/>
    <col min="10254" max="10254" width="8.28515625" style="175" customWidth="1"/>
    <col min="10255" max="10255" width="6.5703125" style="175" customWidth="1"/>
    <col min="10256" max="10256" width="6" style="175" customWidth="1"/>
    <col min="10257" max="10257" width="5.42578125" style="175" customWidth="1"/>
    <col min="10258" max="10258" width="6" style="175" bestFit="1" customWidth="1"/>
    <col min="10259" max="10266" width="5.85546875" style="175" bestFit="1" customWidth="1"/>
    <col min="10267" max="10267" width="6.42578125" style="175" customWidth="1"/>
    <col min="10268" max="10496" width="14" style="175"/>
    <col min="10497" max="10499" width="14" style="175" customWidth="1"/>
    <col min="10500" max="10500" width="19" style="175" customWidth="1"/>
    <col min="10501" max="10504" width="14" style="175" customWidth="1"/>
    <col min="10505" max="10505" width="14" style="175"/>
    <col min="10506" max="10508" width="4.85546875" style="175" customWidth="1"/>
    <col min="10509" max="10509" width="4.42578125" style="175" customWidth="1"/>
    <col min="10510" max="10510" width="8.28515625" style="175" customWidth="1"/>
    <col min="10511" max="10511" width="6.5703125" style="175" customWidth="1"/>
    <col min="10512" max="10512" width="6" style="175" customWidth="1"/>
    <col min="10513" max="10513" width="5.42578125" style="175" customWidth="1"/>
    <col min="10514" max="10514" width="6" style="175" bestFit="1" customWidth="1"/>
    <col min="10515" max="10522" width="5.85546875" style="175" bestFit="1" customWidth="1"/>
    <col min="10523" max="10523" width="6.42578125" style="175" customWidth="1"/>
    <col min="10524" max="10752" width="14" style="175"/>
    <col min="10753" max="10755" width="14" style="175" customWidth="1"/>
    <col min="10756" max="10756" width="19" style="175" customWidth="1"/>
    <col min="10757" max="10760" width="14" style="175" customWidth="1"/>
    <col min="10761" max="10761" width="14" style="175"/>
    <col min="10762" max="10764" width="4.85546875" style="175" customWidth="1"/>
    <col min="10765" max="10765" width="4.42578125" style="175" customWidth="1"/>
    <col min="10766" max="10766" width="8.28515625" style="175" customWidth="1"/>
    <col min="10767" max="10767" width="6.5703125" style="175" customWidth="1"/>
    <col min="10768" max="10768" width="6" style="175" customWidth="1"/>
    <col min="10769" max="10769" width="5.42578125" style="175" customWidth="1"/>
    <col min="10770" max="10770" width="6" style="175" bestFit="1" customWidth="1"/>
    <col min="10771" max="10778" width="5.85546875" style="175" bestFit="1" customWidth="1"/>
    <col min="10779" max="10779" width="6.42578125" style="175" customWidth="1"/>
    <col min="10780" max="11008" width="14" style="175"/>
    <col min="11009" max="11011" width="14" style="175" customWidth="1"/>
    <col min="11012" max="11012" width="19" style="175" customWidth="1"/>
    <col min="11013" max="11016" width="14" style="175" customWidth="1"/>
    <col min="11017" max="11017" width="14" style="175"/>
    <col min="11018" max="11020" width="4.85546875" style="175" customWidth="1"/>
    <col min="11021" max="11021" width="4.42578125" style="175" customWidth="1"/>
    <col min="11022" max="11022" width="8.28515625" style="175" customWidth="1"/>
    <col min="11023" max="11023" width="6.5703125" style="175" customWidth="1"/>
    <col min="11024" max="11024" width="6" style="175" customWidth="1"/>
    <col min="11025" max="11025" width="5.42578125" style="175" customWidth="1"/>
    <col min="11026" max="11026" width="6" style="175" bestFit="1" customWidth="1"/>
    <col min="11027" max="11034" width="5.85546875" style="175" bestFit="1" customWidth="1"/>
    <col min="11035" max="11035" width="6.42578125" style="175" customWidth="1"/>
    <col min="11036" max="11264" width="14" style="175"/>
    <col min="11265" max="11267" width="14" style="175" customWidth="1"/>
    <col min="11268" max="11268" width="19" style="175" customWidth="1"/>
    <col min="11269" max="11272" width="14" style="175" customWidth="1"/>
    <col min="11273" max="11273" width="14" style="175"/>
    <col min="11274" max="11276" width="4.85546875" style="175" customWidth="1"/>
    <col min="11277" max="11277" width="4.42578125" style="175" customWidth="1"/>
    <col min="11278" max="11278" width="8.28515625" style="175" customWidth="1"/>
    <col min="11279" max="11279" width="6.5703125" style="175" customWidth="1"/>
    <col min="11280" max="11280" width="6" style="175" customWidth="1"/>
    <col min="11281" max="11281" width="5.42578125" style="175" customWidth="1"/>
    <col min="11282" max="11282" width="6" style="175" bestFit="1" customWidth="1"/>
    <col min="11283" max="11290" width="5.85546875" style="175" bestFit="1" customWidth="1"/>
    <col min="11291" max="11291" width="6.42578125" style="175" customWidth="1"/>
    <col min="11292" max="11520" width="14" style="175"/>
    <col min="11521" max="11523" width="14" style="175" customWidth="1"/>
    <col min="11524" max="11524" width="19" style="175" customWidth="1"/>
    <col min="11525" max="11528" width="14" style="175" customWidth="1"/>
    <col min="11529" max="11529" width="14" style="175"/>
    <col min="11530" max="11532" width="4.85546875" style="175" customWidth="1"/>
    <col min="11533" max="11533" width="4.42578125" style="175" customWidth="1"/>
    <col min="11534" max="11534" width="8.28515625" style="175" customWidth="1"/>
    <col min="11535" max="11535" width="6.5703125" style="175" customWidth="1"/>
    <col min="11536" max="11536" width="6" style="175" customWidth="1"/>
    <col min="11537" max="11537" width="5.42578125" style="175" customWidth="1"/>
    <col min="11538" max="11538" width="6" style="175" bestFit="1" customWidth="1"/>
    <col min="11539" max="11546" width="5.85546875" style="175" bestFit="1" customWidth="1"/>
    <col min="11547" max="11547" width="6.42578125" style="175" customWidth="1"/>
    <col min="11548" max="11776" width="14" style="175"/>
    <col min="11777" max="11779" width="14" style="175" customWidth="1"/>
    <col min="11780" max="11780" width="19" style="175" customWidth="1"/>
    <col min="11781" max="11784" width="14" style="175" customWidth="1"/>
    <col min="11785" max="11785" width="14" style="175"/>
    <col min="11786" max="11788" width="4.85546875" style="175" customWidth="1"/>
    <col min="11789" max="11789" width="4.42578125" style="175" customWidth="1"/>
    <col min="11790" max="11790" width="8.28515625" style="175" customWidth="1"/>
    <col min="11791" max="11791" width="6.5703125" style="175" customWidth="1"/>
    <col min="11792" max="11792" width="6" style="175" customWidth="1"/>
    <col min="11793" max="11793" width="5.42578125" style="175" customWidth="1"/>
    <col min="11794" max="11794" width="6" style="175" bestFit="1" customWidth="1"/>
    <col min="11795" max="11802" width="5.85546875" style="175" bestFit="1" customWidth="1"/>
    <col min="11803" max="11803" width="6.42578125" style="175" customWidth="1"/>
    <col min="11804" max="12032" width="14" style="175"/>
    <col min="12033" max="12035" width="14" style="175" customWidth="1"/>
    <col min="12036" max="12036" width="19" style="175" customWidth="1"/>
    <col min="12037" max="12040" width="14" style="175" customWidth="1"/>
    <col min="12041" max="12041" width="14" style="175"/>
    <col min="12042" max="12044" width="4.85546875" style="175" customWidth="1"/>
    <col min="12045" max="12045" width="4.42578125" style="175" customWidth="1"/>
    <col min="12046" max="12046" width="8.28515625" style="175" customWidth="1"/>
    <col min="12047" max="12047" width="6.5703125" style="175" customWidth="1"/>
    <col min="12048" max="12048" width="6" style="175" customWidth="1"/>
    <col min="12049" max="12049" width="5.42578125" style="175" customWidth="1"/>
    <col min="12050" max="12050" width="6" style="175" bestFit="1" customWidth="1"/>
    <col min="12051" max="12058" width="5.85546875" style="175" bestFit="1" customWidth="1"/>
    <col min="12059" max="12059" width="6.42578125" style="175" customWidth="1"/>
    <col min="12060" max="12288" width="14" style="175"/>
    <col min="12289" max="12291" width="14" style="175" customWidth="1"/>
    <col min="12292" max="12292" width="19" style="175" customWidth="1"/>
    <col min="12293" max="12296" width="14" style="175" customWidth="1"/>
    <col min="12297" max="12297" width="14" style="175"/>
    <col min="12298" max="12300" width="4.85546875" style="175" customWidth="1"/>
    <col min="12301" max="12301" width="4.42578125" style="175" customWidth="1"/>
    <col min="12302" max="12302" width="8.28515625" style="175" customWidth="1"/>
    <col min="12303" max="12303" width="6.5703125" style="175" customWidth="1"/>
    <col min="12304" max="12304" width="6" style="175" customWidth="1"/>
    <col min="12305" max="12305" width="5.42578125" style="175" customWidth="1"/>
    <col min="12306" max="12306" width="6" style="175" bestFit="1" customWidth="1"/>
    <col min="12307" max="12314" width="5.85546875" style="175" bestFit="1" customWidth="1"/>
    <col min="12315" max="12315" width="6.42578125" style="175" customWidth="1"/>
    <col min="12316" max="12544" width="14" style="175"/>
    <col min="12545" max="12547" width="14" style="175" customWidth="1"/>
    <col min="12548" max="12548" width="19" style="175" customWidth="1"/>
    <col min="12549" max="12552" width="14" style="175" customWidth="1"/>
    <col min="12553" max="12553" width="14" style="175"/>
    <col min="12554" max="12556" width="4.85546875" style="175" customWidth="1"/>
    <col min="12557" max="12557" width="4.42578125" style="175" customWidth="1"/>
    <col min="12558" max="12558" width="8.28515625" style="175" customWidth="1"/>
    <col min="12559" max="12559" width="6.5703125" style="175" customWidth="1"/>
    <col min="12560" max="12560" width="6" style="175" customWidth="1"/>
    <col min="12561" max="12561" width="5.42578125" style="175" customWidth="1"/>
    <col min="12562" max="12562" width="6" style="175" bestFit="1" customWidth="1"/>
    <col min="12563" max="12570" width="5.85546875" style="175" bestFit="1" customWidth="1"/>
    <col min="12571" max="12571" width="6.42578125" style="175" customWidth="1"/>
    <col min="12572" max="12800" width="14" style="175"/>
    <col min="12801" max="12803" width="14" style="175" customWidth="1"/>
    <col min="12804" max="12804" width="19" style="175" customWidth="1"/>
    <col min="12805" max="12808" width="14" style="175" customWidth="1"/>
    <col min="12809" max="12809" width="14" style="175"/>
    <col min="12810" max="12812" width="4.85546875" style="175" customWidth="1"/>
    <col min="12813" max="12813" width="4.42578125" style="175" customWidth="1"/>
    <col min="12814" max="12814" width="8.28515625" style="175" customWidth="1"/>
    <col min="12815" max="12815" width="6.5703125" style="175" customWidth="1"/>
    <col min="12816" max="12816" width="6" style="175" customWidth="1"/>
    <col min="12817" max="12817" width="5.42578125" style="175" customWidth="1"/>
    <col min="12818" max="12818" width="6" style="175" bestFit="1" customWidth="1"/>
    <col min="12819" max="12826" width="5.85546875" style="175" bestFit="1" customWidth="1"/>
    <col min="12827" max="12827" width="6.42578125" style="175" customWidth="1"/>
    <col min="12828" max="13056" width="14" style="175"/>
    <col min="13057" max="13059" width="14" style="175" customWidth="1"/>
    <col min="13060" max="13060" width="19" style="175" customWidth="1"/>
    <col min="13061" max="13064" width="14" style="175" customWidth="1"/>
    <col min="13065" max="13065" width="14" style="175"/>
    <col min="13066" max="13068" width="4.85546875" style="175" customWidth="1"/>
    <col min="13069" max="13069" width="4.42578125" style="175" customWidth="1"/>
    <col min="13070" max="13070" width="8.28515625" style="175" customWidth="1"/>
    <col min="13071" max="13071" width="6.5703125" style="175" customWidth="1"/>
    <col min="13072" max="13072" width="6" style="175" customWidth="1"/>
    <col min="13073" max="13073" width="5.42578125" style="175" customWidth="1"/>
    <col min="13074" max="13074" width="6" style="175" bestFit="1" customWidth="1"/>
    <col min="13075" max="13082" width="5.85546875" style="175" bestFit="1" customWidth="1"/>
    <col min="13083" max="13083" width="6.42578125" style="175" customWidth="1"/>
    <col min="13084" max="13312" width="14" style="175"/>
    <col min="13313" max="13315" width="14" style="175" customWidth="1"/>
    <col min="13316" max="13316" width="19" style="175" customWidth="1"/>
    <col min="13317" max="13320" width="14" style="175" customWidth="1"/>
    <col min="13321" max="13321" width="14" style="175"/>
    <col min="13322" max="13324" width="4.85546875" style="175" customWidth="1"/>
    <col min="13325" max="13325" width="4.42578125" style="175" customWidth="1"/>
    <col min="13326" max="13326" width="8.28515625" style="175" customWidth="1"/>
    <col min="13327" max="13327" width="6.5703125" style="175" customWidth="1"/>
    <col min="13328" max="13328" width="6" style="175" customWidth="1"/>
    <col min="13329" max="13329" width="5.42578125" style="175" customWidth="1"/>
    <col min="13330" max="13330" width="6" style="175" bestFit="1" customWidth="1"/>
    <col min="13331" max="13338" width="5.85546875" style="175" bestFit="1" customWidth="1"/>
    <col min="13339" max="13339" width="6.42578125" style="175" customWidth="1"/>
    <col min="13340" max="13568" width="14" style="175"/>
    <col min="13569" max="13571" width="14" style="175" customWidth="1"/>
    <col min="13572" max="13572" width="19" style="175" customWidth="1"/>
    <col min="13573" max="13576" width="14" style="175" customWidth="1"/>
    <col min="13577" max="13577" width="14" style="175"/>
    <col min="13578" max="13580" width="4.85546875" style="175" customWidth="1"/>
    <col min="13581" max="13581" width="4.42578125" style="175" customWidth="1"/>
    <col min="13582" max="13582" width="8.28515625" style="175" customWidth="1"/>
    <col min="13583" max="13583" width="6.5703125" style="175" customWidth="1"/>
    <col min="13584" max="13584" width="6" style="175" customWidth="1"/>
    <col min="13585" max="13585" width="5.42578125" style="175" customWidth="1"/>
    <col min="13586" max="13586" width="6" style="175" bestFit="1" customWidth="1"/>
    <col min="13587" max="13594" width="5.85546875" style="175" bestFit="1" customWidth="1"/>
    <col min="13595" max="13595" width="6.42578125" style="175" customWidth="1"/>
    <col min="13596" max="13824" width="14" style="175"/>
    <col min="13825" max="13827" width="14" style="175" customWidth="1"/>
    <col min="13828" max="13828" width="19" style="175" customWidth="1"/>
    <col min="13829" max="13832" width="14" style="175" customWidth="1"/>
    <col min="13833" max="13833" width="14" style="175"/>
    <col min="13834" max="13836" width="4.85546875" style="175" customWidth="1"/>
    <col min="13837" max="13837" width="4.42578125" style="175" customWidth="1"/>
    <col min="13838" max="13838" width="8.28515625" style="175" customWidth="1"/>
    <col min="13839" max="13839" width="6.5703125" style="175" customWidth="1"/>
    <col min="13840" max="13840" width="6" style="175" customWidth="1"/>
    <col min="13841" max="13841" width="5.42578125" style="175" customWidth="1"/>
    <col min="13842" max="13842" width="6" style="175" bestFit="1" customWidth="1"/>
    <col min="13843" max="13850" width="5.85546875" style="175" bestFit="1" customWidth="1"/>
    <col min="13851" max="13851" width="6.42578125" style="175" customWidth="1"/>
    <col min="13852" max="14080" width="14" style="175"/>
    <col min="14081" max="14083" width="14" style="175" customWidth="1"/>
    <col min="14084" max="14084" width="19" style="175" customWidth="1"/>
    <col min="14085" max="14088" width="14" style="175" customWidth="1"/>
    <col min="14089" max="14089" width="14" style="175"/>
    <col min="14090" max="14092" width="4.85546875" style="175" customWidth="1"/>
    <col min="14093" max="14093" width="4.42578125" style="175" customWidth="1"/>
    <col min="14094" max="14094" width="8.28515625" style="175" customWidth="1"/>
    <col min="14095" max="14095" width="6.5703125" style="175" customWidth="1"/>
    <col min="14096" max="14096" width="6" style="175" customWidth="1"/>
    <col min="14097" max="14097" width="5.42578125" style="175" customWidth="1"/>
    <col min="14098" max="14098" width="6" style="175" bestFit="1" customWidth="1"/>
    <col min="14099" max="14106" width="5.85546875" style="175" bestFit="1" customWidth="1"/>
    <col min="14107" max="14107" width="6.42578125" style="175" customWidth="1"/>
    <col min="14108" max="14336" width="14" style="175"/>
    <col min="14337" max="14339" width="14" style="175" customWidth="1"/>
    <col min="14340" max="14340" width="19" style="175" customWidth="1"/>
    <col min="14341" max="14344" width="14" style="175" customWidth="1"/>
    <col min="14345" max="14345" width="14" style="175"/>
    <col min="14346" max="14348" width="4.85546875" style="175" customWidth="1"/>
    <col min="14349" max="14349" width="4.42578125" style="175" customWidth="1"/>
    <col min="14350" max="14350" width="8.28515625" style="175" customWidth="1"/>
    <col min="14351" max="14351" width="6.5703125" style="175" customWidth="1"/>
    <col min="14352" max="14352" width="6" style="175" customWidth="1"/>
    <col min="14353" max="14353" width="5.42578125" style="175" customWidth="1"/>
    <col min="14354" max="14354" width="6" style="175" bestFit="1" customWidth="1"/>
    <col min="14355" max="14362" width="5.85546875" style="175" bestFit="1" customWidth="1"/>
    <col min="14363" max="14363" width="6.42578125" style="175" customWidth="1"/>
    <col min="14364" max="14592" width="14" style="175"/>
    <col min="14593" max="14595" width="14" style="175" customWidth="1"/>
    <col min="14596" max="14596" width="19" style="175" customWidth="1"/>
    <col min="14597" max="14600" width="14" style="175" customWidth="1"/>
    <col min="14601" max="14601" width="14" style="175"/>
    <col min="14602" max="14604" width="4.85546875" style="175" customWidth="1"/>
    <col min="14605" max="14605" width="4.42578125" style="175" customWidth="1"/>
    <col min="14606" max="14606" width="8.28515625" style="175" customWidth="1"/>
    <col min="14607" max="14607" width="6.5703125" style="175" customWidth="1"/>
    <col min="14608" max="14608" width="6" style="175" customWidth="1"/>
    <col min="14609" max="14609" width="5.42578125" style="175" customWidth="1"/>
    <col min="14610" max="14610" width="6" style="175" bestFit="1" customWidth="1"/>
    <col min="14611" max="14618" width="5.85546875" style="175" bestFit="1" customWidth="1"/>
    <col min="14619" max="14619" width="6.42578125" style="175" customWidth="1"/>
    <col min="14620" max="14848" width="14" style="175"/>
    <col min="14849" max="14851" width="14" style="175" customWidth="1"/>
    <col min="14852" max="14852" width="19" style="175" customWidth="1"/>
    <col min="14853" max="14856" width="14" style="175" customWidth="1"/>
    <col min="14857" max="14857" width="14" style="175"/>
    <col min="14858" max="14860" width="4.85546875" style="175" customWidth="1"/>
    <col min="14861" max="14861" width="4.42578125" style="175" customWidth="1"/>
    <col min="14862" max="14862" width="8.28515625" style="175" customWidth="1"/>
    <col min="14863" max="14863" width="6.5703125" style="175" customWidth="1"/>
    <col min="14864" max="14864" width="6" style="175" customWidth="1"/>
    <col min="14865" max="14865" width="5.42578125" style="175" customWidth="1"/>
    <col min="14866" max="14866" width="6" style="175" bestFit="1" customWidth="1"/>
    <col min="14867" max="14874" width="5.85546875" style="175" bestFit="1" customWidth="1"/>
    <col min="14875" max="14875" width="6.42578125" style="175" customWidth="1"/>
    <col min="14876" max="15104" width="14" style="175"/>
    <col min="15105" max="15107" width="14" style="175" customWidth="1"/>
    <col min="15108" max="15108" width="19" style="175" customWidth="1"/>
    <col min="15109" max="15112" width="14" style="175" customWidth="1"/>
    <col min="15113" max="15113" width="14" style="175"/>
    <col min="15114" max="15116" width="4.85546875" style="175" customWidth="1"/>
    <col min="15117" max="15117" width="4.42578125" style="175" customWidth="1"/>
    <col min="15118" max="15118" width="8.28515625" style="175" customWidth="1"/>
    <col min="15119" max="15119" width="6.5703125" style="175" customWidth="1"/>
    <col min="15120" max="15120" width="6" style="175" customWidth="1"/>
    <col min="15121" max="15121" width="5.42578125" style="175" customWidth="1"/>
    <col min="15122" max="15122" width="6" style="175" bestFit="1" customWidth="1"/>
    <col min="15123" max="15130" width="5.85546875" style="175" bestFit="1" customWidth="1"/>
    <col min="15131" max="15131" width="6.42578125" style="175" customWidth="1"/>
    <col min="15132" max="15360" width="14" style="175"/>
    <col min="15361" max="15363" width="14" style="175" customWidth="1"/>
    <col min="15364" max="15364" width="19" style="175" customWidth="1"/>
    <col min="15365" max="15368" width="14" style="175" customWidth="1"/>
    <col min="15369" max="15369" width="14" style="175"/>
    <col min="15370" max="15372" width="4.85546875" style="175" customWidth="1"/>
    <col min="15373" max="15373" width="4.42578125" style="175" customWidth="1"/>
    <col min="15374" max="15374" width="8.28515625" style="175" customWidth="1"/>
    <col min="15375" max="15375" width="6.5703125" style="175" customWidth="1"/>
    <col min="15376" max="15376" width="6" style="175" customWidth="1"/>
    <col min="15377" max="15377" width="5.42578125" style="175" customWidth="1"/>
    <col min="15378" max="15378" width="6" style="175" bestFit="1" customWidth="1"/>
    <col min="15379" max="15386" width="5.85546875" style="175" bestFit="1" customWidth="1"/>
    <col min="15387" max="15387" width="6.42578125" style="175" customWidth="1"/>
    <col min="15388" max="15616" width="14" style="175"/>
    <col min="15617" max="15619" width="14" style="175" customWidth="1"/>
    <col min="15620" max="15620" width="19" style="175" customWidth="1"/>
    <col min="15621" max="15624" width="14" style="175" customWidth="1"/>
    <col min="15625" max="15625" width="14" style="175"/>
    <col min="15626" max="15628" width="4.85546875" style="175" customWidth="1"/>
    <col min="15629" max="15629" width="4.42578125" style="175" customWidth="1"/>
    <col min="15630" max="15630" width="8.28515625" style="175" customWidth="1"/>
    <col min="15631" max="15631" width="6.5703125" style="175" customWidth="1"/>
    <col min="15632" max="15632" width="6" style="175" customWidth="1"/>
    <col min="15633" max="15633" width="5.42578125" style="175" customWidth="1"/>
    <col min="15634" max="15634" width="6" style="175" bestFit="1" customWidth="1"/>
    <col min="15635" max="15642" width="5.85546875" style="175" bestFit="1" customWidth="1"/>
    <col min="15643" max="15643" width="6.42578125" style="175" customWidth="1"/>
    <col min="15644" max="15872" width="14" style="175"/>
    <col min="15873" max="15875" width="14" style="175" customWidth="1"/>
    <col min="15876" max="15876" width="19" style="175" customWidth="1"/>
    <col min="15877" max="15880" width="14" style="175" customWidth="1"/>
    <col min="15881" max="15881" width="14" style="175"/>
    <col min="15882" max="15884" width="4.85546875" style="175" customWidth="1"/>
    <col min="15885" max="15885" width="4.42578125" style="175" customWidth="1"/>
    <col min="15886" max="15886" width="8.28515625" style="175" customWidth="1"/>
    <col min="15887" max="15887" width="6.5703125" style="175" customWidth="1"/>
    <col min="15888" max="15888" width="6" style="175" customWidth="1"/>
    <col min="15889" max="15889" width="5.42578125" style="175" customWidth="1"/>
    <col min="15890" max="15890" width="6" style="175" bestFit="1" customWidth="1"/>
    <col min="15891" max="15898" width="5.85546875" style="175" bestFit="1" customWidth="1"/>
    <col min="15899" max="15899" width="6.42578125" style="175" customWidth="1"/>
    <col min="15900" max="16128" width="14" style="175"/>
    <col min="16129" max="16131" width="14" style="175" customWidth="1"/>
    <col min="16132" max="16132" width="19" style="175" customWidth="1"/>
    <col min="16133" max="16136" width="14" style="175" customWidth="1"/>
    <col min="16137" max="16137" width="14" style="175"/>
    <col min="16138" max="16140" width="4.85546875" style="175" customWidth="1"/>
    <col min="16141" max="16141" width="4.42578125" style="175" customWidth="1"/>
    <col min="16142" max="16142" width="8.28515625" style="175" customWidth="1"/>
    <col min="16143" max="16143" width="6.5703125" style="175" customWidth="1"/>
    <col min="16144" max="16144" width="6" style="175" customWidth="1"/>
    <col min="16145" max="16145" width="5.42578125" style="175" customWidth="1"/>
    <col min="16146" max="16146" width="6" style="175" bestFit="1" customWidth="1"/>
    <col min="16147" max="16154" width="5.85546875" style="175" bestFit="1" customWidth="1"/>
    <col min="16155" max="16155" width="6.42578125" style="175" customWidth="1"/>
    <col min="16156" max="16384" width="14" style="175"/>
  </cols>
  <sheetData>
    <row r="1" spans="1:28" ht="26.25">
      <c r="A1" s="62" t="s">
        <v>1045</v>
      </c>
      <c r="B1" s="62" t="s">
        <v>767</v>
      </c>
    </row>
    <row r="2" spans="1:28" ht="15.75" thickBot="1"/>
    <row r="3" spans="1:28" ht="15.75">
      <c r="A3" s="179" t="s">
        <v>1012</v>
      </c>
      <c r="B3" s="179"/>
      <c r="C3" s="179"/>
      <c r="D3" s="179"/>
      <c r="E3" s="179"/>
      <c r="F3" s="179"/>
      <c r="G3" s="179"/>
      <c r="H3" s="179"/>
      <c r="J3" s="180"/>
      <c r="K3" s="180"/>
      <c r="L3" s="180"/>
      <c r="M3" s="180"/>
      <c r="N3" s="180"/>
      <c r="O3" s="180"/>
      <c r="P3" s="180"/>
      <c r="Q3" s="180"/>
      <c r="R3" s="180"/>
      <c r="S3" s="180"/>
      <c r="T3" s="180"/>
      <c r="U3" s="180" t="s">
        <v>1013</v>
      </c>
      <c r="V3" s="180"/>
      <c r="W3" s="180"/>
      <c r="X3" s="180"/>
      <c r="Y3" s="180"/>
      <c r="Z3" s="180"/>
      <c r="AA3" s="180"/>
      <c r="AB3" s="180"/>
    </row>
    <row r="4" spans="1:28" ht="15.75">
      <c r="A4" s="181"/>
      <c r="B4" s="181"/>
      <c r="C4" s="181"/>
      <c r="D4" s="181"/>
      <c r="E4" s="181"/>
      <c r="F4" s="181"/>
      <c r="G4" s="181"/>
      <c r="H4" s="181"/>
      <c r="J4" s="182"/>
      <c r="K4" s="182"/>
      <c r="L4" s="182"/>
      <c r="M4" s="182"/>
      <c r="N4" s="182"/>
      <c r="O4" s="182"/>
      <c r="P4" s="182"/>
      <c r="Q4" s="182"/>
      <c r="R4" s="182"/>
      <c r="S4" s="182"/>
      <c r="T4" s="182"/>
      <c r="U4" s="182"/>
      <c r="V4" s="182"/>
      <c r="W4" s="182"/>
      <c r="X4" s="182"/>
      <c r="Y4" s="182"/>
      <c r="Z4" s="182"/>
      <c r="AA4" s="182"/>
    </row>
    <row r="5" spans="1:28" ht="16.5" thickBot="1">
      <c r="A5" s="183"/>
      <c r="B5" s="183"/>
      <c r="C5" s="183"/>
      <c r="D5" s="183"/>
      <c r="E5" s="183"/>
      <c r="F5" s="183"/>
      <c r="G5" s="183"/>
      <c r="H5" s="183"/>
      <c r="J5" s="184"/>
      <c r="K5" s="184"/>
      <c r="L5" s="184"/>
      <c r="M5" s="184"/>
      <c r="N5" s="184">
        <v>2</v>
      </c>
      <c r="O5" s="184">
        <v>4</v>
      </c>
      <c r="P5" s="184">
        <v>8</v>
      </c>
      <c r="Q5" s="184">
        <v>16</v>
      </c>
      <c r="R5" s="184">
        <v>31.5</v>
      </c>
      <c r="S5" s="184">
        <v>63</v>
      </c>
      <c r="T5" s="184">
        <v>125</v>
      </c>
      <c r="U5" s="184">
        <v>250</v>
      </c>
      <c r="V5" s="184">
        <v>500</v>
      </c>
      <c r="W5" s="184" t="s">
        <v>5</v>
      </c>
      <c r="X5" s="184" t="s">
        <v>6</v>
      </c>
      <c r="Y5" s="184" t="s">
        <v>9</v>
      </c>
      <c r="Z5" s="184" t="s">
        <v>12</v>
      </c>
      <c r="AA5" s="184" t="s">
        <v>13</v>
      </c>
    </row>
    <row r="6" spans="1:28" ht="15.75">
      <c r="A6" s="181"/>
      <c r="B6" s="181"/>
      <c r="C6" s="181"/>
      <c r="D6" s="181"/>
      <c r="E6" s="181"/>
      <c r="F6" s="181"/>
      <c r="G6" s="181"/>
      <c r="H6" s="181"/>
      <c r="J6" s="185"/>
      <c r="K6" s="185"/>
      <c r="L6" s="185"/>
      <c r="M6" s="185"/>
      <c r="N6" s="185"/>
      <c r="O6" s="185"/>
      <c r="P6" s="185"/>
      <c r="Q6" s="185"/>
      <c r="R6" s="185"/>
      <c r="S6" s="185"/>
      <c r="T6" s="185"/>
      <c r="U6" s="185"/>
      <c r="V6" s="185"/>
      <c r="W6" s="185"/>
      <c r="X6" s="185"/>
      <c r="Y6" s="185"/>
      <c r="Z6" s="185"/>
      <c r="AA6" s="185"/>
    </row>
    <row r="7" spans="1:28" ht="18.75">
      <c r="A7" s="181" t="s">
        <v>1014</v>
      </c>
      <c r="B7" s="181"/>
      <c r="C7" s="181"/>
      <c r="D7" s="181"/>
      <c r="E7" s="181"/>
      <c r="F7" s="181"/>
      <c r="G7" s="181"/>
      <c r="H7" s="181"/>
      <c r="J7" s="185"/>
      <c r="K7" s="185"/>
      <c r="L7" s="185"/>
      <c r="M7" s="185"/>
      <c r="N7" s="185"/>
      <c r="O7" s="185"/>
      <c r="P7" s="185"/>
      <c r="Q7" s="185"/>
      <c r="R7" s="185"/>
      <c r="S7" s="185"/>
      <c r="T7" s="185"/>
      <c r="U7" s="185"/>
      <c r="V7" s="185"/>
      <c r="W7" s="185"/>
      <c r="X7" s="185"/>
      <c r="Y7" s="185"/>
      <c r="Z7" s="185"/>
      <c r="AA7" s="185"/>
    </row>
    <row r="8" spans="1:28" ht="15.75">
      <c r="A8" s="181"/>
      <c r="B8" s="181"/>
      <c r="C8" s="181"/>
      <c r="D8" s="181"/>
      <c r="E8" s="181"/>
      <c r="F8" s="181"/>
      <c r="G8" s="181"/>
      <c r="H8" s="181"/>
      <c r="J8" s="185"/>
      <c r="K8" s="185"/>
      <c r="L8" s="185"/>
      <c r="M8" s="185"/>
      <c r="N8" s="185"/>
      <c r="O8" s="185"/>
      <c r="P8" s="185"/>
      <c r="Q8" s="185"/>
      <c r="R8" s="185"/>
      <c r="S8" s="185"/>
      <c r="T8" s="185"/>
      <c r="U8" s="185"/>
      <c r="V8" s="185"/>
      <c r="W8" s="185"/>
      <c r="X8" s="185"/>
      <c r="Y8" s="185"/>
      <c r="Z8" s="185"/>
      <c r="AA8" s="185"/>
    </row>
    <row r="9" spans="1:28" ht="15.75">
      <c r="A9" s="181" t="s">
        <v>1015</v>
      </c>
      <c r="B9" s="181"/>
      <c r="C9" s="181"/>
      <c r="D9" s="181"/>
      <c r="E9" s="186" t="s">
        <v>1016</v>
      </c>
      <c r="F9" s="181"/>
      <c r="G9" s="181"/>
      <c r="H9" s="181"/>
      <c r="J9" s="185"/>
      <c r="K9" s="185"/>
      <c r="L9" s="185"/>
      <c r="M9" s="185"/>
      <c r="N9" s="185"/>
      <c r="O9" s="185"/>
      <c r="P9" s="185"/>
      <c r="Q9" s="185"/>
      <c r="R9" s="185"/>
      <c r="S9" s="185"/>
      <c r="T9" s="185"/>
      <c r="U9" s="185"/>
      <c r="V9" s="185"/>
      <c r="W9" s="185"/>
      <c r="X9" s="185"/>
      <c r="Y9" s="185"/>
      <c r="Z9" s="185"/>
      <c r="AA9" s="185"/>
    </row>
    <row r="10" spans="1:28" ht="15.75">
      <c r="A10" s="181" t="s">
        <v>1017</v>
      </c>
      <c r="B10" s="181"/>
      <c r="C10" s="181"/>
      <c r="D10" s="181"/>
      <c r="E10" s="181"/>
      <c r="F10" s="181"/>
      <c r="G10" s="181"/>
      <c r="H10" s="181"/>
      <c r="J10" s="185"/>
      <c r="K10" s="185"/>
      <c r="L10" s="185"/>
      <c r="M10" s="185"/>
      <c r="N10" s="185"/>
      <c r="O10" s="185"/>
      <c r="P10" s="185"/>
      <c r="Q10" s="185"/>
      <c r="R10" s="185"/>
      <c r="S10" s="185"/>
      <c r="T10" s="185"/>
      <c r="U10" s="185"/>
      <c r="V10" s="185"/>
      <c r="W10" s="185"/>
      <c r="X10" s="185"/>
      <c r="Y10" s="185"/>
      <c r="Z10" s="185"/>
      <c r="AA10" s="185"/>
    </row>
    <row r="11" spans="1:28">
      <c r="A11" s="186"/>
      <c r="B11" s="186"/>
      <c r="C11" s="186"/>
      <c r="D11" s="186"/>
      <c r="F11" s="186"/>
      <c r="G11" s="186"/>
      <c r="H11" s="186"/>
      <c r="J11" s="186"/>
      <c r="K11" s="186"/>
      <c r="L11" s="186"/>
      <c r="M11" s="186"/>
      <c r="N11" s="186">
        <v>1000</v>
      </c>
      <c r="O11" s="186">
        <v>500</v>
      </c>
      <c r="P11" s="186">
        <v>300</v>
      </c>
      <c r="Q11" s="186">
        <v>150</v>
      </c>
      <c r="R11" s="186">
        <v>100</v>
      </c>
      <c r="S11" s="186">
        <v>100</v>
      </c>
      <c r="T11" s="186">
        <v>100</v>
      </c>
      <c r="U11" s="186">
        <v>100</v>
      </c>
      <c r="V11" s="186">
        <v>100</v>
      </c>
      <c r="W11" s="186">
        <v>100</v>
      </c>
      <c r="X11" s="186">
        <v>100</v>
      </c>
      <c r="Y11" s="186">
        <v>100</v>
      </c>
      <c r="Z11" s="186">
        <v>150</v>
      </c>
      <c r="AA11" s="186">
        <v>180</v>
      </c>
    </row>
    <row r="12" spans="1:28">
      <c r="A12" s="186"/>
      <c r="B12" s="186"/>
      <c r="C12" s="186"/>
      <c r="D12" s="186"/>
      <c r="E12" s="186"/>
      <c r="F12" s="186"/>
      <c r="G12" s="186"/>
      <c r="H12" s="186"/>
      <c r="J12" s="186"/>
      <c r="K12" s="186"/>
      <c r="L12" s="186"/>
      <c r="M12" s="186"/>
      <c r="N12" s="186"/>
      <c r="O12" s="186"/>
      <c r="P12" s="186"/>
      <c r="Q12" s="186"/>
      <c r="R12" s="186"/>
      <c r="S12" s="186"/>
      <c r="T12" s="186"/>
      <c r="U12" s="186"/>
      <c r="V12" s="186"/>
      <c r="W12" s="186"/>
      <c r="X12" s="186"/>
      <c r="Y12" s="186"/>
      <c r="Z12" s="186"/>
      <c r="AA12" s="186"/>
    </row>
    <row r="13" spans="1:28" ht="15.75" thickBot="1">
      <c r="A13" s="186"/>
      <c r="B13" s="186"/>
      <c r="C13" s="186"/>
      <c r="D13" s="186"/>
      <c r="E13" s="186"/>
      <c r="F13" s="186"/>
      <c r="G13" s="186"/>
      <c r="H13" s="186"/>
      <c r="J13" s="186"/>
      <c r="K13" s="186"/>
      <c r="L13" s="186"/>
      <c r="M13" s="186"/>
      <c r="N13" s="186"/>
      <c r="O13" s="186"/>
      <c r="P13" s="186"/>
      <c r="Q13" s="186"/>
      <c r="R13" s="186"/>
      <c r="S13" s="186"/>
      <c r="T13" s="186"/>
      <c r="U13" s="186"/>
      <c r="V13" s="186"/>
      <c r="W13" s="186"/>
      <c r="X13" s="186"/>
      <c r="Y13" s="186"/>
      <c r="Z13" s="186"/>
      <c r="AA13" s="186"/>
    </row>
    <row r="14" spans="1:28" ht="16.5" thickBot="1">
      <c r="A14" s="187" t="s">
        <v>1018</v>
      </c>
      <c r="B14" s="187"/>
      <c r="C14" s="187"/>
      <c r="D14" s="187"/>
      <c r="E14" s="187"/>
      <c r="F14" s="187"/>
      <c r="G14" s="187"/>
      <c r="H14" s="187"/>
      <c r="J14" s="188"/>
      <c r="K14" s="188"/>
      <c r="L14" s="188"/>
      <c r="M14" s="188"/>
      <c r="N14" s="188">
        <f>SQRT(SUMSQ(N11))</f>
        <v>1000</v>
      </c>
      <c r="O14" s="188">
        <f>SQRT(SUMSQ(O11))</f>
        <v>500</v>
      </c>
      <c r="P14" s="188">
        <f>SQRT(SUMSQ(P11))</f>
        <v>300</v>
      </c>
      <c r="Q14" s="188">
        <f>SQRT(SUMSQ(Q11))</f>
        <v>150</v>
      </c>
      <c r="R14" s="188">
        <f>SQRT(SUMSQ(R11))</f>
        <v>100</v>
      </c>
      <c r="S14" s="188">
        <f t="shared" ref="S14:AA14" si="0">SQRT(SUMSQ(S11))</f>
        <v>100</v>
      </c>
      <c r="T14" s="188">
        <f t="shared" si="0"/>
        <v>100</v>
      </c>
      <c r="U14" s="188">
        <f t="shared" si="0"/>
        <v>100</v>
      </c>
      <c r="V14" s="188">
        <f t="shared" si="0"/>
        <v>100</v>
      </c>
      <c r="W14" s="188">
        <f t="shared" si="0"/>
        <v>100</v>
      </c>
      <c r="X14" s="188">
        <f t="shared" si="0"/>
        <v>100</v>
      </c>
      <c r="Y14" s="188">
        <f t="shared" si="0"/>
        <v>100</v>
      </c>
      <c r="Z14" s="188">
        <f t="shared" si="0"/>
        <v>150</v>
      </c>
      <c r="AA14" s="188">
        <f t="shared" si="0"/>
        <v>180</v>
      </c>
    </row>
    <row r="15" spans="1:28" ht="15.75">
      <c r="A15" s="181"/>
      <c r="B15" s="181"/>
      <c r="C15" s="181"/>
      <c r="D15" s="181"/>
      <c r="E15" s="181"/>
      <c r="F15" s="181"/>
      <c r="G15" s="181"/>
      <c r="H15" s="181"/>
      <c r="J15" s="185"/>
      <c r="K15" s="185"/>
      <c r="L15" s="185"/>
      <c r="M15" s="185"/>
      <c r="N15" s="185"/>
      <c r="O15" s="185"/>
      <c r="P15" s="185"/>
      <c r="Q15" s="185"/>
      <c r="R15" s="185"/>
      <c r="S15" s="185"/>
      <c r="T15" s="185"/>
      <c r="U15" s="185"/>
      <c r="V15" s="185"/>
      <c r="W15" s="185"/>
      <c r="X15" s="185"/>
      <c r="Y15" s="185"/>
      <c r="Z15" s="185"/>
      <c r="AA15" s="185"/>
    </row>
    <row r="16" spans="1:28" ht="15.75">
      <c r="A16" s="181"/>
      <c r="B16" s="181"/>
      <c r="C16" s="181"/>
      <c r="D16" s="181"/>
      <c r="E16" s="181"/>
      <c r="F16" s="181"/>
      <c r="G16" s="181"/>
      <c r="H16" s="181"/>
      <c r="J16" s="185"/>
      <c r="K16" s="185"/>
      <c r="L16" s="185"/>
      <c r="M16" s="185"/>
      <c r="N16" s="185"/>
      <c r="O16" s="185"/>
      <c r="P16" s="185"/>
      <c r="Q16" s="185"/>
      <c r="R16" s="185"/>
      <c r="S16" s="185"/>
      <c r="T16" s="185"/>
      <c r="U16" s="185"/>
      <c r="V16" s="185"/>
      <c r="W16" s="185"/>
      <c r="X16" s="185"/>
      <c r="Y16" s="185"/>
      <c r="Z16" s="185"/>
      <c r="AA16" s="185"/>
    </row>
    <row r="17" spans="1:27" ht="15.75">
      <c r="A17" s="181"/>
      <c r="B17" s="181"/>
      <c r="C17" s="181"/>
      <c r="D17" s="181"/>
      <c r="E17" s="181"/>
      <c r="F17" s="181"/>
      <c r="G17" s="181"/>
      <c r="H17" s="181"/>
      <c r="J17" s="185"/>
      <c r="K17" s="185"/>
      <c r="L17" s="185"/>
      <c r="M17" s="185"/>
      <c r="N17" s="185"/>
      <c r="O17" s="185"/>
      <c r="P17" s="185"/>
      <c r="Q17" s="185"/>
      <c r="R17" s="185"/>
      <c r="S17" s="185"/>
      <c r="T17" s="185"/>
      <c r="U17" s="185"/>
      <c r="V17" s="185"/>
      <c r="W17" s="185"/>
      <c r="X17" s="185"/>
      <c r="Y17" s="185"/>
      <c r="Z17" s="185"/>
      <c r="AA17" s="185"/>
    </row>
    <row r="18" spans="1:27" ht="15.75">
      <c r="A18" s="181"/>
      <c r="B18" s="181"/>
      <c r="C18" s="181"/>
      <c r="D18" s="181"/>
      <c r="E18" s="181"/>
      <c r="F18" s="181"/>
      <c r="G18" s="181"/>
      <c r="H18" s="181"/>
      <c r="J18" s="185"/>
      <c r="K18" s="185"/>
      <c r="L18" s="185"/>
      <c r="M18" s="185"/>
      <c r="N18" s="185"/>
      <c r="O18" s="185"/>
      <c r="P18" s="185"/>
      <c r="Q18" s="185"/>
      <c r="R18" s="185"/>
      <c r="S18" s="185"/>
      <c r="T18" s="185"/>
      <c r="U18" s="185"/>
      <c r="V18" s="185"/>
      <c r="W18" s="185"/>
      <c r="X18" s="185"/>
      <c r="Y18" s="185"/>
      <c r="Z18" s="185"/>
      <c r="AA18" s="185"/>
    </row>
    <row r="19" spans="1:27" ht="18.75">
      <c r="A19" s="181" t="s">
        <v>1019</v>
      </c>
      <c r="B19" s="181"/>
      <c r="C19" s="181"/>
      <c r="D19" s="181"/>
      <c r="E19" s="181"/>
      <c r="F19" s="181"/>
      <c r="G19" s="181"/>
      <c r="H19" s="181"/>
      <c r="J19" s="185"/>
      <c r="K19" s="185"/>
      <c r="L19" s="185"/>
      <c r="M19" s="185"/>
      <c r="N19" s="185"/>
      <c r="O19" s="185"/>
      <c r="P19" s="185"/>
      <c r="Q19" s="185"/>
      <c r="R19" s="185"/>
      <c r="S19" s="185"/>
      <c r="T19" s="185"/>
      <c r="U19" s="185"/>
      <c r="V19" s="185"/>
      <c r="W19" s="185"/>
      <c r="X19" s="185"/>
      <c r="Y19" s="185"/>
      <c r="Z19" s="185"/>
      <c r="AA19" s="185"/>
    </row>
    <row r="20" spans="1:27" ht="15.75">
      <c r="A20" s="181"/>
      <c r="B20" s="181"/>
      <c r="C20" s="181"/>
      <c r="D20" s="181"/>
      <c r="E20" s="181"/>
      <c r="F20" s="181"/>
      <c r="G20" s="181"/>
      <c r="H20" s="181"/>
      <c r="J20" s="185"/>
      <c r="K20" s="185"/>
      <c r="L20" s="185"/>
      <c r="M20" s="185"/>
      <c r="N20" s="185"/>
      <c r="O20" s="185"/>
      <c r="P20" s="185"/>
      <c r="Q20" s="185"/>
      <c r="R20" s="185"/>
      <c r="S20" s="185"/>
      <c r="T20" s="185"/>
      <c r="U20" s="185"/>
      <c r="V20" s="185"/>
      <c r="W20" s="185"/>
      <c r="X20" s="185"/>
      <c r="Y20" s="185"/>
      <c r="Z20" s="185"/>
      <c r="AA20" s="185"/>
    </row>
    <row r="21" spans="1:27" ht="15.75">
      <c r="A21" s="181" t="s">
        <v>1015</v>
      </c>
      <c r="B21" s="181"/>
      <c r="C21" s="181"/>
      <c r="D21" s="181"/>
      <c r="E21" s="181"/>
      <c r="F21" s="181"/>
      <c r="G21" s="181"/>
      <c r="H21" s="181"/>
      <c r="J21" s="185"/>
      <c r="K21" s="185"/>
      <c r="L21" s="185"/>
      <c r="M21" s="185"/>
      <c r="N21" s="185"/>
      <c r="O21" s="185"/>
      <c r="P21" s="185"/>
      <c r="Q21" s="185"/>
      <c r="R21" s="185"/>
      <c r="S21" s="185"/>
      <c r="T21" s="185"/>
      <c r="U21" s="185"/>
      <c r="V21" s="185"/>
      <c r="W21" s="185"/>
      <c r="X21" s="185"/>
      <c r="Y21" s="185"/>
      <c r="Z21" s="185"/>
      <c r="AA21" s="185"/>
    </row>
    <row r="22" spans="1:27" ht="15.75">
      <c r="A22" s="181" t="s">
        <v>1020</v>
      </c>
      <c r="B22" s="181"/>
      <c r="C22" s="181"/>
      <c r="D22" s="181"/>
      <c r="E22" s="181"/>
      <c r="F22" s="181"/>
      <c r="G22" s="181"/>
      <c r="H22" s="181"/>
      <c r="J22" s="185"/>
      <c r="K22" s="185"/>
      <c r="L22" s="185"/>
      <c r="M22" s="185"/>
      <c r="N22" s="185"/>
      <c r="O22" s="185"/>
      <c r="P22" s="185"/>
      <c r="Q22" s="185"/>
      <c r="R22" s="185"/>
      <c r="S22" s="185"/>
      <c r="T22" s="185"/>
      <c r="U22" s="185"/>
      <c r="V22" s="185"/>
      <c r="W22" s="185"/>
      <c r="X22" s="185"/>
      <c r="Y22" s="185"/>
      <c r="Z22" s="185"/>
      <c r="AA22" s="185"/>
    </row>
    <row r="23" spans="1:27" ht="15.75">
      <c r="A23" s="181"/>
      <c r="B23" s="181"/>
      <c r="C23" s="181"/>
      <c r="D23" s="181"/>
      <c r="E23" s="181"/>
      <c r="F23" s="181"/>
      <c r="G23" s="181"/>
      <c r="H23" s="181"/>
      <c r="J23" s="185"/>
      <c r="K23" s="185"/>
      <c r="L23" s="185"/>
      <c r="M23" s="185"/>
      <c r="N23" s="185"/>
      <c r="O23" s="185"/>
      <c r="P23" s="185"/>
      <c r="Q23" s="185"/>
      <c r="R23" s="185"/>
      <c r="S23" s="185"/>
      <c r="T23" s="185"/>
      <c r="U23" s="185"/>
      <c r="V23" s="185"/>
      <c r="W23" s="185"/>
      <c r="X23" s="185"/>
      <c r="Y23" s="185"/>
      <c r="Z23" s="185"/>
      <c r="AA23" s="185"/>
    </row>
    <row r="24" spans="1:27" ht="15.75">
      <c r="A24" s="186" t="s">
        <v>1021</v>
      </c>
      <c r="B24" s="186"/>
      <c r="C24" s="186"/>
      <c r="D24" s="186"/>
      <c r="E24" s="189" t="s">
        <v>1022</v>
      </c>
      <c r="F24" s="186"/>
      <c r="G24" s="186"/>
      <c r="H24" s="186"/>
      <c r="J24" s="186"/>
      <c r="K24" s="186"/>
      <c r="L24" s="186"/>
      <c r="M24" s="186"/>
      <c r="N24" s="186">
        <v>100</v>
      </c>
      <c r="O24" s="186">
        <v>50</v>
      </c>
      <c r="P24" s="186">
        <v>100</v>
      </c>
      <c r="Q24" s="186">
        <v>10</v>
      </c>
      <c r="R24" s="186">
        <v>10</v>
      </c>
      <c r="S24" s="186">
        <v>10</v>
      </c>
      <c r="T24" s="186">
        <v>10</v>
      </c>
      <c r="U24" s="186">
        <v>10</v>
      </c>
      <c r="V24" s="186">
        <v>10</v>
      </c>
      <c r="W24" s="186">
        <v>10</v>
      </c>
      <c r="X24" s="186">
        <v>10</v>
      </c>
      <c r="Y24" s="186">
        <v>10</v>
      </c>
      <c r="Z24" s="186">
        <v>10</v>
      </c>
      <c r="AA24" s="186">
        <v>10</v>
      </c>
    </row>
    <row r="25" spans="1:27">
      <c r="B25" s="186"/>
      <c r="C25" s="186"/>
      <c r="D25" s="186"/>
      <c r="E25" s="186" t="s">
        <v>1023</v>
      </c>
      <c r="F25" s="186"/>
      <c r="G25" s="186"/>
      <c r="H25" s="186"/>
      <c r="J25" s="186"/>
      <c r="K25" s="186"/>
      <c r="L25" s="186"/>
      <c r="M25" s="186"/>
      <c r="N25" s="186">
        <v>20</v>
      </c>
      <c r="O25" s="186">
        <v>20</v>
      </c>
      <c r="P25" s="186">
        <v>20</v>
      </c>
      <c r="Q25" s="186">
        <v>20</v>
      </c>
      <c r="R25" s="186">
        <v>20</v>
      </c>
      <c r="S25" s="186">
        <v>20</v>
      </c>
      <c r="T25" s="186">
        <v>20</v>
      </c>
      <c r="U25" s="186">
        <v>20</v>
      </c>
      <c r="V25" s="186">
        <v>20</v>
      </c>
      <c r="W25" s="186">
        <v>20</v>
      </c>
      <c r="X25" s="186">
        <v>20</v>
      </c>
      <c r="Y25" s="186">
        <v>20</v>
      </c>
      <c r="Z25" s="186">
        <v>20</v>
      </c>
      <c r="AA25" s="186">
        <v>20</v>
      </c>
    </row>
    <row r="26" spans="1:27">
      <c r="A26" s="186"/>
      <c r="B26" s="186"/>
      <c r="C26" s="186"/>
      <c r="D26" s="186"/>
      <c r="E26" s="186" t="s">
        <v>1024</v>
      </c>
      <c r="F26" s="186"/>
      <c r="G26" s="186"/>
      <c r="H26" s="186"/>
      <c r="J26" s="186"/>
      <c r="K26" s="186"/>
      <c r="L26" s="186"/>
      <c r="M26" s="186"/>
      <c r="N26" s="186">
        <v>22</v>
      </c>
      <c r="O26" s="186">
        <v>22</v>
      </c>
      <c r="P26" s="186">
        <v>22</v>
      </c>
      <c r="Q26" s="186">
        <v>22</v>
      </c>
      <c r="R26" s="186">
        <v>22</v>
      </c>
      <c r="S26" s="186">
        <v>22</v>
      </c>
      <c r="T26" s="186">
        <v>22</v>
      </c>
      <c r="U26" s="186">
        <v>22</v>
      </c>
      <c r="V26" s="186">
        <v>22</v>
      </c>
      <c r="W26" s="186">
        <v>22</v>
      </c>
      <c r="X26" s="186">
        <v>22</v>
      </c>
      <c r="Y26" s="186">
        <v>22</v>
      </c>
      <c r="Z26" s="186">
        <v>22</v>
      </c>
      <c r="AA26" s="186">
        <v>22</v>
      </c>
    </row>
    <row r="27" spans="1:27">
      <c r="A27" s="186"/>
      <c r="B27" s="186"/>
      <c r="C27" s="186"/>
      <c r="D27" s="186"/>
      <c r="E27" s="186"/>
      <c r="F27" s="186"/>
      <c r="G27" s="186"/>
      <c r="H27" s="186"/>
      <c r="J27" s="186"/>
      <c r="K27" s="186"/>
      <c r="L27" s="186"/>
      <c r="M27" s="186"/>
      <c r="N27" s="186"/>
      <c r="O27" s="186"/>
      <c r="P27" s="186"/>
      <c r="Q27" s="186"/>
      <c r="R27" s="186"/>
      <c r="S27" s="186"/>
      <c r="T27" s="186"/>
      <c r="U27" s="186"/>
      <c r="V27" s="186"/>
      <c r="W27" s="186"/>
      <c r="X27" s="186"/>
      <c r="Y27" s="186"/>
      <c r="Z27" s="186"/>
      <c r="AA27" s="186"/>
    </row>
    <row r="28" spans="1:27">
      <c r="A28" s="186" t="s">
        <v>1025</v>
      </c>
      <c r="B28" s="186"/>
      <c r="C28" s="186"/>
      <c r="D28" s="186"/>
      <c r="E28" s="186" t="s">
        <v>1026</v>
      </c>
      <c r="F28" s="186"/>
      <c r="G28" s="186"/>
      <c r="H28" s="186"/>
      <c r="J28" s="186"/>
      <c r="K28" s="186"/>
      <c r="L28" s="186"/>
      <c r="M28" s="186"/>
      <c r="N28" s="186">
        <v>600</v>
      </c>
      <c r="O28" s="186">
        <v>300</v>
      </c>
      <c r="P28" s="186">
        <v>200</v>
      </c>
      <c r="Q28" s="186">
        <v>200</v>
      </c>
      <c r="R28" s="186">
        <v>200</v>
      </c>
      <c r="S28" s="186">
        <v>200</v>
      </c>
      <c r="T28" s="186">
        <v>200</v>
      </c>
      <c r="U28" s="186">
        <v>200</v>
      </c>
      <c r="V28" s="186">
        <v>200</v>
      </c>
      <c r="W28" s="186">
        <v>200</v>
      </c>
      <c r="X28" s="186">
        <v>200</v>
      </c>
      <c r="Y28" s="186">
        <v>200</v>
      </c>
      <c r="Z28" s="186">
        <v>350</v>
      </c>
      <c r="AA28" s="186">
        <v>600</v>
      </c>
    </row>
    <row r="29" spans="1:27">
      <c r="A29" s="186"/>
      <c r="B29" s="186"/>
      <c r="C29" s="186"/>
      <c r="D29" s="186"/>
      <c r="E29" s="186" t="s">
        <v>985</v>
      </c>
      <c r="F29" s="186"/>
      <c r="G29" s="186"/>
      <c r="H29" s="186"/>
      <c r="J29" s="186"/>
      <c r="K29" s="186"/>
      <c r="L29" s="186"/>
      <c r="M29" s="186"/>
      <c r="N29" s="186">
        <v>2</v>
      </c>
      <c r="O29" s="186">
        <v>2</v>
      </c>
      <c r="P29" s="186">
        <v>2</v>
      </c>
      <c r="Q29" s="186">
        <v>1</v>
      </c>
      <c r="R29" s="186">
        <v>1</v>
      </c>
      <c r="S29" s="186">
        <v>1</v>
      </c>
      <c r="T29" s="186">
        <v>1</v>
      </c>
      <c r="U29" s="186">
        <v>1</v>
      </c>
      <c r="V29" s="186">
        <v>1</v>
      </c>
      <c r="W29" s="186">
        <v>1</v>
      </c>
      <c r="X29" s="186">
        <v>1</v>
      </c>
      <c r="Y29" s="186">
        <v>1</v>
      </c>
      <c r="Z29" s="186">
        <v>2</v>
      </c>
      <c r="AA29" s="186">
        <v>2</v>
      </c>
    </row>
    <row r="30" spans="1:27">
      <c r="A30" s="186"/>
      <c r="B30" s="186"/>
      <c r="C30" s="186"/>
      <c r="D30" s="186"/>
      <c r="E30" s="186"/>
      <c r="F30" s="186"/>
      <c r="G30" s="186"/>
      <c r="H30" s="186"/>
      <c r="J30" s="186"/>
      <c r="K30" s="186"/>
      <c r="L30" s="186"/>
      <c r="M30" s="186"/>
      <c r="N30" s="186"/>
      <c r="O30" s="186"/>
      <c r="P30" s="186"/>
      <c r="Q30" s="186"/>
      <c r="R30" s="186"/>
      <c r="S30" s="186"/>
      <c r="T30" s="186"/>
      <c r="U30" s="186"/>
      <c r="V30" s="186"/>
      <c r="W30" s="186"/>
      <c r="X30" s="186"/>
      <c r="Y30" s="186"/>
      <c r="Z30" s="186"/>
      <c r="AA30" s="186"/>
    </row>
    <row r="31" spans="1:27" ht="15.75">
      <c r="A31" s="189" t="s">
        <v>1027</v>
      </c>
      <c r="B31" s="186"/>
      <c r="C31" s="186"/>
      <c r="D31" s="186"/>
      <c r="E31" s="189" t="s">
        <v>1028</v>
      </c>
      <c r="F31" s="186"/>
      <c r="G31" s="186"/>
      <c r="H31" s="186"/>
      <c r="J31" s="186"/>
      <c r="K31" s="186"/>
      <c r="L31" s="186"/>
      <c r="M31" s="186"/>
      <c r="N31" s="186">
        <v>400</v>
      </c>
      <c r="O31" s="186">
        <v>300</v>
      </c>
      <c r="P31" s="186">
        <v>200</v>
      </c>
      <c r="Q31" s="186">
        <v>150</v>
      </c>
      <c r="R31" s="186">
        <v>100</v>
      </c>
      <c r="S31" s="186">
        <v>70</v>
      </c>
      <c r="T31" s="186">
        <v>50</v>
      </c>
      <c r="U31" s="186">
        <v>40</v>
      </c>
      <c r="V31" s="186">
        <v>40</v>
      </c>
      <c r="W31" s="186">
        <v>40</v>
      </c>
      <c r="X31" s="186">
        <v>40</v>
      </c>
      <c r="Y31" s="186">
        <v>40</v>
      </c>
      <c r="Z31" s="186">
        <v>40</v>
      </c>
      <c r="AA31" s="186">
        <v>70</v>
      </c>
    </row>
    <row r="32" spans="1:27">
      <c r="A32" s="186"/>
      <c r="B32" s="186"/>
      <c r="C32" s="186"/>
      <c r="D32" s="186"/>
      <c r="E32" s="186" t="s">
        <v>1029</v>
      </c>
      <c r="F32" s="186"/>
      <c r="G32" s="186"/>
      <c r="H32" s="186"/>
      <c r="J32" s="186"/>
      <c r="K32" s="186"/>
      <c r="L32" s="186"/>
      <c r="M32" s="186"/>
      <c r="N32" s="186">
        <v>700</v>
      </c>
      <c r="O32" s="186">
        <v>400</v>
      </c>
      <c r="P32" s="186">
        <v>200</v>
      </c>
      <c r="Q32" s="186">
        <v>100</v>
      </c>
      <c r="R32" s="186">
        <v>50</v>
      </c>
      <c r="S32" s="186">
        <v>50</v>
      </c>
      <c r="T32" s="186">
        <v>0</v>
      </c>
      <c r="U32" s="186">
        <v>0</v>
      </c>
      <c r="V32" s="186">
        <v>0</v>
      </c>
      <c r="W32" s="186">
        <v>0</v>
      </c>
      <c r="X32" s="186">
        <v>0</v>
      </c>
      <c r="Y32" s="186">
        <v>0</v>
      </c>
      <c r="Z32" s="186">
        <v>0</v>
      </c>
      <c r="AA32" s="186">
        <v>0</v>
      </c>
    </row>
    <row r="33" spans="1:27">
      <c r="A33" s="186"/>
      <c r="B33" s="186"/>
      <c r="C33" s="186"/>
      <c r="D33" s="186"/>
      <c r="E33" s="186"/>
      <c r="F33" s="186"/>
      <c r="G33" s="186"/>
      <c r="H33" s="186"/>
      <c r="J33" s="186"/>
      <c r="K33" s="186"/>
      <c r="L33" s="186"/>
      <c r="M33" s="186"/>
      <c r="N33" s="186"/>
      <c r="O33" s="186"/>
      <c r="P33" s="186"/>
      <c r="Q33" s="186"/>
      <c r="R33" s="186"/>
      <c r="S33" s="186"/>
      <c r="T33" s="186"/>
      <c r="U33" s="186"/>
      <c r="V33" s="186"/>
      <c r="W33" s="186"/>
      <c r="X33" s="186"/>
      <c r="Y33" s="186"/>
      <c r="Z33" s="186"/>
      <c r="AA33" s="186"/>
    </row>
    <row r="34" spans="1:27">
      <c r="A34" s="186" t="s">
        <v>1030</v>
      </c>
      <c r="B34" s="186"/>
      <c r="C34" s="186"/>
      <c r="D34" s="186"/>
      <c r="E34" s="186" t="s">
        <v>1031</v>
      </c>
      <c r="F34" s="186"/>
      <c r="G34" s="186"/>
      <c r="H34" s="186"/>
      <c r="J34" s="186"/>
      <c r="K34" s="186"/>
      <c r="L34" s="186"/>
      <c r="M34" s="186"/>
      <c r="N34" s="186">
        <v>10</v>
      </c>
      <c r="O34" s="186">
        <v>10</v>
      </c>
      <c r="P34" s="186">
        <v>10</v>
      </c>
      <c r="Q34" s="186">
        <v>10</v>
      </c>
      <c r="R34" s="186">
        <v>10</v>
      </c>
      <c r="S34" s="186">
        <v>10</v>
      </c>
      <c r="T34" s="186">
        <v>10</v>
      </c>
      <c r="U34" s="186">
        <v>10</v>
      </c>
      <c r="V34" s="186">
        <v>10</v>
      </c>
      <c r="W34" s="186">
        <v>10</v>
      </c>
      <c r="X34" s="186">
        <v>10</v>
      </c>
      <c r="Y34" s="186">
        <v>10</v>
      </c>
      <c r="Z34" s="186">
        <v>10</v>
      </c>
      <c r="AA34" s="186">
        <v>20</v>
      </c>
    </row>
    <row r="35" spans="1:27">
      <c r="A35" s="186"/>
      <c r="B35" s="186"/>
      <c r="C35" s="186"/>
      <c r="D35" s="186"/>
      <c r="E35" s="186" t="s">
        <v>1032</v>
      </c>
      <c r="F35" s="186"/>
      <c r="G35" s="186"/>
      <c r="H35" s="186"/>
      <c r="J35" s="186"/>
      <c r="K35" s="186"/>
      <c r="L35" s="186"/>
      <c r="M35" s="186"/>
      <c r="N35" s="186">
        <v>20</v>
      </c>
      <c r="O35" s="186">
        <v>20</v>
      </c>
      <c r="P35" s="186">
        <v>20</v>
      </c>
      <c r="Q35" s="186">
        <v>20</v>
      </c>
      <c r="R35" s="186">
        <v>20</v>
      </c>
      <c r="S35" s="186">
        <v>20</v>
      </c>
      <c r="T35" s="186">
        <v>20</v>
      </c>
      <c r="U35" s="186">
        <v>20</v>
      </c>
      <c r="V35" s="186">
        <v>20</v>
      </c>
      <c r="W35" s="186">
        <v>20</v>
      </c>
      <c r="X35" s="186">
        <v>15</v>
      </c>
      <c r="Y35" s="186">
        <v>15</v>
      </c>
      <c r="Z35" s="186">
        <v>15</v>
      </c>
      <c r="AA35" s="186">
        <v>20</v>
      </c>
    </row>
    <row r="36" spans="1:27">
      <c r="A36" s="186"/>
      <c r="B36" s="186"/>
      <c r="C36" s="186"/>
      <c r="D36" s="186"/>
      <c r="E36" s="186" t="s">
        <v>1033</v>
      </c>
      <c r="F36" s="186"/>
      <c r="G36" s="186"/>
      <c r="H36" s="186"/>
      <c r="J36" s="186"/>
      <c r="K36" s="186"/>
      <c r="L36" s="186"/>
      <c r="M36" s="186"/>
      <c r="N36" s="186">
        <v>100</v>
      </c>
      <c r="O36" s="186">
        <v>75</v>
      </c>
      <c r="P36" s="186">
        <v>50</v>
      </c>
      <c r="Q36" s="186">
        <v>10</v>
      </c>
      <c r="R36" s="186">
        <v>0</v>
      </c>
      <c r="S36" s="186">
        <v>0</v>
      </c>
      <c r="T36" s="186">
        <v>0</v>
      </c>
      <c r="U36" s="186">
        <v>0</v>
      </c>
      <c r="V36" s="186">
        <v>0</v>
      </c>
      <c r="W36" s="186">
        <v>0</v>
      </c>
      <c r="X36" s="186">
        <v>0</v>
      </c>
      <c r="Y36" s="186">
        <v>0</v>
      </c>
      <c r="Z36" s="186">
        <v>0</v>
      </c>
      <c r="AA36" s="186">
        <v>0</v>
      </c>
    </row>
    <row r="37" spans="1:27">
      <c r="A37" s="186"/>
      <c r="B37" s="186"/>
      <c r="C37" s="186"/>
      <c r="D37" s="186"/>
      <c r="E37" s="186"/>
      <c r="F37" s="186"/>
      <c r="G37" s="186"/>
      <c r="H37" s="186"/>
      <c r="J37" s="186"/>
      <c r="K37" s="186"/>
      <c r="L37" s="186"/>
      <c r="M37" s="186"/>
      <c r="N37" s="186"/>
      <c r="O37" s="186"/>
      <c r="P37" s="186"/>
      <c r="Q37" s="186"/>
      <c r="R37" s="186"/>
      <c r="S37" s="186"/>
      <c r="T37" s="186"/>
      <c r="U37" s="186"/>
      <c r="V37" s="186"/>
      <c r="W37" s="186"/>
      <c r="X37" s="186"/>
      <c r="Y37" s="186"/>
      <c r="Z37" s="186"/>
      <c r="AA37" s="186"/>
    </row>
    <row r="38" spans="1:27">
      <c r="A38" s="186" t="s">
        <v>1034</v>
      </c>
      <c r="B38" s="186"/>
      <c r="C38" s="186"/>
      <c r="D38" s="186"/>
      <c r="E38" s="186" t="s">
        <v>998</v>
      </c>
      <c r="F38" s="186"/>
      <c r="G38" s="186"/>
      <c r="H38" s="186"/>
      <c r="J38" s="186"/>
      <c r="K38" s="186"/>
      <c r="L38" s="186"/>
      <c r="M38" s="186"/>
      <c r="N38" s="186">
        <v>30</v>
      </c>
      <c r="O38" s="186">
        <v>30</v>
      </c>
      <c r="P38" s="186">
        <v>30</v>
      </c>
      <c r="Q38" s="186">
        <v>30</v>
      </c>
      <c r="R38" s="186">
        <v>30</v>
      </c>
      <c r="S38" s="186">
        <v>30</v>
      </c>
      <c r="T38" s="186">
        <v>30</v>
      </c>
      <c r="U38" s="186">
        <v>30</v>
      </c>
      <c r="V38" s="186">
        <v>30</v>
      </c>
      <c r="W38" s="186">
        <v>30</v>
      </c>
      <c r="X38" s="186">
        <v>30</v>
      </c>
      <c r="Y38" s="186">
        <v>30</v>
      </c>
      <c r="Z38" s="186">
        <v>100</v>
      </c>
      <c r="AA38" s="186">
        <v>150</v>
      </c>
    </row>
    <row r="39" spans="1:27">
      <c r="A39" s="186"/>
      <c r="B39" s="186"/>
      <c r="C39" s="186"/>
      <c r="D39" s="186"/>
      <c r="E39" s="186" t="s">
        <v>37</v>
      </c>
      <c r="F39" s="186"/>
      <c r="G39" s="186"/>
      <c r="H39" s="186"/>
      <c r="J39" s="186"/>
      <c r="K39" s="186"/>
      <c r="L39" s="186"/>
      <c r="M39" s="186"/>
      <c r="N39" s="186">
        <v>25</v>
      </c>
      <c r="O39" s="186">
        <v>25</v>
      </c>
      <c r="P39" s="186">
        <v>25</v>
      </c>
      <c r="Q39" s="186">
        <v>25</v>
      </c>
      <c r="R39" s="186">
        <v>25</v>
      </c>
      <c r="S39" s="186">
        <v>25</v>
      </c>
      <c r="T39" s="186">
        <v>25</v>
      </c>
      <c r="U39" s="186">
        <v>25</v>
      </c>
      <c r="V39" s="186">
        <v>25</v>
      </c>
      <c r="W39" s="186">
        <v>25</v>
      </c>
      <c r="X39" s="186">
        <v>25</v>
      </c>
      <c r="Y39" s="186">
        <v>25</v>
      </c>
      <c r="Z39" s="186">
        <v>50</v>
      </c>
      <c r="AA39" s="186">
        <v>100</v>
      </c>
    </row>
    <row r="40" spans="1:27">
      <c r="A40" s="186"/>
      <c r="B40" s="186"/>
      <c r="C40" s="186"/>
      <c r="D40" s="186"/>
      <c r="E40" s="186"/>
      <c r="F40" s="186"/>
      <c r="G40" s="186"/>
      <c r="H40" s="186"/>
      <c r="J40" s="186"/>
      <c r="K40" s="186"/>
      <c r="L40" s="186"/>
      <c r="M40" s="186"/>
      <c r="N40" s="186"/>
      <c r="O40" s="186"/>
      <c r="P40" s="186"/>
      <c r="Q40" s="186"/>
      <c r="R40" s="186"/>
      <c r="S40" s="186"/>
      <c r="T40" s="186"/>
      <c r="U40" s="186"/>
      <c r="V40" s="186"/>
      <c r="W40" s="186"/>
      <c r="X40" s="186"/>
      <c r="Y40" s="186"/>
      <c r="Z40" s="186"/>
      <c r="AA40" s="186"/>
    </row>
    <row r="41" spans="1:27">
      <c r="A41" s="186" t="s">
        <v>1035</v>
      </c>
      <c r="B41" s="186"/>
      <c r="C41" s="186"/>
      <c r="D41" s="186"/>
      <c r="E41" s="186" t="s">
        <v>998</v>
      </c>
      <c r="F41" s="186"/>
      <c r="G41" s="186"/>
      <c r="H41" s="186"/>
      <c r="J41" s="186"/>
      <c r="K41" s="186"/>
      <c r="L41" s="186"/>
      <c r="M41" s="186"/>
      <c r="N41" s="186">
        <v>10</v>
      </c>
      <c r="O41" s="186">
        <v>10</v>
      </c>
      <c r="P41" s="186">
        <v>10</v>
      </c>
      <c r="Q41" s="186">
        <v>10</v>
      </c>
      <c r="R41" s="186">
        <v>10</v>
      </c>
      <c r="S41" s="186">
        <v>10</v>
      </c>
      <c r="T41" s="186">
        <v>10</v>
      </c>
      <c r="U41" s="186">
        <v>10</v>
      </c>
      <c r="V41" s="186">
        <v>10</v>
      </c>
      <c r="W41" s="186">
        <v>10</v>
      </c>
      <c r="X41" s="186">
        <v>10</v>
      </c>
      <c r="Y41" s="186">
        <v>10</v>
      </c>
      <c r="Z41" s="186">
        <v>30</v>
      </c>
      <c r="AA41" s="186">
        <v>150</v>
      </c>
    </row>
    <row r="42" spans="1:27">
      <c r="A42" s="186"/>
      <c r="B42" s="186"/>
      <c r="C42" s="186"/>
      <c r="D42" s="186"/>
      <c r="E42" s="186" t="s">
        <v>37</v>
      </c>
      <c r="F42" s="186"/>
      <c r="G42" s="186"/>
      <c r="H42" s="186"/>
      <c r="J42" s="186"/>
      <c r="K42" s="186"/>
      <c r="L42" s="186"/>
      <c r="M42" s="186"/>
      <c r="N42" s="186">
        <v>5</v>
      </c>
      <c r="O42" s="186">
        <v>5</v>
      </c>
      <c r="P42" s="186">
        <v>5</v>
      </c>
      <c r="Q42" s="186">
        <v>5</v>
      </c>
      <c r="R42" s="186">
        <v>5</v>
      </c>
      <c r="S42" s="186">
        <v>5</v>
      </c>
      <c r="T42" s="186">
        <v>5</v>
      </c>
      <c r="U42" s="186">
        <v>5</v>
      </c>
      <c r="V42" s="186">
        <v>5</v>
      </c>
      <c r="W42" s="186">
        <v>5</v>
      </c>
      <c r="X42" s="186">
        <v>5</v>
      </c>
      <c r="Y42" s="186">
        <v>5</v>
      </c>
      <c r="Z42" s="186">
        <v>25</v>
      </c>
      <c r="AA42" s="186">
        <v>30</v>
      </c>
    </row>
    <row r="43" spans="1:27">
      <c r="A43" s="186"/>
      <c r="B43" s="186"/>
      <c r="C43" s="186"/>
      <c r="D43" s="186"/>
      <c r="E43" s="186" t="s">
        <v>1036</v>
      </c>
      <c r="F43" s="186"/>
      <c r="G43" s="186"/>
      <c r="H43" s="186"/>
      <c r="J43" s="186"/>
      <c r="K43" s="186"/>
      <c r="L43" s="186"/>
      <c r="M43" s="186"/>
      <c r="N43" s="186">
        <v>2</v>
      </c>
      <c r="O43" s="186">
        <v>2</v>
      </c>
      <c r="P43" s="186">
        <v>2</v>
      </c>
      <c r="Q43" s="186">
        <v>2</v>
      </c>
      <c r="R43" s="186">
        <v>5</v>
      </c>
      <c r="S43" s="186">
        <v>5</v>
      </c>
      <c r="T43" s="186">
        <v>5</v>
      </c>
      <c r="U43" s="186">
        <v>5</v>
      </c>
      <c r="V43" s="186">
        <v>5</v>
      </c>
      <c r="W43" s="186">
        <v>5</v>
      </c>
      <c r="X43" s="186">
        <v>5</v>
      </c>
      <c r="Y43" s="186">
        <v>5</v>
      </c>
      <c r="Z43" s="186">
        <v>10</v>
      </c>
      <c r="AA43" s="186">
        <v>15</v>
      </c>
    </row>
    <row r="44" spans="1:27">
      <c r="A44" s="186"/>
      <c r="B44" s="186"/>
      <c r="C44" s="186"/>
      <c r="D44" s="186"/>
      <c r="E44" s="186"/>
      <c r="F44" s="186"/>
      <c r="G44" s="186"/>
      <c r="H44" s="186"/>
      <c r="J44" s="186"/>
      <c r="K44" s="186"/>
      <c r="L44" s="186"/>
      <c r="M44" s="186"/>
      <c r="N44" s="186"/>
      <c r="O44" s="186"/>
      <c r="P44" s="186"/>
      <c r="Q44" s="186"/>
      <c r="R44" s="186"/>
      <c r="S44" s="186"/>
      <c r="T44" s="186"/>
      <c r="U44" s="186"/>
      <c r="V44" s="186"/>
      <c r="W44" s="186"/>
      <c r="X44" s="186"/>
      <c r="Y44" s="186"/>
      <c r="Z44" s="186"/>
      <c r="AA44" s="186"/>
    </row>
    <row r="45" spans="1:27">
      <c r="A45" s="186" t="s">
        <v>1037</v>
      </c>
      <c r="B45" s="186"/>
      <c r="C45" s="186"/>
      <c r="D45" s="186"/>
      <c r="E45" s="186"/>
      <c r="F45" s="186"/>
      <c r="G45" s="186"/>
      <c r="H45" s="186"/>
      <c r="J45" s="186"/>
      <c r="K45" s="186"/>
      <c r="L45" s="186"/>
      <c r="M45" s="186"/>
      <c r="N45" s="186">
        <v>200</v>
      </c>
      <c r="O45" s="186">
        <v>200</v>
      </c>
      <c r="P45" s="186">
        <v>200</v>
      </c>
      <c r="Q45" s="186">
        <v>100</v>
      </c>
      <c r="R45" s="186">
        <v>100</v>
      </c>
      <c r="S45" s="186">
        <v>100</v>
      </c>
      <c r="T45" s="186">
        <v>100</v>
      </c>
      <c r="U45" s="186">
        <v>100</v>
      </c>
      <c r="V45" s="186">
        <v>100</v>
      </c>
      <c r="W45" s="186">
        <v>50</v>
      </c>
      <c r="X45" s="186">
        <v>50</v>
      </c>
      <c r="Y45" s="186">
        <v>50</v>
      </c>
      <c r="Z45" s="186">
        <v>50</v>
      </c>
      <c r="AA45" s="186">
        <v>50</v>
      </c>
    </row>
    <row r="46" spans="1:27">
      <c r="A46" s="186"/>
      <c r="B46" s="186"/>
      <c r="C46" s="186"/>
      <c r="D46" s="186"/>
      <c r="E46" s="186"/>
      <c r="F46" s="186"/>
      <c r="G46" s="186"/>
      <c r="H46" s="186"/>
      <c r="J46" s="186"/>
      <c r="K46" s="186"/>
      <c r="L46" s="186"/>
      <c r="M46" s="186"/>
      <c r="N46" s="186"/>
      <c r="O46" s="186"/>
      <c r="P46" s="186"/>
      <c r="Q46" s="186"/>
      <c r="R46" s="186"/>
      <c r="S46" s="186"/>
      <c r="T46" s="186"/>
      <c r="U46" s="186"/>
      <c r="V46" s="186"/>
      <c r="W46" s="186"/>
      <c r="X46" s="186"/>
      <c r="Y46" s="186"/>
      <c r="Z46" s="186"/>
      <c r="AA46" s="186"/>
    </row>
    <row r="47" spans="1:27">
      <c r="A47" s="186"/>
      <c r="B47" s="186"/>
      <c r="C47" s="186"/>
      <c r="D47" s="186"/>
      <c r="E47" s="186"/>
      <c r="F47" s="186"/>
      <c r="G47" s="186"/>
      <c r="H47" s="186"/>
      <c r="J47" s="186"/>
      <c r="K47" s="186"/>
      <c r="L47" s="186"/>
      <c r="M47" s="186"/>
      <c r="N47" s="186"/>
      <c r="O47" s="186"/>
      <c r="P47" s="186"/>
      <c r="Q47" s="186"/>
      <c r="R47" s="186"/>
      <c r="S47" s="186"/>
      <c r="T47" s="186"/>
      <c r="U47" s="186"/>
      <c r="V47" s="186"/>
      <c r="W47" s="186"/>
      <c r="X47" s="186"/>
      <c r="Y47" s="186"/>
      <c r="Z47" s="186"/>
      <c r="AA47" s="186"/>
    </row>
    <row r="48" spans="1:27">
      <c r="A48" s="186"/>
      <c r="B48" s="186"/>
      <c r="C48" s="186"/>
      <c r="D48" s="186"/>
      <c r="E48" s="186"/>
      <c r="F48" s="186"/>
      <c r="G48" s="186"/>
      <c r="H48" s="186"/>
      <c r="J48" s="186"/>
      <c r="K48" s="186"/>
      <c r="L48" s="186"/>
      <c r="M48" s="186"/>
      <c r="N48" s="186"/>
      <c r="O48" s="186"/>
      <c r="P48" s="186"/>
      <c r="Q48" s="186"/>
      <c r="R48" s="186"/>
      <c r="S48" s="186"/>
      <c r="T48" s="186"/>
      <c r="U48" s="186"/>
      <c r="V48" s="186"/>
      <c r="W48" s="186"/>
      <c r="X48" s="186"/>
      <c r="Y48" s="186"/>
      <c r="Z48" s="186"/>
      <c r="AA48" s="186"/>
    </row>
    <row r="49" spans="1:27">
      <c r="A49" s="186" t="s">
        <v>1005</v>
      </c>
      <c r="B49" s="186"/>
      <c r="C49" s="186"/>
      <c r="D49" s="186"/>
      <c r="E49" s="186"/>
      <c r="F49" s="186"/>
      <c r="G49" s="186"/>
      <c r="H49" s="186"/>
      <c r="J49" s="186"/>
      <c r="K49" s="186"/>
      <c r="L49" s="186"/>
      <c r="M49" s="186"/>
      <c r="N49" s="186">
        <v>50</v>
      </c>
      <c r="O49" s="186">
        <v>50</v>
      </c>
      <c r="P49" s="186">
        <v>50</v>
      </c>
      <c r="Q49" s="186">
        <v>50</v>
      </c>
      <c r="R49" s="186">
        <v>50</v>
      </c>
      <c r="S49" s="186">
        <v>50</v>
      </c>
      <c r="T49" s="186">
        <v>50</v>
      </c>
      <c r="U49" s="186">
        <v>50</v>
      </c>
      <c r="V49" s="186">
        <v>50</v>
      </c>
      <c r="W49" s="186">
        <v>50</v>
      </c>
      <c r="X49" s="186">
        <v>50</v>
      </c>
      <c r="Y49" s="186">
        <v>50</v>
      </c>
      <c r="Z49" s="186">
        <v>50</v>
      </c>
      <c r="AA49" s="186">
        <v>50</v>
      </c>
    </row>
    <row r="50" spans="1:27">
      <c r="A50" s="186"/>
      <c r="B50" s="186"/>
      <c r="C50" s="186"/>
      <c r="D50" s="186"/>
      <c r="E50" s="186"/>
      <c r="F50" s="186"/>
      <c r="G50" s="186"/>
      <c r="H50" s="186"/>
      <c r="J50" s="186"/>
      <c r="K50" s="186"/>
      <c r="L50" s="186"/>
      <c r="M50" s="186"/>
      <c r="N50" s="186"/>
      <c r="O50" s="186"/>
      <c r="P50" s="186"/>
      <c r="Q50" s="186"/>
      <c r="R50" s="186"/>
      <c r="S50" s="186"/>
      <c r="T50" s="186"/>
      <c r="U50" s="186"/>
      <c r="V50" s="186"/>
      <c r="W50" s="186"/>
      <c r="X50" s="186"/>
      <c r="Y50" s="186"/>
      <c r="Z50" s="186"/>
      <c r="AA50" s="186"/>
    </row>
    <row r="51" spans="1:27">
      <c r="A51" s="186"/>
      <c r="B51" s="186"/>
      <c r="C51" s="186"/>
      <c r="D51" s="186"/>
      <c r="E51" s="186"/>
      <c r="F51" s="186"/>
      <c r="G51" s="186"/>
      <c r="H51" s="186"/>
      <c r="J51" s="186"/>
      <c r="K51" s="186"/>
      <c r="L51" s="186"/>
      <c r="M51" s="186"/>
      <c r="N51" s="186"/>
      <c r="O51" s="186"/>
      <c r="P51" s="186"/>
      <c r="Q51" s="186"/>
      <c r="R51" s="186"/>
      <c r="S51" s="186"/>
      <c r="T51" s="186"/>
      <c r="U51" s="186"/>
      <c r="V51" s="186"/>
      <c r="W51" s="186"/>
      <c r="X51" s="186"/>
      <c r="Y51" s="186"/>
      <c r="Z51" s="186"/>
      <c r="AA51" s="186"/>
    </row>
    <row r="52" spans="1:27" ht="15.75" thickBot="1">
      <c r="A52" s="186"/>
      <c r="B52" s="186"/>
      <c r="C52" s="186"/>
      <c r="D52" s="186"/>
      <c r="E52" s="186"/>
      <c r="F52" s="186"/>
      <c r="G52" s="186"/>
      <c r="H52" s="186"/>
      <c r="J52" s="186"/>
      <c r="K52" s="186"/>
      <c r="L52" s="186"/>
      <c r="M52" s="186"/>
      <c r="N52" s="186"/>
      <c r="O52" s="186"/>
      <c r="P52" s="186"/>
      <c r="Q52" s="186"/>
      <c r="R52" s="186"/>
      <c r="S52" s="186"/>
      <c r="T52" s="186"/>
      <c r="U52" s="186"/>
      <c r="V52" s="186"/>
      <c r="W52" s="186"/>
      <c r="X52" s="186"/>
      <c r="Y52" s="186"/>
      <c r="Z52" s="186"/>
      <c r="AA52" s="186"/>
    </row>
    <row r="53" spans="1:27" ht="16.5" thickBot="1">
      <c r="A53" s="187" t="s">
        <v>1038</v>
      </c>
      <c r="B53" s="187"/>
      <c r="C53" s="187"/>
      <c r="D53" s="187"/>
      <c r="E53" s="187"/>
      <c r="F53" s="187"/>
      <c r="G53" s="187"/>
      <c r="H53" s="187"/>
      <c r="J53" s="190"/>
      <c r="K53" s="190"/>
      <c r="L53" s="190"/>
      <c r="M53" s="190"/>
      <c r="N53" s="190">
        <f t="shared" ref="N53:AA53" si="1">SQRT(SUMSQ(N24:N49)/3)</f>
        <v>598.76038613121364</v>
      </c>
      <c r="O53" s="190">
        <f t="shared" si="1"/>
        <v>362.24623301469035</v>
      </c>
      <c r="P53" s="190">
        <f t="shared" si="1"/>
        <v>243.61308120323369</v>
      </c>
      <c r="Q53" s="190">
        <f t="shared" si="1"/>
        <v>171.50218657498218</v>
      </c>
      <c r="R53" s="190">
        <f t="shared" si="1"/>
        <v>150.73154945133419</v>
      </c>
      <c r="S53" s="190">
        <f t="shared" si="1"/>
        <v>144.98275759551547</v>
      </c>
      <c r="T53" s="190">
        <f t="shared" si="1"/>
        <v>139.23601066773878</v>
      </c>
      <c r="U53" s="190">
        <f t="shared" si="1"/>
        <v>138.15450288234064</v>
      </c>
      <c r="V53" s="190">
        <f t="shared" si="1"/>
        <v>138.15450288234064</v>
      </c>
      <c r="W53" s="190">
        <f t="shared" si="1"/>
        <v>128.78923350446135</v>
      </c>
      <c r="X53" s="190">
        <f t="shared" si="1"/>
        <v>128.56256583210111</v>
      </c>
      <c r="Y53" s="190">
        <f t="shared" si="1"/>
        <v>128.56256583210111</v>
      </c>
      <c r="Z53" s="190">
        <f t="shared" si="1"/>
        <v>219.49791191110074</v>
      </c>
      <c r="AA53" s="190">
        <f t="shared" si="1"/>
        <v>377.6298893537604</v>
      </c>
    </row>
    <row r="54" spans="1:27" ht="15.75">
      <c r="A54" s="181"/>
      <c r="B54" s="181"/>
      <c r="C54" s="181"/>
      <c r="D54" s="181"/>
      <c r="E54" s="181"/>
      <c r="F54" s="181"/>
      <c r="G54" s="181"/>
      <c r="H54" s="181"/>
      <c r="J54" s="185"/>
      <c r="K54" s="185"/>
      <c r="L54" s="185"/>
      <c r="M54" s="185"/>
      <c r="N54" s="185"/>
      <c r="O54" s="185"/>
      <c r="P54" s="185"/>
      <c r="Q54" s="185"/>
      <c r="R54" s="185"/>
      <c r="S54" s="185"/>
      <c r="T54" s="185"/>
      <c r="U54" s="185"/>
      <c r="V54" s="185"/>
      <c r="W54" s="185"/>
      <c r="X54" s="185"/>
      <c r="Y54" s="185"/>
      <c r="Z54" s="185"/>
      <c r="AA54" s="185"/>
    </row>
    <row r="55" spans="1:27" ht="15.75">
      <c r="A55" s="181"/>
      <c r="B55" s="181"/>
      <c r="C55" s="181"/>
      <c r="D55" s="181"/>
      <c r="E55" s="181"/>
      <c r="F55" s="181"/>
      <c r="G55" s="181"/>
      <c r="H55" s="181"/>
      <c r="J55" s="185"/>
      <c r="K55" s="185"/>
      <c r="L55" s="185"/>
      <c r="M55" s="185"/>
      <c r="N55" s="185"/>
      <c r="O55" s="185"/>
      <c r="P55" s="185"/>
      <c r="Q55" s="185"/>
      <c r="R55" s="185"/>
      <c r="S55" s="185"/>
      <c r="T55" s="185"/>
      <c r="U55" s="185"/>
      <c r="V55" s="185"/>
      <c r="W55" s="185"/>
      <c r="X55" s="185"/>
      <c r="Y55" s="185"/>
      <c r="Z55" s="185"/>
      <c r="AA55" s="185"/>
    </row>
    <row r="56" spans="1:27" ht="15.75">
      <c r="A56" s="181"/>
      <c r="B56" s="181"/>
      <c r="C56" s="181"/>
      <c r="D56" s="181"/>
      <c r="E56" s="181"/>
      <c r="F56" s="181"/>
      <c r="G56" s="181"/>
      <c r="H56" s="181"/>
      <c r="J56" s="185"/>
      <c r="K56" s="185"/>
      <c r="L56" s="185"/>
      <c r="M56" s="185"/>
      <c r="N56" s="185"/>
      <c r="O56" s="185"/>
      <c r="P56" s="185"/>
      <c r="Q56" s="185"/>
      <c r="R56" s="185"/>
      <c r="S56" s="185"/>
      <c r="T56" s="185"/>
      <c r="U56" s="185"/>
      <c r="V56" s="185"/>
      <c r="W56" s="185"/>
      <c r="X56" s="185"/>
      <c r="Y56" s="185"/>
      <c r="Z56" s="185"/>
      <c r="AA56" s="185"/>
    </row>
    <row r="57" spans="1:27" ht="15.75">
      <c r="A57" s="181"/>
      <c r="B57" s="181"/>
      <c r="C57" s="181"/>
      <c r="D57" s="181"/>
      <c r="E57" s="181"/>
      <c r="F57" s="181"/>
      <c r="G57" s="181"/>
      <c r="H57" s="181"/>
      <c r="J57" s="185"/>
      <c r="K57" s="185"/>
      <c r="L57" s="185"/>
      <c r="M57" s="185"/>
      <c r="N57" s="185"/>
      <c r="O57" s="185"/>
      <c r="P57" s="185"/>
      <c r="Q57" s="185"/>
      <c r="R57" s="185"/>
      <c r="S57" s="185"/>
      <c r="T57" s="185"/>
      <c r="U57" s="185"/>
      <c r="V57" s="185"/>
      <c r="W57" s="185"/>
      <c r="X57" s="185"/>
      <c r="Y57" s="185"/>
      <c r="Z57" s="185"/>
      <c r="AA57" s="185"/>
    </row>
    <row r="58" spans="1:27" ht="18.75">
      <c r="A58" s="181" t="s">
        <v>1039</v>
      </c>
      <c r="B58" s="181"/>
      <c r="C58" s="181"/>
      <c r="D58" s="181"/>
      <c r="E58" s="181"/>
      <c r="F58" s="181"/>
      <c r="G58" s="181"/>
      <c r="H58" s="181"/>
      <c r="J58" s="185"/>
      <c r="K58" s="185"/>
      <c r="L58" s="185"/>
      <c r="M58" s="185"/>
      <c r="N58" s="185"/>
      <c r="O58" s="185"/>
      <c r="P58" s="185"/>
      <c r="Q58" s="185"/>
      <c r="R58" s="185"/>
      <c r="S58" s="185"/>
      <c r="T58" s="185"/>
      <c r="U58" s="185"/>
      <c r="V58" s="185"/>
      <c r="W58" s="185"/>
      <c r="X58" s="185"/>
      <c r="Y58" s="185"/>
      <c r="Z58" s="185"/>
      <c r="AA58" s="185"/>
    </row>
    <row r="59" spans="1:27" ht="15.75">
      <c r="A59" s="181"/>
      <c r="B59" s="181"/>
      <c r="C59" s="181"/>
      <c r="D59" s="181"/>
      <c r="E59" s="181"/>
      <c r="F59" s="181"/>
      <c r="G59" s="181"/>
      <c r="H59" s="181"/>
      <c r="J59" s="185"/>
      <c r="K59" s="185"/>
      <c r="L59" s="185"/>
      <c r="M59" s="185"/>
      <c r="N59" s="185"/>
      <c r="O59" s="185"/>
      <c r="P59" s="185"/>
      <c r="Q59" s="185"/>
      <c r="R59" s="185"/>
      <c r="S59" s="185"/>
      <c r="T59" s="185"/>
      <c r="U59" s="185"/>
      <c r="V59" s="185"/>
      <c r="W59" s="185"/>
      <c r="X59" s="185"/>
      <c r="Y59" s="185"/>
      <c r="Z59" s="185"/>
      <c r="AA59" s="185"/>
    </row>
    <row r="60" spans="1:27">
      <c r="A60" s="186"/>
      <c r="B60" s="186"/>
      <c r="C60" s="186" t="s">
        <v>1040</v>
      </c>
      <c r="D60" s="186"/>
      <c r="E60" s="186"/>
      <c r="F60" s="186"/>
      <c r="G60" s="186"/>
      <c r="H60" s="186"/>
      <c r="J60" s="191"/>
      <c r="K60" s="191"/>
      <c r="L60" s="191"/>
      <c r="M60" s="191"/>
      <c r="N60" s="191">
        <f>2*N14</f>
        <v>2000</v>
      </c>
      <c r="O60" s="191">
        <f>2*O14</f>
        <v>1000</v>
      </c>
      <c r="P60" s="191">
        <f>2*P14</f>
        <v>600</v>
      </c>
      <c r="Q60" s="191">
        <f>2*Q14</f>
        <v>300</v>
      </c>
      <c r="R60" s="191">
        <f>2*R14</f>
        <v>200</v>
      </c>
      <c r="S60" s="191">
        <f t="shared" ref="S60:AA60" si="2">2*S14</f>
        <v>200</v>
      </c>
      <c r="T60" s="191">
        <f t="shared" si="2"/>
        <v>200</v>
      </c>
      <c r="U60" s="191">
        <f t="shared" si="2"/>
        <v>200</v>
      </c>
      <c r="V60" s="191">
        <f t="shared" si="2"/>
        <v>200</v>
      </c>
      <c r="W60" s="191">
        <f t="shared" si="2"/>
        <v>200</v>
      </c>
      <c r="X60" s="191">
        <f t="shared" si="2"/>
        <v>200</v>
      </c>
      <c r="Y60" s="191">
        <f t="shared" si="2"/>
        <v>200</v>
      </c>
      <c r="Z60" s="191">
        <f t="shared" si="2"/>
        <v>300</v>
      </c>
      <c r="AA60" s="191">
        <f t="shared" si="2"/>
        <v>360</v>
      </c>
    </row>
    <row r="61" spans="1:27">
      <c r="A61" s="186"/>
      <c r="B61" s="186"/>
      <c r="C61" s="186" t="s">
        <v>1041</v>
      </c>
      <c r="D61" s="186"/>
      <c r="E61" s="186"/>
      <c r="F61" s="186"/>
      <c r="G61" s="186"/>
      <c r="H61" s="186"/>
      <c r="J61" s="191"/>
      <c r="K61" s="191"/>
      <c r="L61" s="191"/>
      <c r="M61" s="191"/>
      <c r="N61" s="191">
        <f>2*N53</f>
        <v>1197.5207722624273</v>
      </c>
      <c r="O61" s="191">
        <f>2*O53</f>
        <v>724.49246602938069</v>
      </c>
      <c r="P61" s="191">
        <f>2*P53</f>
        <v>487.22616240646738</v>
      </c>
      <c r="Q61" s="191">
        <f>2*Q53</f>
        <v>343.00437314996435</v>
      </c>
      <c r="R61" s="191">
        <f>2*R53</f>
        <v>301.46309890266838</v>
      </c>
      <c r="S61" s="191">
        <f t="shared" ref="S61:AA61" si="3">2*S53</f>
        <v>289.96551519103093</v>
      </c>
      <c r="T61" s="191">
        <f t="shared" si="3"/>
        <v>278.47202133547756</v>
      </c>
      <c r="U61" s="191">
        <f t="shared" si="3"/>
        <v>276.30900576468127</v>
      </c>
      <c r="V61" s="191">
        <f t="shared" si="3"/>
        <v>276.30900576468127</v>
      </c>
      <c r="W61" s="191">
        <f t="shared" si="3"/>
        <v>257.5784670089227</v>
      </c>
      <c r="X61" s="191">
        <f t="shared" si="3"/>
        <v>257.12513166420223</v>
      </c>
      <c r="Y61" s="191">
        <f t="shared" si="3"/>
        <v>257.12513166420223</v>
      </c>
      <c r="Z61" s="191">
        <f t="shared" si="3"/>
        <v>438.99582382220149</v>
      </c>
      <c r="AA61" s="191">
        <f t="shared" si="3"/>
        <v>755.25977870752081</v>
      </c>
    </row>
    <row r="62" spans="1:27" ht="15.75" thickBot="1">
      <c r="A62" s="186"/>
      <c r="B62" s="186"/>
      <c r="C62" s="186"/>
      <c r="D62" s="186"/>
      <c r="E62" s="186"/>
      <c r="F62" s="186"/>
      <c r="G62" s="186"/>
      <c r="H62" s="186"/>
      <c r="J62" s="191"/>
      <c r="K62" s="191"/>
      <c r="L62" s="191"/>
      <c r="M62" s="191"/>
      <c r="N62" s="191"/>
      <c r="O62" s="191"/>
      <c r="P62" s="191"/>
      <c r="Q62" s="191"/>
      <c r="R62" s="191"/>
      <c r="S62" s="191"/>
      <c r="T62" s="191"/>
      <c r="U62" s="191"/>
      <c r="V62" s="191"/>
      <c r="W62" s="191"/>
      <c r="X62" s="191"/>
      <c r="Y62" s="191"/>
      <c r="Z62" s="191"/>
      <c r="AA62" s="191"/>
    </row>
    <row r="63" spans="1:27" ht="16.5" thickBot="1">
      <c r="A63" s="187"/>
      <c r="B63" s="187"/>
      <c r="C63" s="187" t="s">
        <v>1042</v>
      </c>
      <c r="D63" s="187"/>
      <c r="E63" s="187"/>
      <c r="F63" s="187"/>
      <c r="G63" s="187"/>
      <c r="H63" s="187"/>
      <c r="J63" s="190"/>
      <c r="K63" s="190"/>
      <c r="L63" s="190"/>
      <c r="M63" s="190"/>
      <c r="N63" s="190">
        <f>SQRT(SUMSQ(N60:N61))</f>
        <v>2331.1061751880802</v>
      </c>
      <c r="O63" s="190">
        <f>SQRT(SUMSQ(O60:O61))</f>
        <v>1234.864095086311</v>
      </c>
      <c r="P63" s="190">
        <f>SQRT(SUMSQ(P60:P61))</f>
        <v>772.90965405623786</v>
      </c>
      <c r="Q63" s="190">
        <f>SQRT(SUMSQ(Q60:Q61))</f>
        <v>455.68849008944699</v>
      </c>
      <c r="R63" s="190">
        <f>SQRT(SUMSQ(R60:R61))</f>
        <v>361.77340974704043</v>
      </c>
      <c r="S63" s="190">
        <f t="shared" ref="S63:AA63" si="4">SQRT(SUMSQ(S60:S61))</f>
        <v>352.24991128458782</v>
      </c>
      <c r="T63" s="190">
        <f t="shared" si="4"/>
        <v>342.85079359200364</v>
      </c>
      <c r="U63" s="190">
        <f t="shared" si="4"/>
        <v>341.09627184515909</v>
      </c>
      <c r="V63" s="190">
        <f t="shared" si="4"/>
        <v>341.09627184515909</v>
      </c>
      <c r="W63" s="190">
        <f t="shared" si="4"/>
        <v>326.10836644690164</v>
      </c>
      <c r="X63" s="190">
        <f t="shared" si="4"/>
        <v>325.7504157070768</v>
      </c>
      <c r="Y63" s="190">
        <f t="shared" si="4"/>
        <v>325.7504157070768</v>
      </c>
      <c r="Z63" s="190">
        <f t="shared" si="4"/>
        <v>531.71170133196563</v>
      </c>
      <c r="AA63" s="190">
        <f t="shared" si="4"/>
        <v>836.67038511789895</v>
      </c>
    </row>
    <row r="64" spans="1:27" ht="15.75">
      <c r="A64" s="181"/>
      <c r="B64" s="181"/>
      <c r="C64" s="181" t="s">
        <v>1043</v>
      </c>
      <c r="D64" s="181"/>
      <c r="E64" s="181"/>
      <c r="F64" s="181"/>
      <c r="G64" s="181"/>
      <c r="H64" s="181"/>
      <c r="J64" s="192"/>
      <c r="K64" s="192"/>
      <c r="L64" s="192"/>
      <c r="M64" s="192"/>
      <c r="N64" s="192">
        <f>N63/10000</f>
        <v>0.23311061751880802</v>
      </c>
      <c r="O64" s="192">
        <f>O63/10000</f>
        <v>0.1234864095086311</v>
      </c>
      <c r="P64" s="192">
        <f>P63/10000</f>
        <v>7.7290965405623788E-2</v>
      </c>
      <c r="Q64" s="192">
        <f>Q63/10000</f>
        <v>4.5568849008944701E-2</v>
      </c>
      <c r="R64" s="192">
        <f>R63/10000</f>
        <v>3.6177340974704042E-2</v>
      </c>
      <c r="S64" s="192">
        <f t="shared" ref="S64:AA64" si="5">S63/10000</f>
        <v>3.5224991128458782E-2</v>
      </c>
      <c r="T64" s="192">
        <f t="shared" si="5"/>
        <v>3.4285079359200367E-2</v>
      </c>
      <c r="U64" s="192">
        <f t="shared" si="5"/>
        <v>3.4109627184515906E-2</v>
      </c>
      <c r="V64" s="192">
        <f t="shared" si="5"/>
        <v>3.4109627184515906E-2</v>
      </c>
      <c r="W64" s="192">
        <f t="shared" si="5"/>
        <v>3.2610836644690167E-2</v>
      </c>
      <c r="X64" s="192">
        <f t="shared" si="5"/>
        <v>3.2575041570707682E-2</v>
      </c>
      <c r="Y64" s="192">
        <f t="shared" si="5"/>
        <v>3.2575041570707682E-2</v>
      </c>
      <c r="Z64" s="192">
        <f t="shared" si="5"/>
        <v>5.3171170133196562E-2</v>
      </c>
      <c r="AA64" s="192">
        <f t="shared" si="5"/>
        <v>8.3667038511789901E-2</v>
      </c>
    </row>
    <row r="65" spans="1:27" ht="16.5" thickBot="1">
      <c r="A65" s="183"/>
      <c r="B65" s="183"/>
      <c r="C65" s="183" t="s">
        <v>1044</v>
      </c>
      <c r="D65" s="183"/>
      <c r="E65" s="183"/>
      <c r="F65" s="183"/>
      <c r="G65" s="183"/>
      <c r="H65" s="183"/>
      <c r="J65" s="193"/>
      <c r="K65" s="193"/>
      <c r="L65" s="193"/>
      <c r="M65" s="193"/>
      <c r="N65" s="194">
        <v>2</v>
      </c>
      <c r="O65" s="194">
        <v>4</v>
      </c>
      <c r="P65" s="194">
        <v>8</v>
      </c>
      <c r="Q65" s="194">
        <v>16</v>
      </c>
      <c r="R65" s="193">
        <v>31.5</v>
      </c>
      <c r="S65" s="193">
        <v>63</v>
      </c>
      <c r="T65" s="193">
        <v>125</v>
      </c>
      <c r="U65" s="193">
        <v>250</v>
      </c>
      <c r="V65" s="193">
        <v>500</v>
      </c>
      <c r="W65" s="193" t="s">
        <v>5</v>
      </c>
      <c r="X65" s="193" t="s">
        <v>6</v>
      </c>
      <c r="Y65" s="193" t="s">
        <v>9</v>
      </c>
      <c r="Z65" s="193" t="s">
        <v>12</v>
      </c>
      <c r="AA65" s="193" t="s">
        <v>13</v>
      </c>
    </row>
    <row r="67" spans="1:27" ht="15.75">
      <c r="C67" s="181"/>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2"/>
  <sheetViews>
    <sheetView workbookViewId="0">
      <selection activeCell="B4" sqref="B4"/>
    </sheetView>
  </sheetViews>
  <sheetFormatPr defaultColWidth="14" defaultRowHeight="15"/>
  <cols>
    <col min="1" max="8" width="14" style="175" customWidth="1"/>
    <col min="10" max="12" width="4.85546875" style="175" customWidth="1"/>
    <col min="13" max="13" width="4.42578125" style="175" customWidth="1"/>
    <col min="14" max="14" width="8.28515625" style="175" customWidth="1"/>
    <col min="15" max="15" width="8.85546875" style="175" customWidth="1"/>
    <col min="16" max="16" width="7.85546875" style="175" customWidth="1"/>
    <col min="17" max="17" width="8.140625" style="175" customWidth="1"/>
    <col min="18" max="26" width="6.5703125" style="175" bestFit="1" customWidth="1"/>
    <col min="27" max="27" width="6.42578125" style="175" customWidth="1"/>
    <col min="28" max="256" width="14" style="175"/>
    <col min="257" max="264" width="14" style="175" customWidth="1"/>
    <col min="265" max="265" width="14" style="175"/>
    <col min="266" max="268" width="4.85546875" style="175" customWidth="1"/>
    <col min="269" max="269" width="4.42578125" style="175" customWidth="1"/>
    <col min="270" max="270" width="8.28515625" style="175" customWidth="1"/>
    <col min="271" max="271" width="8.85546875" style="175" customWidth="1"/>
    <col min="272" max="272" width="7.85546875" style="175" customWidth="1"/>
    <col min="273" max="273" width="8.140625" style="175" customWidth="1"/>
    <col min="274" max="282" width="6.5703125" style="175" bestFit="1" customWidth="1"/>
    <col min="283" max="283" width="6.42578125" style="175" customWidth="1"/>
    <col min="284" max="512" width="14" style="175"/>
    <col min="513" max="520" width="14" style="175" customWidth="1"/>
    <col min="521" max="521" width="14" style="175"/>
    <col min="522" max="524" width="4.85546875" style="175" customWidth="1"/>
    <col min="525" max="525" width="4.42578125" style="175" customWidth="1"/>
    <col min="526" max="526" width="8.28515625" style="175" customWidth="1"/>
    <col min="527" max="527" width="8.85546875" style="175" customWidth="1"/>
    <col min="528" max="528" width="7.85546875" style="175" customWidth="1"/>
    <col min="529" max="529" width="8.140625" style="175" customWidth="1"/>
    <col min="530" max="538" width="6.5703125" style="175" bestFit="1" customWidth="1"/>
    <col min="539" max="539" width="6.42578125" style="175" customWidth="1"/>
    <col min="540" max="768" width="14" style="175"/>
    <col min="769" max="776" width="14" style="175" customWidth="1"/>
    <col min="777" max="777" width="14" style="175"/>
    <col min="778" max="780" width="4.85546875" style="175" customWidth="1"/>
    <col min="781" max="781" width="4.42578125" style="175" customWidth="1"/>
    <col min="782" max="782" width="8.28515625" style="175" customWidth="1"/>
    <col min="783" max="783" width="8.85546875" style="175" customWidth="1"/>
    <col min="784" max="784" width="7.85546875" style="175" customWidth="1"/>
    <col min="785" max="785" width="8.140625" style="175" customWidth="1"/>
    <col min="786" max="794" width="6.5703125" style="175" bestFit="1" customWidth="1"/>
    <col min="795" max="795" width="6.42578125" style="175" customWidth="1"/>
    <col min="796" max="1024" width="14" style="175"/>
    <col min="1025" max="1032" width="14" style="175" customWidth="1"/>
    <col min="1033" max="1033" width="14" style="175"/>
    <col min="1034" max="1036" width="4.85546875" style="175" customWidth="1"/>
    <col min="1037" max="1037" width="4.42578125" style="175" customWidth="1"/>
    <col min="1038" max="1038" width="8.28515625" style="175" customWidth="1"/>
    <col min="1039" max="1039" width="8.85546875" style="175" customWidth="1"/>
    <col min="1040" max="1040" width="7.85546875" style="175" customWidth="1"/>
    <col min="1041" max="1041" width="8.140625" style="175" customWidth="1"/>
    <col min="1042" max="1050" width="6.5703125" style="175" bestFit="1" customWidth="1"/>
    <col min="1051" max="1051" width="6.42578125" style="175" customWidth="1"/>
    <col min="1052" max="1280" width="14" style="175"/>
    <col min="1281" max="1288" width="14" style="175" customWidth="1"/>
    <col min="1289" max="1289" width="14" style="175"/>
    <col min="1290" max="1292" width="4.85546875" style="175" customWidth="1"/>
    <col min="1293" max="1293" width="4.42578125" style="175" customWidth="1"/>
    <col min="1294" max="1294" width="8.28515625" style="175" customWidth="1"/>
    <col min="1295" max="1295" width="8.85546875" style="175" customWidth="1"/>
    <col min="1296" max="1296" width="7.85546875" style="175" customWidth="1"/>
    <col min="1297" max="1297" width="8.140625" style="175" customWidth="1"/>
    <col min="1298" max="1306" width="6.5703125" style="175" bestFit="1" customWidth="1"/>
    <col min="1307" max="1307" width="6.42578125" style="175" customWidth="1"/>
    <col min="1308" max="1536" width="14" style="175"/>
    <col min="1537" max="1544" width="14" style="175" customWidth="1"/>
    <col min="1545" max="1545" width="14" style="175"/>
    <col min="1546" max="1548" width="4.85546875" style="175" customWidth="1"/>
    <col min="1549" max="1549" width="4.42578125" style="175" customWidth="1"/>
    <col min="1550" max="1550" width="8.28515625" style="175" customWidth="1"/>
    <col min="1551" max="1551" width="8.85546875" style="175" customWidth="1"/>
    <col min="1552" max="1552" width="7.85546875" style="175" customWidth="1"/>
    <col min="1553" max="1553" width="8.140625" style="175" customWidth="1"/>
    <col min="1554" max="1562" width="6.5703125" style="175" bestFit="1" customWidth="1"/>
    <col min="1563" max="1563" width="6.42578125" style="175" customWidth="1"/>
    <col min="1564" max="1792" width="14" style="175"/>
    <col min="1793" max="1800" width="14" style="175" customWidth="1"/>
    <col min="1801" max="1801" width="14" style="175"/>
    <col min="1802" max="1804" width="4.85546875" style="175" customWidth="1"/>
    <col min="1805" max="1805" width="4.42578125" style="175" customWidth="1"/>
    <col min="1806" max="1806" width="8.28515625" style="175" customWidth="1"/>
    <col min="1807" max="1807" width="8.85546875" style="175" customWidth="1"/>
    <col min="1808" max="1808" width="7.85546875" style="175" customWidth="1"/>
    <col min="1809" max="1809" width="8.140625" style="175" customWidth="1"/>
    <col min="1810" max="1818" width="6.5703125" style="175" bestFit="1" customWidth="1"/>
    <col min="1819" max="1819" width="6.42578125" style="175" customWidth="1"/>
    <col min="1820" max="2048" width="14" style="175"/>
    <col min="2049" max="2056" width="14" style="175" customWidth="1"/>
    <col min="2057" max="2057" width="14" style="175"/>
    <col min="2058" max="2060" width="4.85546875" style="175" customWidth="1"/>
    <col min="2061" max="2061" width="4.42578125" style="175" customWidth="1"/>
    <col min="2062" max="2062" width="8.28515625" style="175" customWidth="1"/>
    <col min="2063" max="2063" width="8.85546875" style="175" customWidth="1"/>
    <col min="2064" max="2064" width="7.85546875" style="175" customWidth="1"/>
    <col min="2065" max="2065" width="8.140625" style="175" customWidth="1"/>
    <col min="2066" max="2074" width="6.5703125" style="175" bestFit="1" customWidth="1"/>
    <col min="2075" max="2075" width="6.42578125" style="175" customWidth="1"/>
    <col min="2076" max="2304" width="14" style="175"/>
    <col min="2305" max="2312" width="14" style="175" customWidth="1"/>
    <col min="2313" max="2313" width="14" style="175"/>
    <col min="2314" max="2316" width="4.85546875" style="175" customWidth="1"/>
    <col min="2317" max="2317" width="4.42578125" style="175" customWidth="1"/>
    <col min="2318" max="2318" width="8.28515625" style="175" customWidth="1"/>
    <col min="2319" max="2319" width="8.85546875" style="175" customWidth="1"/>
    <col min="2320" max="2320" width="7.85546875" style="175" customWidth="1"/>
    <col min="2321" max="2321" width="8.140625" style="175" customWidth="1"/>
    <col min="2322" max="2330" width="6.5703125" style="175" bestFit="1" customWidth="1"/>
    <col min="2331" max="2331" width="6.42578125" style="175" customWidth="1"/>
    <col min="2332" max="2560" width="14" style="175"/>
    <col min="2561" max="2568" width="14" style="175" customWidth="1"/>
    <col min="2569" max="2569" width="14" style="175"/>
    <col min="2570" max="2572" width="4.85546875" style="175" customWidth="1"/>
    <col min="2573" max="2573" width="4.42578125" style="175" customWidth="1"/>
    <col min="2574" max="2574" width="8.28515625" style="175" customWidth="1"/>
    <col min="2575" max="2575" width="8.85546875" style="175" customWidth="1"/>
    <col min="2576" max="2576" width="7.85546875" style="175" customWidth="1"/>
    <col min="2577" max="2577" width="8.140625" style="175" customWidth="1"/>
    <col min="2578" max="2586" width="6.5703125" style="175" bestFit="1" customWidth="1"/>
    <col min="2587" max="2587" width="6.42578125" style="175" customWidth="1"/>
    <col min="2588" max="2816" width="14" style="175"/>
    <col min="2817" max="2824" width="14" style="175" customWidth="1"/>
    <col min="2825" max="2825" width="14" style="175"/>
    <col min="2826" max="2828" width="4.85546875" style="175" customWidth="1"/>
    <col min="2829" max="2829" width="4.42578125" style="175" customWidth="1"/>
    <col min="2830" max="2830" width="8.28515625" style="175" customWidth="1"/>
    <col min="2831" max="2831" width="8.85546875" style="175" customWidth="1"/>
    <col min="2832" max="2832" width="7.85546875" style="175" customWidth="1"/>
    <col min="2833" max="2833" width="8.140625" style="175" customWidth="1"/>
    <col min="2834" max="2842" width="6.5703125" style="175" bestFit="1" customWidth="1"/>
    <col min="2843" max="2843" width="6.42578125" style="175" customWidth="1"/>
    <col min="2844" max="3072" width="14" style="175"/>
    <col min="3073" max="3080" width="14" style="175" customWidth="1"/>
    <col min="3081" max="3081" width="14" style="175"/>
    <col min="3082" max="3084" width="4.85546875" style="175" customWidth="1"/>
    <col min="3085" max="3085" width="4.42578125" style="175" customWidth="1"/>
    <col min="3086" max="3086" width="8.28515625" style="175" customWidth="1"/>
    <col min="3087" max="3087" width="8.85546875" style="175" customWidth="1"/>
    <col min="3088" max="3088" width="7.85546875" style="175" customWidth="1"/>
    <col min="3089" max="3089" width="8.140625" style="175" customWidth="1"/>
    <col min="3090" max="3098" width="6.5703125" style="175" bestFit="1" customWidth="1"/>
    <col min="3099" max="3099" width="6.42578125" style="175" customWidth="1"/>
    <col min="3100" max="3328" width="14" style="175"/>
    <col min="3329" max="3336" width="14" style="175" customWidth="1"/>
    <col min="3337" max="3337" width="14" style="175"/>
    <col min="3338" max="3340" width="4.85546875" style="175" customWidth="1"/>
    <col min="3341" max="3341" width="4.42578125" style="175" customWidth="1"/>
    <col min="3342" max="3342" width="8.28515625" style="175" customWidth="1"/>
    <col min="3343" max="3343" width="8.85546875" style="175" customWidth="1"/>
    <col min="3344" max="3344" width="7.85546875" style="175" customWidth="1"/>
    <col min="3345" max="3345" width="8.140625" style="175" customWidth="1"/>
    <col min="3346" max="3354" width="6.5703125" style="175" bestFit="1" customWidth="1"/>
    <col min="3355" max="3355" width="6.42578125" style="175" customWidth="1"/>
    <col min="3356" max="3584" width="14" style="175"/>
    <col min="3585" max="3592" width="14" style="175" customWidth="1"/>
    <col min="3593" max="3593" width="14" style="175"/>
    <col min="3594" max="3596" width="4.85546875" style="175" customWidth="1"/>
    <col min="3597" max="3597" width="4.42578125" style="175" customWidth="1"/>
    <col min="3598" max="3598" width="8.28515625" style="175" customWidth="1"/>
    <col min="3599" max="3599" width="8.85546875" style="175" customWidth="1"/>
    <col min="3600" max="3600" width="7.85546875" style="175" customWidth="1"/>
    <col min="3601" max="3601" width="8.140625" style="175" customWidth="1"/>
    <col min="3602" max="3610" width="6.5703125" style="175" bestFit="1" customWidth="1"/>
    <col min="3611" max="3611" width="6.42578125" style="175" customWidth="1"/>
    <col min="3612" max="3840" width="14" style="175"/>
    <col min="3841" max="3848" width="14" style="175" customWidth="1"/>
    <col min="3849" max="3849" width="14" style="175"/>
    <col min="3850" max="3852" width="4.85546875" style="175" customWidth="1"/>
    <col min="3853" max="3853" width="4.42578125" style="175" customWidth="1"/>
    <col min="3854" max="3854" width="8.28515625" style="175" customWidth="1"/>
    <col min="3855" max="3855" width="8.85546875" style="175" customWidth="1"/>
    <col min="3856" max="3856" width="7.85546875" style="175" customWidth="1"/>
    <col min="3857" max="3857" width="8.140625" style="175" customWidth="1"/>
    <col min="3858" max="3866" width="6.5703125" style="175" bestFit="1" customWidth="1"/>
    <col min="3867" max="3867" width="6.42578125" style="175" customWidth="1"/>
    <col min="3868" max="4096" width="14" style="175"/>
    <col min="4097" max="4104" width="14" style="175" customWidth="1"/>
    <col min="4105" max="4105" width="14" style="175"/>
    <col min="4106" max="4108" width="4.85546875" style="175" customWidth="1"/>
    <col min="4109" max="4109" width="4.42578125" style="175" customWidth="1"/>
    <col min="4110" max="4110" width="8.28515625" style="175" customWidth="1"/>
    <col min="4111" max="4111" width="8.85546875" style="175" customWidth="1"/>
    <col min="4112" max="4112" width="7.85546875" style="175" customWidth="1"/>
    <col min="4113" max="4113" width="8.140625" style="175" customWidth="1"/>
    <col min="4114" max="4122" width="6.5703125" style="175" bestFit="1" customWidth="1"/>
    <col min="4123" max="4123" width="6.42578125" style="175" customWidth="1"/>
    <col min="4124" max="4352" width="14" style="175"/>
    <col min="4353" max="4360" width="14" style="175" customWidth="1"/>
    <col min="4361" max="4361" width="14" style="175"/>
    <col min="4362" max="4364" width="4.85546875" style="175" customWidth="1"/>
    <col min="4365" max="4365" width="4.42578125" style="175" customWidth="1"/>
    <col min="4366" max="4366" width="8.28515625" style="175" customWidth="1"/>
    <col min="4367" max="4367" width="8.85546875" style="175" customWidth="1"/>
    <col min="4368" max="4368" width="7.85546875" style="175" customWidth="1"/>
    <col min="4369" max="4369" width="8.140625" style="175" customWidth="1"/>
    <col min="4370" max="4378" width="6.5703125" style="175" bestFit="1" customWidth="1"/>
    <col min="4379" max="4379" width="6.42578125" style="175" customWidth="1"/>
    <col min="4380" max="4608" width="14" style="175"/>
    <col min="4609" max="4616" width="14" style="175" customWidth="1"/>
    <col min="4617" max="4617" width="14" style="175"/>
    <col min="4618" max="4620" width="4.85546875" style="175" customWidth="1"/>
    <col min="4621" max="4621" width="4.42578125" style="175" customWidth="1"/>
    <col min="4622" max="4622" width="8.28515625" style="175" customWidth="1"/>
    <col min="4623" max="4623" width="8.85546875" style="175" customWidth="1"/>
    <col min="4624" max="4624" width="7.85546875" style="175" customWidth="1"/>
    <col min="4625" max="4625" width="8.140625" style="175" customWidth="1"/>
    <col min="4626" max="4634" width="6.5703125" style="175" bestFit="1" customWidth="1"/>
    <col min="4635" max="4635" width="6.42578125" style="175" customWidth="1"/>
    <col min="4636" max="4864" width="14" style="175"/>
    <col min="4865" max="4872" width="14" style="175" customWidth="1"/>
    <col min="4873" max="4873" width="14" style="175"/>
    <col min="4874" max="4876" width="4.85546875" style="175" customWidth="1"/>
    <col min="4877" max="4877" width="4.42578125" style="175" customWidth="1"/>
    <col min="4878" max="4878" width="8.28515625" style="175" customWidth="1"/>
    <col min="4879" max="4879" width="8.85546875" style="175" customWidth="1"/>
    <col min="4880" max="4880" width="7.85546875" style="175" customWidth="1"/>
    <col min="4881" max="4881" width="8.140625" style="175" customWidth="1"/>
    <col min="4882" max="4890" width="6.5703125" style="175" bestFit="1" customWidth="1"/>
    <col min="4891" max="4891" width="6.42578125" style="175" customWidth="1"/>
    <col min="4892" max="5120" width="14" style="175"/>
    <col min="5121" max="5128" width="14" style="175" customWidth="1"/>
    <col min="5129" max="5129" width="14" style="175"/>
    <col min="5130" max="5132" width="4.85546875" style="175" customWidth="1"/>
    <col min="5133" max="5133" width="4.42578125" style="175" customWidth="1"/>
    <col min="5134" max="5134" width="8.28515625" style="175" customWidth="1"/>
    <col min="5135" max="5135" width="8.85546875" style="175" customWidth="1"/>
    <col min="5136" max="5136" width="7.85546875" style="175" customWidth="1"/>
    <col min="5137" max="5137" width="8.140625" style="175" customWidth="1"/>
    <col min="5138" max="5146" width="6.5703125" style="175" bestFit="1" customWidth="1"/>
    <col min="5147" max="5147" width="6.42578125" style="175" customWidth="1"/>
    <col min="5148" max="5376" width="14" style="175"/>
    <col min="5377" max="5384" width="14" style="175" customWidth="1"/>
    <col min="5385" max="5385" width="14" style="175"/>
    <col min="5386" max="5388" width="4.85546875" style="175" customWidth="1"/>
    <col min="5389" max="5389" width="4.42578125" style="175" customWidth="1"/>
    <col min="5390" max="5390" width="8.28515625" style="175" customWidth="1"/>
    <col min="5391" max="5391" width="8.85546875" style="175" customWidth="1"/>
    <col min="5392" max="5392" width="7.85546875" style="175" customWidth="1"/>
    <col min="5393" max="5393" width="8.140625" style="175" customWidth="1"/>
    <col min="5394" max="5402" width="6.5703125" style="175" bestFit="1" customWidth="1"/>
    <col min="5403" max="5403" width="6.42578125" style="175" customWidth="1"/>
    <col min="5404" max="5632" width="14" style="175"/>
    <col min="5633" max="5640" width="14" style="175" customWidth="1"/>
    <col min="5641" max="5641" width="14" style="175"/>
    <col min="5642" max="5644" width="4.85546875" style="175" customWidth="1"/>
    <col min="5645" max="5645" width="4.42578125" style="175" customWidth="1"/>
    <col min="5646" max="5646" width="8.28515625" style="175" customWidth="1"/>
    <col min="5647" max="5647" width="8.85546875" style="175" customWidth="1"/>
    <col min="5648" max="5648" width="7.85546875" style="175" customWidth="1"/>
    <col min="5649" max="5649" width="8.140625" style="175" customWidth="1"/>
    <col min="5650" max="5658" width="6.5703125" style="175" bestFit="1" customWidth="1"/>
    <col min="5659" max="5659" width="6.42578125" style="175" customWidth="1"/>
    <col min="5660" max="5888" width="14" style="175"/>
    <col min="5889" max="5896" width="14" style="175" customWidth="1"/>
    <col min="5897" max="5897" width="14" style="175"/>
    <col min="5898" max="5900" width="4.85546875" style="175" customWidth="1"/>
    <col min="5901" max="5901" width="4.42578125" style="175" customWidth="1"/>
    <col min="5902" max="5902" width="8.28515625" style="175" customWidth="1"/>
    <col min="5903" max="5903" width="8.85546875" style="175" customWidth="1"/>
    <col min="5904" max="5904" width="7.85546875" style="175" customWidth="1"/>
    <col min="5905" max="5905" width="8.140625" style="175" customWidth="1"/>
    <col min="5906" max="5914" width="6.5703125" style="175" bestFit="1" customWidth="1"/>
    <col min="5915" max="5915" width="6.42578125" style="175" customWidth="1"/>
    <col min="5916" max="6144" width="14" style="175"/>
    <col min="6145" max="6152" width="14" style="175" customWidth="1"/>
    <col min="6153" max="6153" width="14" style="175"/>
    <col min="6154" max="6156" width="4.85546875" style="175" customWidth="1"/>
    <col min="6157" max="6157" width="4.42578125" style="175" customWidth="1"/>
    <col min="6158" max="6158" width="8.28515625" style="175" customWidth="1"/>
    <col min="6159" max="6159" width="8.85546875" style="175" customWidth="1"/>
    <col min="6160" max="6160" width="7.85546875" style="175" customWidth="1"/>
    <col min="6161" max="6161" width="8.140625" style="175" customWidth="1"/>
    <col min="6162" max="6170" width="6.5703125" style="175" bestFit="1" customWidth="1"/>
    <col min="6171" max="6171" width="6.42578125" style="175" customWidth="1"/>
    <col min="6172" max="6400" width="14" style="175"/>
    <col min="6401" max="6408" width="14" style="175" customWidth="1"/>
    <col min="6409" max="6409" width="14" style="175"/>
    <col min="6410" max="6412" width="4.85546875" style="175" customWidth="1"/>
    <col min="6413" max="6413" width="4.42578125" style="175" customWidth="1"/>
    <col min="6414" max="6414" width="8.28515625" style="175" customWidth="1"/>
    <col min="6415" max="6415" width="8.85546875" style="175" customWidth="1"/>
    <col min="6416" max="6416" width="7.85546875" style="175" customWidth="1"/>
    <col min="6417" max="6417" width="8.140625" style="175" customWidth="1"/>
    <col min="6418" max="6426" width="6.5703125" style="175" bestFit="1" customWidth="1"/>
    <col min="6427" max="6427" width="6.42578125" style="175" customWidth="1"/>
    <col min="6428" max="6656" width="14" style="175"/>
    <col min="6657" max="6664" width="14" style="175" customWidth="1"/>
    <col min="6665" max="6665" width="14" style="175"/>
    <col min="6666" max="6668" width="4.85546875" style="175" customWidth="1"/>
    <col min="6669" max="6669" width="4.42578125" style="175" customWidth="1"/>
    <col min="6670" max="6670" width="8.28515625" style="175" customWidth="1"/>
    <col min="6671" max="6671" width="8.85546875" style="175" customWidth="1"/>
    <col min="6672" max="6672" width="7.85546875" style="175" customWidth="1"/>
    <col min="6673" max="6673" width="8.140625" style="175" customWidth="1"/>
    <col min="6674" max="6682" width="6.5703125" style="175" bestFit="1" customWidth="1"/>
    <col min="6683" max="6683" width="6.42578125" style="175" customWidth="1"/>
    <col min="6684" max="6912" width="14" style="175"/>
    <col min="6913" max="6920" width="14" style="175" customWidth="1"/>
    <col min="6921" max="6921" width="14" style="175"/>
    <col min="6922" max="6924" width="4.85546875" style="175" customWidth="1"/>
    <col min="6925" max="6925" width="4.42578125" style="175" customWidth="1"/>
    <col min="6926" max="6926" width="8.28515625" style="175" customWidth="1"/>
    <col min="6927" max="6927" width="8.85546875" style="175" customWidth="1"/>
    <col min="6928" max="6928" width="7.85546875" style="175" customWidth="1"/>
    <col min="6929" max="6929" width="8.140625" style="175" customWidth="1"/>
    <col min="6930" max="6938" width="6.5703125" style="175" bestFit="1" customWidth="1"/>
    <col min="6939" max="6939" width="6.42578125" style="175" customWidth="1"/>
    <col min="6940" max="7168" width="14" style="175"/>
    <col min="7169" max="7176" width="14" style="175" customWidth="1"/>
    <col min="7177" max="7177" width="14" style="175"/>
    <col min="7178" max="7180" width="4.85546875" style="175" customWidth="1"/>
    <col min="7181" max="7181" width="4.42578125" style="175" customWidth="1"/>
    <col min="7182" max="7182" width="8.28515625" style="175" customWidth="1"/>
    <col min="7183" max="7183" width="8.85546875" style="175" customWidth="1"/>
    <col min="7184" max="7184" width="7.85546875" style="175" customWidth="1"/>
    <col min="7185" max="7185" width="8.140625" style="175" customWidth="1"/>
    <col min="7186" max="7194" width="6.5703125" style="175" bestFit="1" customWidth="1"/>
    <col min="7195" max="7195" width="6.42578125" style="175" customWidth="1"/>
    <col min="7196" max="7424" width="14" style="175"/>
    <col min="7425" max="7432" width="14" style="175" customWidth="1"/>
    <col min="7433" max="7433" width="14" style="175"/>
    <col min="7434" max="7436" width="4.85546875" style="175" customWidth="1"/>
    <col min="7437" max="7437" width="4.42578125" style="175" customWidth="1"/>
    <col min="7438" max="7438" width="8.28515625" style="175" customWidth="1"/>
    <col min="7439" max="7439" width="8.85546875" style="175" customWidth="1"/>
    <col min="7440" max="7440" width="7.85546875" style="175" customWidth="1"/>
    <col min="7441" max="7441" width="8.140625" style="175" customWidth="1"/>
    <col min="7442" max="7450" width="6.5703125" style="175" bestFit="1" customWidth="1"/>
    <col min="7451" max="7451" width="6.42578125" style="175" customWidth="1"/>
    <col min="7452" max="7680" width="14" style="175"/>
    <col min="7681" max="7688" width="14" style="175" customWidth="1"/>
    <col min="7689" max="7689" width="14" style="175"/>
    <col min="7690" max="7692" width="4.85546875" style="175" customWidth="1"/>
    <col min="7693" max="7693" width="4.42578125" style="175" customWidth="1"/>
    <col min="7694" max="7694" width="8.28515625" style="175" customWidth="1"/>
    <col min="7695" max="7695" width="8.85546875" style="175" customWidth="1"/>
    <col min="7696" max="7696" width="7.85546875" style="175" customWidth="1"/>
    <col min="7697" max="7697" width="8.140625" style="175" customWidth="1"/>
    <col min="7698" max="7706" width="6.5703125" style="175" bestFit="1" customWidth="1"/>
    <col min="7707" max="7707" width="6.42578125" style="175" customWidth="1"/>
    <col min="7708" max="7936" width="14" style="175"/>
    <col min="7937" max="7944" width="14" style="175" customWidth="1"/>
    <col min="7945" max="7945" width="14" style="175"/>
    <col min="7946" max="7948" width="4.85546875" style="175" customWidth="1"/>
    <col min="7949" max="7949" width="4.42578125" style="175" customWidth="1"/>
    <col min="7950" max="7950" width="8.28515625" style="175" customWidth="1"/>
    <col min="7951" max="7951" width="8.85546875" style="175" customWidth="1"/>
    <col min="7952" max="7952" width="7.85546875" style="175" customWidth="1"/>
    <col min="7953" max="7953" width="8.140625" style="175" customWidth="1"/>
    <col min="7954" max="7962" width="6.5703125" style="175" bestFit="1" customWidth="1"/>
    <col min="7963" max="7963" width="6.42578125" style="175" customWidth="1"/>
    <col min="7964" max="8192" width="14" style="175"/>
    <col min="8193" max="8200" width="14" style="175" customWidth="1"/>
    <col min="8201" max="8201" width="14" style="175"/>
    <col min="8202" max="8204" width="4.85546875" style="175" customWidth="1"/>
    <col min="8205" max="8205" width="4.42578125" style="175" customWidth="1"/>
    <col min="8206" max="8206" width="8.28515625" style="175" customWidth="1"/>
    <col min="8207" max="8207" width="8.85546875" style="175" customWidth="1"/>
    <col min="8208" max="8208" width="7.85546875" style="175" customWidth="1"/>
    <col min="8209" max="8209" width="8.140625" style="175" customWidth="1"/>
    <col min="8210" max="8218" width="6.5703125" style="175" bestFit="1" customWidth="1"/>
    <col min="8219" max="8219" width="6.42578125" style="175" customWidth="1"/>
    <col min="8220" max="8448" width="14" style="175"/>
    <col min="8449" max="8456" width="14" style="175" customWidth="1"/>
    <col min="8457" max="8457" width="14" style="175"/>
    <col min="8458" max="8460" width="4.85546875" style="175" customWidth="1"/>
    <col min="8461" max="8461" width="4.42578125" style="175" customWidth="1"/>
    <col min="8462" max="8462" width="8.28515625" style="175" customWidth="1"/>
    <col min="8463" max="8463" width="8.85546875" style="175" customWidth="1"/>
    <col min="8464" max="8464" width="7.85546875" style="175" customWidth="1"/>
    <col min="8465" max="8465" width="8.140625" style="175" customWidth="1"/>
    <col min="8466" max="8474" width="6.5703125" style="175" bestFit="1" customWidth="1"/>
    <col min="8475" max="8475" width="6.42578125" style="175" customWidth="1"/>
    <col min="8476" max="8704" width="14" style="175"/>
    <col min="8705" max="8712" width="14" style="175" customWidth="1"/>
    <col min="8713" max="8713" width="14" style="175"/>
    <col min="8714" max="8716" width="4.85546875" style="175" customWidth="1"/>
    <col min="8717" max="8717" width="4.42578125" style="175" customWidth="1"/>
    <col min="8718" max="8718" width="8.28515625" style="175" customWidth="1"/>
    <col min="8719" max="8719" width="8.85546875" style="175" customWidth="1"/>
    <col min="8720" max="8720" width="7.85546875" style="175" customWidth="1"/>
    <col min="8721" max="8721" width="8.140625" style="175" customWidth="1"/>
    <col min="8722" max="8730" width="6.5703125" style="175" bestFit="1" customWidth="1"/>
    <col min="8731" max="8731" width="6.42578125" style="175" customWidth="1"/>
    <col min="8732" max="8960" width="14" style="175"/>
    <col min="8961" max="8968" width="14" style="175" customWidth="1"/>
    <col min="8969" max="8969" width="14" style="175"/>
    <col min="8970" max="8972" width="4.85546875" style="175" customWidth="1"/>
    <col min="8973" max="8973" width="4.42578125" style="175" customWidth="1"/>
    <col min="8974" max="8974" width="8.28515625" style="175" customWidth="1"/>
    <col min="8975" max="8975" width="8.85546875" style="175" customWidth="1"/>
    <col min="8976" max="8976" width="7.85546875" style="175" customWidth="1"/>
    <col min="8977" max="8977" width="8.140625" style="175" customWidth="1"/>
    <col min="8978" max="8986" width="6.5703125" style="175" bestFit="1" customWidth="1"/>
    <col min="8987" max="8987" width="6.42578125" style="175" customWidth="1"/>
    <col min="8988" max="9216" width="14" style="175"/>
    <col min="9217" max="9224" width="14" style="175" customWidth="1"/>
    <col min="9225" max="9225" width="14" style="175"/>
    <col min="9226" max="9228" width="4.85546875" style="175" customWidth="1"/>
    <col min="9229" max="9229" width="4.42578125" style="175" customWidth="1"/>
    <col min="9230" max="9230" width="8.28515625" style="175" customWidth="1"/>
    <col min="9231" max="9231" width="8.85546875" style="175" customWidth="1"/>
    <col min="9232" max="9232" width="7.85546875" style="175" customWidth="1"/>
    <col min="9233" max="9233" width="8.140625" style="175" customWidth="1"/>
    <col min="9234" max="9242" width="6.5703125" style="175" bestFit="1" customWidth="1"/>
    <col min="9243" max="9243" width="6.42578125" style="175" customWidth="1"/>
    <col min="9244" max="9472" width="14" style="175"/>
    <col min="9473" max="9480" width="14" style="175" customWidth="1"/>
    <col min="9481" max="9481" width="14" style="175"/>
    <col min="9482" max="9484" width="4.85546875" style="175" customWidth="1"/>
    <col min="9485" max="9485" width="4.42578125" style="175" customWidth="1"/>
    <col min="9486" max="9486" width="8.28515625" style="175" customWidth="1"/>
    <col min="9487" max="9487" width="8.85546875" style="175" customWidth="1"/>
    <col min="9488" max="9488" width="7.85546875" style="175" customWidth="1"/>
    <col min="9489" max="9489" width="8.140625" style="175" customWidth="1"/>
    <col min="9490" max="9498" width="6.5703125" style="175" bestFit="1" customWidth="1"/>
    <col min="9499" max="9499" width="6.42578125" style="175" customWidth="1"/>
    <col min="9500" max="9728" width="14" style="175"/>
    <col min="9729" max="9736" width="14" style="175" customWidth="1"/>
    <col min="9737" max="9737" width="14" style="175"/>
    <col min="9738" max="9740" width="4.85546875" style="175" customWidth="1"/>
    <col min="9741" max="9741" width="4.42578125" style="175" customWidth="1"/>
    <col min="9742" max="9742" width="8.28515625" style="175" customWidth="1"/>
    <col min="9743" max="9743" width="8.85546875" style="175" customWidth="1"/>
    <col min="9744" max="9744" width="7.85546875" style="175" customWidth="1"/>
    <col min="9745" max="9745" width="8.140625" style="175" customWidth="1"/>
    <col min="9746" max="9754" width="6.5703125" style="175" bestFit="1" customWidth="1"/>
    <col min="9755" max="9755" width="6.42578125" style="175" customWidth="1"/>
    <col min="9756" max="9984" width="14" style="175"/>
    <col min="9985" max="9992" width="14" style="175" customWidth="1"/>
    <col min="9993" max="9993" width="14" style="175"/>
    <col min="9994" max="9996" width="4.85546875" style="175" customWidth="1"/>
    <col min="9997" max="9997" width="4.42578125" style="175" customWidth="1"/>
    <col min="9998" max="9998" width="8.28515625" style="175" customWidth="1"/>
    <col min="9999" max="9999" width="8.85546875" style="175" customWidth="1"/>
    <col min="10000" max="10000" width="7.85546875" style="175" customWidth="1"/>
    <col min="10001" max="10001" width="8.140625" style="175" customWidth="1"/>
    <col min="10002" max="10010" width="6.5703125" style="175" bestFit="1" customWidth="1"/>
    <col min="10011" max="10011" width="6.42578125" style="175" customWidth="1"/>
    <col min="10012" max="10240" width="14" style="175"/>
    <col min="10241" max="10248" width="14" style="175" customWidth="1"/>
    <col min="10249" max="10249" width="14" style="175"/>
    <col min="10250" max="10252" width="4.85546875" style="175" customWidth="1"/>
    <col min="10253" max="10253" width="4.42578125" style="175" customWidth="1"/>
    <col min="10254" max="10254" width="8.28515625" style="175" customWidth="1"/>
    <col min="10255" max="10255" width="8.85546875" style="175" customWidth="1"/>
    <col min="10256" max="10256" width="7.85546875" style="175" customWidth="1"/>
    <col min="10257" max="10257" width="8.140625" style="175" customWidth="1"/>
    <col min="10258" max="10266" width="6.5703125" style="175" bestFit="1" customWidth="1"/>
    <col min="10267" max="10267" width="6.42578125" style="175" customWidth="1"/>
    <col min="10268" max="10496" width="14" style="175"/>
    <col min="10497" max="10504" width="14" style="175" customWidth="1"/>
    <col min="10505" max="10505" width="14" style="175"/>
    <col min="10506" max="10508" width="4.85546875" style="175" customWidth="1"/>
    <col min="10509" max="10509" width="4.42578125" style="175" customWidth="1"/>
    <col min="10510" max="10510" width="8.28515625" style="175" customWidth="1"/>
    <col min="10511" max="10511" width="8.85546875" style="175" customWidth="1"/>
    <col min="10512" max="10512" width="7.85546875" style="175" customWidth="1"/>
    <col min="10513" max="10513" width="8.140625" style="175" customWidth="1"/>
    <col min="10514" max="10522" width="6.5703125" style="175" bestFit="1" customWidth="1"/>
    <col min="10523" max="10523" width="6.42578125" style="175" customWidth="1"/>
    <col min="10524" max="10752" width="14" style="175"/>
    <col min="10753" max="10760" width="14" style="175" customWidth="1"/>
    <col min="10761" max="10761" width="14" style="175"/>
    <col min="10762" max="10764" width="4.85546875" style="175" customWidth="1"/>
    <col min="10765" max="10765" width="4.42578125" style="175" customWidth="1"/>
    <col min="10766" max="10766" width="8.28515625" style="175" customWidth="1"/>
    <col min="10767" max="10767" width="8.85546875" style="175" customWidth="1"/>
    <col min="10768" max="10768" width="7.85546875" style="175" customWidth="1"/>
    <col min="10769" max="10769" width="8.140625" style="175" customWidth="1"/>
    <col min="10770" max="10778" width="6.5703125" style="175" bestFit="1" customWidth="1"/>
    <col min="10779" max="10779" width="6.42578125" style="175" customWidth="1"/>
    <col min="10780" max="11008" width="14" style="175"/>
    <col min="11009" max="11016" width="14" style="175" customWidth="1"/>
    <col min="11017" max="11017" width="14" style="175"/>
    <col min="11018" max="11020" width="4.85546875" style="175" customWidth="1"/>
    <col min="11021" max="11021" width="4.42578125" style="175" customWidth="1"/>
    <col min="11022" max="11022" width="8.28515625" style="175" customWidth="1"/>
    <col min="11023" max="11023" width="8.85546875" style="175" customWidth="1"/>
    <col min="11024" max="11024" width="7.85546875" style="175" customWidth="1"/>
    <col min="11025" max="11025" width="8.140625" style="175" customWidth="1"/>
    <col min="11026" max="11034" width="6.5703125" style="175" bestFit="1" customWidth="1"/>
    <col min="11035" max="11035" width="6.42578125" style="175" customWidth="1"/>
    <col min="11036" max="11264" width="14" style="175"/>
    <col min="11265" max="11272" width="14" style="175" customWidth="1"/>
    <col min="11273" max="11273" width="14" style="175"/>
    <col min="11274" max="11276" width="4.85546875" style="175" customWidth="1"/>
    <col min="11277" max="11277" width="4.42578125" style="175" customWidth="1"/>
    <col min="11278" max="11278" width="8.28515625" style="175" customWidth="1"/>
    <col min="11279" max="11279" width="8.85546875" style="175" customWidth="1"/>
    <col min="11280" max="11280" width="7.85546875" style="175" customWidth="1"/>
    <col min="11281" max="11281" width="8.140625" style="175" customWidth="1"/>
    <col min="11282" max="11290" width="6.5703125" style="175" bestFit="1" customWidth="1"/>
    <col min="11291" max="11291" width="6.42578125" style="175" customWidth="1"/>
    <col min="11292" max="11520" width="14" style="175"/>
    <col min="11521" max="11528" width="14" style="175" customWidth="1"/>
    <col min="11529" max="11529" width="14" style="175"/>
    <col min="11530" max="11532" width="4.85546875" style="175" customWidth="1"/>
    <col min="11533" max="11533" width="4.42578125" style="175" customWidth="1"/>
    <col min="11534" max="11534" width="8.28515625" style="175" customWidth="1"/>
    <col min="11535" max="11535" width="8.85546875" style="175" customWidth="1"/>
    <col min="11536" max="11536" width="7.85546875" style="175" customWidth="1"/>
    <col min="11537" max="11537" width="8.140625" style="175" customWidth="1"/>
    <col min="11538" max="11546" width="6.5703125" style="175" bestFit="1" customWidth="1"/>
    <col min="11547" max="11547" width="6.42578125" style="175" customWidth="1"/>
    <col min="11548" max="11776" width="14" style="175"/>
    <col min="11777" max="11784" width="14" style="175" customWidth="1"/>
    <col min="11785" max="11785" width="14" style="175"/>
    <col min="11786" max="11788" width="4.85546875" style="175" customWidth="1"/>
    <col min="11789" max="11789" width="4.42578125" style="175" customWidth="1"/>
    <col min="11790" max="11790" width="8.28515625" style="175" customWidth="1"/>
    <col min="11791" max="11791" width="8.85546875" style="175" customWidth="1"/>
    <col min="11792" max="11792" width="7.85546875" style="175" customWidth="1"/>
    <col min="11793" max="11793" width="8.140625" style="175" customWidth="1"/>
    <col min="11794" max="11802" width="6.5703125" style="175" bestFit="1" customWidth="1"/>
    <col min="11803" max="11803" width="6.42578125" style="175" customWidth="1"/>
    <col min="11804" max="12032" width="14" style="175"/>
    <col min="12033" max="12040" width="14" style="175" customWidth="1"/>
    <col min="12041" max="12041" width="14" style="175"/>
    <col min="12042" max="12044" width="4.85546875" style="175" customWidth="1"/>
    <col min="12045" max="12045" width="4.42578125" style="175" customWidth="1"/>
    <col min="12046" max="12046" width="8.28515625" style="175" customWidth="1"/>
    <col min="12047" max="12047" width="8.85546875" style="175" customWidth="1"/>
    <col min="12048" max="12048" width="7.85546875" style="175" customWidth="1"/>
    <col min="12049" max="12049" width="8.140625" style="175" customWidth="1"/>
    <col min="12050" max="12058" width="6.5703125" style="175" bestFit="1" customWidth="1"/>
    <col min="12059" max="12059" width="6.42578125" style="175" customWidth="1"/>
    <col min="12060" max="12288" width="14" style="175"/>
    <col min="12289" max="12296" width="14" style="175" customWidth="1"/>
    <col min="12297" max="12297" width="14" style="175"/>
    <col min="12298" max="12300" width="4.85546875" style="175" customWidth="1"/>
    <col min="12301" max="12301" width="4.42578125" style="175" customWidth="1"/>
    <col min="12302" max="12302" width="8.28515625" style="175" customWidth="1"/>
    <col min="12303" max="12303" width="8.85546875" style="175" customWidth="1"/>
    <col min="12304" max="12304" width="7.85546875" style="175" customWidth="1"/>
    <col min="12305" max="12305" width="8.140625" style="175" customWidth="1"/>
    <col min="12306" max="12314" width="6.5703125" style="175" bestFit="1" customWidth="1"/>
    <col min="12315" max="12315" width="6.42578125" style="175" customWidth="1"/>
    <col min="12316" max="12544" width="14" style="175"/>
    <col min="12545" max="12552" width="14" style="175" customWidth="1"/>
    <col min="12553" max="12553" width="14" style="175"/>
    <col min="12554" max="12556" width="4.85546875" style="175" customWidth="1"/>
    <col min="12557" max="12557" width="4.42578125" style="175" customWidth="1"/>
    <col min="12558" max="12558" width="8.28515625" style="175" customWidth="1"/>
    <col min="12559" max="12559" width="8.85546875" style="175" customWidth="1"/>
    <col min="12560" max="12560" width="7.85546875" style="175" customWidth="1"/>
    <col min="12561" max="12561" width="8.140625" style="175" customWidth="1"/>
    <col min="12562" max="12570" width="6.5703125" style="175" bestFit="1" customWidth="1"/>
    <col min="12571" max="12571" width="6.42578125" style="175" customWidth="1"/>
    <col min="12572" max="12800" width="14" style="175"/>
    <col min="12801" max="12808" width="14" style="175" customWidth="1"/>
    <col min="12809" max="12809" width="14" style="175"/>
    <col min="12810" max="12812" width="4.85546875" style="175" customWidth="1"/>
    <col min="12813" max="12813" width="4.42578125" style="175" customWidth="1"/>
    <col min="12814" max="12814" width="8.28515625" style="175" customWidth="1"/>
    <col min="12815" max="12815" width="8.85546875" style="175" customWidth="1"/>
    <col min="12816" max="12816" width="7.85546875" style="175" customWidth="1"/>
    <col min="12817" max="12817" width="8.140625" style="175" customWidth="1"/>
    <col min="12818" max="12826" width="6.5703125" style="175" bestFit="1" customWidth="1"/>
    <col min="12827" max="12827" width="6.42578125" style="175" customWidth="1"/>
    <col min="12828" max="13056" width="14" style="175"/>
    <col min="13057" max="13064" width="14" style="175" customWidth="1"/>
    <col min="13065" max="13065" width="14" style="175"/>
    <col min="13066" max="13068" width="4.85546875" style="175" customWidth="1"/>
    <col min="13069" max="13069" width="4.42578125" style="175" customWidth="1"/>
    <col min="13070" max="13070" width="8.28515625" style="175" customWidth="1"/>
    <col min="13071" max="13071" width="8.85546875" style="175" customWidth="1"/>
    <col min="13072" max="13072" width="7.85546875" style="175" customWidth="1"/>
    <col min="13073" max="13073" width="8.140625" style="175" customWidth="1"/>
    <col min="13074" max="13082" width="6.5703125" style="175" bestFit="1" customWidth="1"/>
    <col min="13083" max="13083" width="6.42578125" style="175" customWidth="1"/>
    <col min="13084" max="13312" width="14" style="175"/>
    <col min="13313" max="13320" width="14" style="175" customWidth="1"/>
    <col min="13321" max="13321" width="14" style="175"/>
    <col min="13322" max="13324" width="4.85546875" style="175" customWidth="1"/>
    <col min="13325" max="13325" width="4.42578125" style="175" customWidth="1"/>
    <col min="13326" max="13326" width="8.28515625" style="175" customWidth="1"/>
    <col min="13327" max="13327" width="8.85546875" style="175" customWidth="1"/>
    <col min="13328" max="13328" width="7.85546875" style="175" customWidth="1"/>
    <col min="13329" max="13329" width="8.140625" style="175" customWidth="1"/>
    <col min="13330" max="13338" width="6.5703125" style="175" bestFit="1" customWidth="1"/>
    <col min="13339" max="13339" width="6.42578125" style="175" customWidth="1"/>
    <col min="13340" max="13568" width="14" style="175"/>
    <col min="13569" max="13576" width="14" style="175" customWidth="1"/>
    <col min="13577" max="13577" width="14" style="175"/>
    <col min="13578" max="13580" width="4.85546875" style="175" customWidth="1"/>
    <col min="13581" max="13581" width="4.42578125" style="175" customWidth="1"/>
    <col min="13582" max="13582" width="8.28515625" style="175" customWidth="1"/>
    <col min="13583" max="13583" width="8.85546875" style="175" customWidth="1"/>
    <col min="13584" max="13584" width="7.85546875" style="175" customWidth="1"/>
    <col min="13585" max="13585" width="8.140625" style="175" customWidth="1"/>
    <col min="13586" max="13594" width="6.5703125" style="175" bestFit="1" customWidth="1"/>
    <col min="13595" max="13595" width="6.42578125" style="175" customWidth="1"/>
    <col min="13596" max="13824" width="14" style="175"/>
    <col min="13825" max="13832" width="14" style="175" customWidth="1"/>
    <col min="13833" max="13833" width="14" style="175"/>
    <col min="13834" max="13836" width="4.85546875" style="175" customWidth="1"/>
    <col min="13837" max="13837" width="4.42578125" style="175" customWidth="1"/>
    <col min="13838" max="13838" width="8.28515625" style="175" customWidth="1"/>
    <col min="13839" max="13839" width="8.85546875" style="175" customWidth="1"/>
    <col min="13840" max="13840" width="7.85546875" style="175" customWidth="1"/>
    <col min="13841" max="13841" width="8.140625" style="175" customWidth="1"/>
    <col min="13842" max="13850" width="6.5703125" style="175" bestFit="1" customWidth="1"/>
    <col min="13851" max="13851" width="6.42578125" style="175" customWidth="1"/>
    <col min="13852" max="14080" width="14" style="175"/>
    <col min="14081" max="14088" width="14" style="175" customWidth="1"/>
    <col min="14089" max="14089" width="14" style="175"/>
    <col min="14090" max="14092" width="4.85546875" style="175" customWidth="1"/>
    <col min="14093" max="14093" width="4.42578125" style="175" customWidth="1"/>
    <col min="14094" max="14094" width="8.28515625" style="175" customWidth="1"/>
    <col min="14095" max="14095" width="8.85546875" style="175" customWidth="1"/>
    <col min="14096" max="14096" width="7.85546875" style="175" customWidth="1"/>
    <col min="14097" max="14097" width="8.140625" style="175" customWidth="1"/>
    <col min="14098" max="14106" width="6.5703125" style="175" bestFit="1" customWidth="1"/>
    <col min="14107" max="14107" width="6.42578125" style="175" customWidth="1"/>
    <col min="14108" max="14336" width="14" style="175"/>
    <col min="14337" max="14344" width="14" style="175" customWidth="1"/>
    <col min="14345" max="14345" width="14" style="175"/>
    <col min="14346" max="14348" width="4.85546875" style="175" customWidth="1"/>
    <col min="14349" max="14349" width="4.42578125" style="175" customWidth="1"/>
    <col min="14350" max="14350" width="8.28515625" style="175" customWidth="1"/>
    <col min="14351" max="14351" width="8.85546875" style="175" customWidth="1"/>
    <col min="14352" max="14352" width="7.85546875" style="175" customWidth="1"/>
    <col min="14353" max="14353" width="8.140625" style="175" customWidth="1"/>
    <col min="14354" max="14362" width="6.5703125" style="175" bestFit="1" customWidth="1"/>
    <col min="14363" max="14363" width="6.42578125" style="175" customWidth="1"/>
    <col min="14364" max="14592" width="14" style="175"/>
    <col min="14593" max="14600" width="14" style="175" customWidth="1"/>
    <col min="14601" max="14601" width="14" style="175"/>
    <col min="14602" max="14604" width="4.85546875" style="175" customWidth="1"/>
    <col min="14605" max="14605" width="4.42578125" style="175" customWidth="1"/>
    <col min="14606" max="14606" width="8.28515625" style="175" customWidth="1"/>
    <col min="14607" max="14607" width="8.85546875" style="175" customWidth="1"/>
    <col min="14608" max="14608" width="7.85546875" style="175" customWidth="1"/>
    <col min="14609" max="14609" width="8.140625" style="175" customWidth="1"/>
    <col min="14610" max="14618" width="6.5703125" style="175" bestFit="1" customWidth="1"/>
    <col min="14619" max="14619" width="6.42578125" style="175" customWidth="1"/>
    <col min="14620" max="14848" width="14" style="175"/>
    <col min="14849" max="14856" width="14" style="175" customWidth="1"/>
    <col min="14857" max="14857" width="14" style="175"/>
    <col min="14858" max="14860" width="4.85546875" style="175" customWidth="1"/>
    <col min="14861" max="14861" width="4.42578125" style="175" customWidth="1"/>
    <col min="14862" max="14862" width="8.28515625" style="175" customWidth="1"/>
    <col min="14863" max="14863" width="8.85546875" style="175" customWidth="1"/>
    <col min="14864" max="14864" width="7.85546875" style="175" customWidth="1"/>
    <col min="14865" max="14865" width="8.140625" style="175" customWidth="1"/>
    <col min="14866" max="14874" width="6.5703125" style="175" bestFit="1" customWidth="1"/>
    <col min="14875" max="14875" width="6.42578125" style="175" customWidth="1"/>
    <col min="14876" max="15104" width="14" style="175"/>
    <col min="15105" max="15112" width="14" style="175" customWidth="1"/>
    <col min="15113" max="15113" width="14" style="175"/>
    <col min="15114" max="15116" width="4.85546875" style="175" customWidth="1"/>
    <col min="15117" max="15117" width="4.42578125" style="175" customWidth="1"/>
    <col min="15118" max="15118" width="8.28515625" style="175" customWidth="1"/>
    <col min="15119" max="15119" width="8.85546875" style="175" customWidth="1"/>
    <col min="15120" max="15120" width="7.85546875" style="175" customWidth="1"/>
    <col min="15121" max="15121" width="8.140625" style="175" customWidth="1"/>
    <col min="15122" max="15130" width="6.5703125" style="175" bestFit="1" customWidth="1"/>
    <col min="15131" max="15131" width="6.42578125" style="175" customWidth="1"/>
    <col min="15132" max="15360" width="14" style="175"/>
    <col min="15361" max="15368" width="14" style="175" customWidth="1"/>
    <col min="15369" max="15369" width="14" style="175"/>
    <col min="15370" max="15372" width="4.85546875" style="175" customWidth="1"/>
    <col min="15373" max="15373" width="4.42578125" style="175" customWidth="1"/>
    <col min="15374" max="15374" width="8.28515625" style="175" customWidth="1"/>
    <col min="15375" max="15375" width="8.85546875" style="175" customWidth="1"/>
    <col min="15376" max="15376" width="7.85546875" style="175" customWidth="1"/>
    <col min="15377" max="15377" width="8.140625" style="175" customWidth="1"/>
    <col min="15378" max="15386" width="6.5703125" style="175" bestFit="1" customWidth="1"/>
    <col min="15387" max="15387" width="6.42578125" style="175" customWidth="1"/>
    <col min="15388" max="15616" width="14" style="175"/>
    <col min="15617" max="15624" width="14" style="175" customWidth="1"/>
    <col min="15625" max="15625" width="14" style="175"/>
    <col min="15626" max="15628" width="4.85546875" style="175" customWidth="1"/>
    <col min="15629" max="15629" width="4.42578125" style="175" customWidth="1"/>
    <col min="15630" max="15630" width="8.28515625" style="175" customWidth="1"/>
    <col min="15631" max="15631" width="8.85546875" style="175" customWidth="1"/>
    <col min="15632" max="15632" width="7.85546875" style="175" customWidth="1"/>
    <col min="15633" max="15633" width="8.140625" style="175" customWidth="1"/>
    <col min="15634" max="15642" width="6.5703125" style="175" bestFit="1" customWidth="1"/>
    <col min="15643" max="15643" width="6.42578125" style="175" customWidth="1"/>
    <col min="15644" max="15872" width="14" style="175"/>
    <col min="15873" max="15880" width="14" style="175" customWidth="1"/>
    <col min="15881" max="15881" width="14" style="175"/>
    <col min="15882" max="15884" width="4.85546875" style="175" customWidth="1"/>
    <col min="15885" max="15885" width="4.42578125" style="175" customWidth="1"/>
    <col min="15886" max="15886" width="8.28515625" style="175" customWidth="1"/>
    <col min="15887" max="15887" width="8.85546875" style="175" customWidth="1"/>
    <col min="15888" max="15888" width="7.85546875" style="175" customWidth="1"/>
    <col min="15889" max="15889" width="8.140625" style="175" customWidth="1"/>
    <col min="15890" max="15898" width="6.5703125" style="175" bestFit="1" customWidth="1"/>
    <col min="15899" max="15899" width="6.42578125" style="175" customWidth="1"/>
    <col min="15900" max="16128" width="14" style="175"/>
    <col min="16129" max="16136" width="14" style="175" customWidth="1"/>
    <col min="16137" max="16137" width="14" style="175"/>
    <col min="16138" max="16140" width="4.85546875" style="175" customWidth="1"/>
    <col min="16141" max="16141" width="4.42578125" style="175" customWidth="1"/>
    <col min="16142" max="16142" width="8.28515625" style="175" customWidth="1"/>
    <col min="16143" max="16143" width="8.85546875" style="175" customWidth="1"/>
    <col min="16144" max="16144" width="7.85546875" style="175" customWidth="1"/>
    <col min="16145" max="16145" width="8.140625" style="175" customWidth="1"/>
    <col min="16146" max="16154" width="6.5703125" style="175" bestFit="1" customWidth="1"/>
    <col min="16155" max="16155" width="6.42578125" style="175" customWidth="1"/>
    <col min="16156" max="16384" width="14" style="175"/>
  </cols>
  <sheetData>
    <row r="1" spans="1:28" ht="26.25">
      <c r="A1" s="62" t="s">
        <v>1045</v>
      </c>
      <c r="B1" s="62" t="s">
        <v>768</v>
      </c>
    </row>
    <row r="2" spans="1:28" ht="15.75" thickBot="1"/>
    <row r="3" spans="1:28" ht="15.75">
      <c r="A3" s="179" t="s">
        <v>1012</v>
      </c>
      <c r="B3" s="179"/>
      <c r="C3" s="179"/>
      <c r="D3" s="179"/>
      <c r="E3" s="179"/>
      <c r="F3" s="179"/>
      <c r="G3" s="179"/>
      <c r="H3" s="179"/>
      <c r="J3" s="180"/>
      <c r="K3" s="180"/>
      <c r="L3" s="180"/>
      <c r="M3" s="180"/>
      <c r="N3" s="180"/>
      <c r="O3" s="180"/>
      <c r="P3" s="180"/>
      <c r="Q3" s="180"/>
      <c r="R3" s="180"/>
      <c r="S3" s="180"/>
      <c r="T3" s="180"/>
      <c r="U3" s="180" t="s">
        <v>1013</v>
      </c>
      <c r="V3" s="180"/>
      <c r="W3" s="180"/>
      <c r="X3" s="180"/>
      <c r="Y3" s="180"/>
      <c r="Z3" s="180"/>
      <c r="AA3" s="180"/>
      <c r="AB3" s="180"/>
    </row>
    <row r="4" spans="1:28" ht="15.75">
      <c r="A4" s="181"/>
      <c r="B4" s="181"/>
      <c r="C4" s="181"/>
      <c r="D4" s="181"/>
      <c r="E4" s="181"/>
      <c r="F4" s="181"/>
      <c r="G4" s="181"/>
      <c r="H4" s="181"/>
      <c r="J4" s="182"/>
      <c r="K4" s="182"/>
      <c r="L4" s="182"/>
      <c r="M4" s="182"/>
      <c r="N4" s="182"/>
      <c r="O4" s="182"/>
      <c r="P4" s="182"/>
      <c r="Q4" s="182"/>
      <c r="R4" s="182"/>
      <c r="S4" s="182"/>
      <c r="T4" s="182"/>
      <c r="U4" s="182"/>
      <c r="V4" s="182"/>
      <c r="W4" s="182"/>
      <c r="X4" s="182"/>
      <c r="Y4" s="182"/>
      <c r="Z4" s="182"/>
      <c r="AA4" s="182"/>
    </row>
    <row r="5" spans="1:28" ht="16.5" thickBot="1">
      <c r="A5" s="183"/>
      <c r="B5" s="183"/>
      <c r="C5" s="183"/>
      <c r="D5" s="183"/>
      <c r="E5" s="183"/>
      <c r="F5" s="183"/>
      <c r="G5" s="183"/>
      <c r="H5" s="183"/>
      <c r="J5" s="184"/>
      <c r="K5" s="184"/>
      <c r="L5" s="184"/>
      <c r="M5" s="184"/>
      <c r="N5" s="184">
        <v>2</v>
      </c>
      <c r="O5" s="184">
        <v>4</v>
      </c>
      <c r="P5" s="184">
        <v>8</v>
      </c>
      <c r="Q5" s="184">
        <v>16</v>
      </c>
      <c r="R5" s="184">
        <v>31.5</v>
      </c>
      <c r="S5" s="184">
        <v>63</v>
      </c>
      <c r="T5" s="184">
        <v>125</v>
      </c>
      <c r="U5" s="184">
        <v>250</v>
      </c>
      <c r="V5" s="184">
        <v>500</v>
      </c>
      <c r="W5" s="184" t="s">
        <v>5</v>
      </c>
      <c r="X5" s="184" t="s">
        <v>6</v>
      </c>
      <c r="Y5" s="184" t="s">
        <v>9</v>
      </c>
      <c r="Z5" s="184" t="s">
        <v>12</v>
      </c>
      <c r="AA5" s="184" t="s">
        <v>13</v>
      </c>
    </row>
    <row r="6" spans="1:28" ht="15.75">
      <c r="A6" s="181"/>
      <c r="B6" s="181"/>
      <c r="C6" s="181"/>
      <c r="D6" s="181"/>
      <c r="E6" s="181"/>
      <c r="F6" s="181"/>
      <c r="G6" s="181"/>
      <c r="H6" s="181"/>
      <c r="J6" s="185"/>
      <c r="K6" s="185"/>
      <c r="L6" s="185"/>
      <c r="M6" s="185"/>
      <c r="N6" s="185"/>
      <c r="O6" s="185"/>
      <c r="P6" s="185"/>
      <c r="Q6" s="185"/>
      <c r="R6" s="185"/>
      <c r="S6" s="185"/>
      <c r="T6" s="185"/>
      <c r="U6" s="185"/>
      <c r="V6" s="185"/>
      <c r="W6" s="185"/>
      <c r="X6" s="185"/>
      <c r="Y6" s="185"/>
      <c r="Z6" s="185"/>
      <c r="AA6" s="185"/>
    </row>
    <row r="7" spans="1:28" ht="18.75">
      <c r="A7" s="181" t="s">
        <v>1046</v>
      </c>
      <c r="B7" s="181"/>
      <c r="C7" s="181"/>
      <c r="D7" s="181"/>
      <c r="E7" s="181"/>
      <c r="F7" s="181"/>
      <c r="G7" s="181"/>
      <c r="H7" s="181"/>
      <c r="J7" s="185"/>
      <c r="K7" s="185"/>
      <c r="L7" s="185"/>
      <c r="M7" s="185"/>
      <c r="N7" s="185"/>
      <c r="O7" s="185"/>
      <c r="P7" s="185"/>
      <c r="Q7" s="185"/>
      <c r="R7" s="185"/>
      <c r="S7" s="185"/>
      <c r="T7" s="185"/>
      <c r="U7" s="185"/>
      <c r="V7" s="185"/>
      <c r="W7" s="185"/>
      <c r="X7" s="185"/>
      <c r="Y7" s="185"/>
      <c r="Z7" s="185"/>
      <c r="AA7" s="185"/>
    </row>
    <row r="8" spans="1:28" ht="15.75">
      <c r="A8" s="181"/>
      <c r="B8" s="181"/>
      <c r="C8" s="181"/>
      <c r="D8" s="181"/>
      <c r="E8" s="181"/>
      <c r="F8" s="181"/>
      <c r="G8" s="181"/>
      <c r="H8" s="181"/>
      <c r="J8" s="185"/>
      <c r="K8" s="185"/>
      <c r="L8" s="185"/>
      <c r="M8" s="185"/>
      <c r="N8" s="185"/>
      <c r="O8" s="185"/>
      <c r="P8" s="185"/>
      <c r="Q8" s="185"/>
      <c r="R8" s="185"/>
      <c r="S8" s="185"/>
      <c r="T8" s="185"/>
      <c r="U8" s="185"/>
      <c r="V8" s="185"/>
      <c r="W8" s="185"/>
      <c r="X8" s="185"/>
      <c r="Y8" s="185"/>
      <c r="Z8" s="185"/>
      <c r="AA8" s="185"/>
    </row>
    <row r="9" spans="1:28" ht="15.75">
      <c r="A9" s="181" t="s">
        <v>1015</v>
      </c>
      <c r="B9" s="181"/>
      <c r="C9" s="181"/>
      <c r="D9" s="181"/>
      <c r="E9" s="181"/>
      <c r="F9" s="181"/>
      <c r="G9" s="181"/>
      <c r="H9" s="181"/>
      <c r="J9" s="185"/>
      <c r="K9" s="185"/>
      <c r="L9" s="185"/>
      <c r="M9" s="185"/>
      <c r="N9" s="185"/>
      <c r="O9" s="185"/>
      <c r="P9" s="185"/>
      <c r="Q9" s="185"/>
      <c r="R9" s="185"/>
      <c r="S9" s="185"/>
      <c r="T9" s="185"/>
      <c r="U9" s="185"/>
      <c r="V9" s="185"/>
      <c r="W9" s="185"/>
      <c r="X9" s="185"/>
      <c r="Y9" s="185"/>
      <c r="Z9" s="185"/>
      <c r="AA9" s="185"/>
    </row>
    <row r="10" spans="1:28" ht="15.75">
      <c r="A10" s="181" t="s">
        <v>1017</v>
      </c>
      <c r="B10" s="181"/>
      <c r="C10" s="181"/>
      <c r="D10" s="181"/>
      <c r="E10" s="181"/>
      <c r="F10" s="181"/>
      <c r="G10" s="181"/>
      <c r="H10" s="181"/>
      <c r="J10" s="185"/>
      <c r="K10" s="185"/>
      <c r="L10" s="185"/>
      <c r="M10" s="185"/>
      <c r="N10" s="185"/>
      <c r="O10" s="185"/>
      <c r="P10" s="185"/>
      <c r="Q10" s="185"/>
      <c r="R10" s="185"/>
      <c r="S10" s="185"/>
      <c r="T10" s="185"/>
      <c r="U10" s="185"/>
      <c r="V10" s="185"/>
      <c r="W10" s="185"/>
      <c r="X10" s="185"/>
      <c r="Y10" s="185"/>
      <c r="Z10" s="185"/>
      <c r="AA10" s="185"/>
    </row>
    <row r="11" spans="1:28">
      <c r="A11" s="186"/>
      <c r="B11" s="186"/>
      <c r="C11" s="186"/>
      <c r="D11" s="186"/>
      <c r="E11" s="186" t="s">
        <v>1016</v>
      </c>
      <c r="F11" s="186"/>
      <c r="G11" s="186"/>
      <c r="H11" s="186"/>
      <c r="J11" s="186"/>
      <c r="K11" s="186"/>
      <c r="L11" s="186"/>
      <c r="M11" s="186"/>
      <c r="N11" s="186">
        <v>20000</v>
      </c>
      <c r="O11" s="186">
        <v>10000</v>
      </c>
      <c r="P11" s="186">
        <v>5000</v>
      </c>
      <c r="Q11" s="186">
        <v>2000</v>
      </c>
      <c r="R11" s="186">
        <v>1000</v>
      </c>
      <c r="S11" s="186">
        <v>1000</v>
      </c>
      <c r="T11" s="186">
        <v>1000</v>
      </c>
      <c r="U11" s="186">
        <v>1000</v>
      </c>
      <c r="V11" s="186">
        <v>1000</v>
      </c>
      <c r="W11" s="186">
        <v>1000</v>
      </c>
      <c r="X11" s="186">
        <v>1000</v>
      </c>
      <c r="Y11" s="186">
        <v>1000</v>
      </c>
      <c r="Z11" s="186">
        <v>2000</v>
      </c>
      <c r="AA11" s="186">
        <v>2000</v>
      </c>
    </row>
    <row r="12" spans="1:28">
      <c r="A12" s="186"/>
      <c r="B12" s="186"/>
      <c r="C12" s="186"/>
      <c r="D12" s="186"/>
      <c r="E12" s="186"/>
      <c r="F12" s="186"/>
      <c r="G12" s="186"/>
      <c r="H12" s="186"/>
      <c r="J12" s="186"/>
      <c r="K12" s="186"/>
      <c r="L12" s="186"/>
      <c r="M12" s="186"/>
      <c r="N12" s="186"/>
      <c r="O12" s="186"/>
      <c r="P12" s="186"/>
      <c r="Q12" s="186"/>
      <c r="R12" s="186"/>
      <c r="S12" s="186"/>
      <c r="T12" s="186"/>
      <c r="U12" s="186"/>
      <c r="V12" s="186"/>
      <c r="W12" s="186"/>
      <c r="X12" s="186"/>
      <c r="Y12" s="186"/>
      <c r="Z12" s="186"/>
      <c r="AA12" s="186"/>
    </row>
    <row r="13" spans="1:28" ht="15.75" thickBot="1">
      <c r="A13" s="186"/>
      <c r="B13" s="186"/>
      <c r="C13" s="186"/>
      <c r="D13" s="186"/>
      <c r="E13" s="186"/>
      <c r="F13" s="186"/>
      <c r="G13" s="186"/>
      <c r="H13" s="186"/>
      <c r="J13" s="186"/>
      <c r="K13" s="186"/>
      <c r="L13" s="186"/>
      <c r="M13" s="186"/>
      <c r="N13" s="186"/>
      <c r="O13" s="186"/>
      <c r="P13" s="186"/>
      <c r="Q13" s="186"/>
      <c r="R13" s="186"/>
      <c r="S13" s="186"/>
      <c r="T13" s="186"/>
      <c r="U13" s="186"/>
      <c r="V13" s="186"/>
      <c r="W13" s="186"/>
      <c r="X13" s="186"/>
      <c r="Y13" s="186"/>
      <c r="Z13" s="186"/>
      <c r="AA13" s="186"/>
    </row>
    <row r="14" spans="1:28" ht="16.5" thickBot="1">
      <c r="A14" s="187" t="s">
        <v>1018</v>
      </c>
      <c r="B14" s="187"/>
      <c r="C14" s="187"/>
      <c r="D14" s="187"/>
      <c r="E14" s="187"/>
      <c r="F14" s="187"/>
      <c r="G14" s="187"/>
      <c r="H14" s="187"/>
      <c r="J14" s="188"/>
      <c r="K14" s="188"/>
      <c r="L14" s="188"/>
      <c r="M14" s="188"/>
      <c r="N14" s="188">
        <f>SQRT(SUMSQ(N11))</f>
        <v>20000</v>
      </c>
      <c r="O14" s="188">
        <f>SQRT(SUMSQ(O11))</f>
        <v>10000</v>
      </c>
      <c r="P14" s="188">
        <f>SQRT(SUMSQ(P11))</f>
        <v>5000</v>
      </c>
      <c r="Q14" s="188">
        <f>SQRT(SUMSQ(Q11))</f>
        <v>2000</v>
      </c>
      <c r="R14" s="188">
        <f>SQRT(SUMSQ(R11))</f>
        <v>1000</v>
      </c>
      <c r="S14" s="188">
        <f t="shared" ref="S14:AA14" si="0">SQRT(SUMSQ(S11))</f>
        <v>1000</v>
      </c>
      <c r="T14" s="188">
        <f t="shared" si="0"/>
        <v>1000</v>
      </c>
      <c r="U14" s="188">
        <f t="shared" si="0"/>
        <v>1000</v>
      </c>
      <c r="V14" s="188">
        <f t="shared" si="0"/>
        <v>1000</v>
      </c>
      <c r="W14" s="188">
        <f t="shared" si="0"/>
        <v>1000</v>
      </c>
      <c r="X14" s="188">
        <f t="shared" si="0"/>
        <v>1000</v>
      </c>
      <c r="Y14" s="188">
        <f t="shared" si="0"/>
        <v>1000</v>
      </c>
      <c r="Z14" s="188">
        <f t="shared" si="0"/>
        <v>2000</v>
      </c>
      <c r="AA14" s="188">
        <f t="shared" si="0"/>
        <v>2000</v>
      </c>
    </row>
    <row r="15" spans="1:28" ht="15.75">
      <c r="A15" s="181"/>
      <c r="B15" s="181"/>
      <c r="C15" s="181"/>
      <c r="D15" s="181"/>
      <c r="E15" s="181"/>
      <c r="F15" s="181"/>
      <c r="G15" s="181"/>
      <c r="H15" s="181"/>
      <c r="J15" s="185"/>
      <c r="K15" s="185"/>
      <c r="L15" s="185"/>
      <c r="M15" s="185"/>
      <c r="N15" s="185"/>
      <c r="O15" s="185"/>
      <c r="P15" s="185"/>
      <c r="Q15" s="185"/>
      <c r="R15" s="185"/>
      <c r="S15" s="185"/>
      <c r="T15" s="185"/>
      <c r="U15" s="185"/>
      <c r="V15" s="185"/>
      <c r="W15" s="185"/>
      <c r="X15" s="185"/>
      <c r="Y15" s="185"/>
      <c r="Z15" s="185"/>
      <c r="AA15" s="185"/>
    </row>
    <row r="16" spans="1:28" ht="15.75">
      <c r="A16" s="181"/>
      <c r="B16" s="181"/>
      <c r="C16" s="181"/>
      <c r="D16" s="181"/>
      <c r="E16" s="181"/>
      <c r="F16" s="181"/>
      <c r="G16" s="181"/>
      <c r="H16" s="181"/>
      <c r="J16" s="185"/>
      <c r="K16" s="185"/>
      <c r="L16" s="185"/>
      <c r="M16" s="185"/>
      <c r="N16" s="185"/>
      <c r="O16" s="185"/>
      <c r="P16" s="185"/>
      <c r="Q16" s="185"/>
      <c r="R16" s="185"/>
      <c r="S16" s="185"/>
      <c r="T16" s="185"/>
      <c r="U16" s="185"/>
      <c r="V16" s="185"/>
      <c r="W16" s="185"/>
      <c r="X16" s="185"/>
      <c r="Y16" s="185"/>
      <c r="Z16" s="185"/>
      <c r="AA16" s="185"/>
    </row>
    <row r="17" spans="1:27" ht="15.75">
      <c r="A17" s="181"/>
      <c r="B17" s="181"/>
      <c r="C17" s="181"/>
      <c r="D17" s="181"/>
      <c r="E17" s="181"/>
      <c r="F17" s="181"/>
      <c r="G17" s="181"/>
      <c r="H17" s="181"/>
      <c r="J17" s="185"/>
      <c r="K17" s="185"/>
      <c r="L17" s="185"/>
      <c r="M17" s="185"/>
      <c r="N17" s="185"/>
      <c r="O17" s="185"/>
      <c r="P17" s="185"/>
      <c r="Q17" s="185"/>
      <c r="R17" s="185"/>
      <c r="S17" s="185"/>
      <c r="T17" s="185"/>
      <c r="U17" s="185"/>
      <c r="V17" s="185"/>
      <c r="W17" s="185"/>
      <c r="X17" s="185"/>
      <c r="Y17" s="185"/>
      <c r="Z17" s="185"/>
      <c r="AA17" s="185"/>
    </row>
    <row r="18" spans="1:27" ht="15.75">
      <c r="A18" s="181"/>
      <c r="B18" s="181"/>
      <c r="C18" s="181"/>
      <c r="D18" s="181"/>
      <c r="E18" s="181"/>
      <c r="F18" s="181"/>
      <c r="G18" s="181"/>
      <c r="H18" s="181"/>
      <c r="J18" s="185"/>
      <c r="K18" s="185"/>
      <c r="L18" s="185"/>
      <c r="M18" s="185"/>
      <c r="N18" s="185"/>
      <c r="O18" s="185"/>
      <c r="P18" s="185"/>
      <c r="Q18" s="185"/>
      <c r="R18" s="185"/>
      <c r="S18" s="185"/>
      <c r="T18" s="185"/>
      <c r="U18" s="185"/>
      <c r="V18" s="185"/>
      <c r="W18" s="185"/>
      <c r="X18" s="185"/>
      <c r="Y18" s="185"/>
      <c r="Z18" s="185"/>
      <c r="AA18" s="185"/>
    </row>
    <row r="19" spans="1:27" ht="18.75">
      <c r="A19" s="181" t="s">
        <v>1047</v>
      </c>
      <c r="B19" s="181"/>
      <c r="C19" s="181"/>
      <c r="D19" s="181"/>
      <c r="E19" s="181"/>
      <c r="F19" s="181"/>
      <c r="G19" s="181"/>
      <c r="H19" s="181"/>
      <c r="J19" s="185"/>
      <c r="K19" s="185"/>
      <c r="L19" s="185"/>
      <c r="M19" s="185"/>
      <c r="N19" s="185"/>
      <c r="O19" s="185"/>
      <c r="P19" s="185"/>
      <c r="Q19" s="185"/>
      <c r="R19" s="185"/>
      <c r="S19" s="185"/>
      <c r="T19" s="185"/>
      <c r="U19" s="185"/>
      <c r="V19" s="185"/>
      <c r="W19" s="185"/>
      <c r="X19" s="185"/>
      <c r="Y19" s="185"/>
      <c r="Z19" s="185"/>
      <c r="AA19" s="185"/>
    </row>
    <row r="20" spans="1:27" ht="15.75">
      <c r="A20" s="181"/>
      <c r="B20" s="181"/>
      <c r="C20" s="181"/>
      <c r="D20" s="181"/>
      <c r="E20" s="181"/>
      <c r="F20" s="181"/>
      <c r="G20" s="181"/>
      <c r="H20" s="181"/>
      <c r="J20" s="185"/>
      <c r="K20" s="185"/>
      <c r="L20" s="185"/>
      <c r="M20" s="185"/>
      <c r="N20" s="185"/>
      <c r="O20" s="185"/>
      <c r="P20" s="185"/>
      <c r="Q20" s="185"/>
      <c r="R20" s="185"/>
      <c r="S20" s="185"/>
      <c r="T20" s="185"/>
      <c r="U20" s="185"/>
      <c r="V20" s="185"/>
      <c r="W20" s="185"/>
      <c r="X20" s="185"/>
      <c r="Y20" s="185"/>
      <c r="Z20" s="185"/>
      <c r="AA20" s="185"/>
    </row>
    <row r="21" spans="1:27" ht="15.75">
      <c r="A21" s="181" t="s">
        <v>1015</v>
      </c>
      <c r="B21" s="181"/>
      <c r="C21" s="181"/>
      <c r="D21" s="181"/>
      <c r="E21" s="181"/>
      <c r="F21" s="181"/>
      <c r="G21" s="181"/>
      <c r="H21" s="181"/>
      <c r="J21" s="185"/>
      <c r="K21" s="185"/>
      <c r="L21" s="185"/>
      <c r="M21" s="185"/>
      <c r="N21" s="185"/>
      <c r="O21" s="185"/>
      <c r="P21" s="185"/>
      <c r="Q21" s="185"/>
      <c r="R21" s="185"/>
      <c r="S21" s="185"/>
      <c r="T21" s="185"/>
      <c r="U21" s="185"/>
      <c r="V21" s="185"/>
      <c r="W21" s="185"/>
      <c r="X21" s="185"/>
      <c r="Y21" s="185"/>
      <c r="Z21" s="185"/>
      <c r="AA21" s="185"/>
    </row>
    <row r="22" spans="1:27" ht="15.75">
      <c r="A22" s="181" t="s">
        <v>1020</v>
      </c>
      <c r="B22" s="181"/>
      <c r="C22" s="181"/>
      <c r="D22" s="181"/>
      <c r="E22" s="181"/>
      <c r="F22" s="181"/>
      <c r="G22" s="181"/>
      <c r="H22" s="181"/>
      <c r="J22" s="185"/>
      <c r="K22" s="185"/>
      <c r="L22" s="185"/>
      <c r="M22" s="185"/>
      <c r="N22" s="185"/>
      <c r="O22" s="185"/>
      <c r="P22" s="185"/>
      <c r="Q22" s="185"/>
      <c r="R22" s="185"/>
      <c r="S22" s="185"/>
      <c r="T22" s="185"/>
      <c r="U22" s="185"/>
      <c r="V22" s="185"/>
      <c r="W22" s="185"/>
      <c r="X22" s="185"/>
      <c r="Y22" s="185"/>
      <c r="Z22" s="185"/>
      <c r="AA22" s="185"/>
    </row>
    <row r="23" spans="1:27" ht="15.75">
      <c r="A23" s="181"/>
      <c r="B23" s="181"/>
      <c r="C23" s="181"/>
      <c r="D23" s="181"/>
      <c r="E23" s="181"/>
      <c r="F23" s="181"/>
      <c r="G23" s="181"/>
      <c r="H23" s="181"/>
      <c r="J23" s="185"/>
      <c r="K23" s="185"/>
      <c r="L23" s="185"/>
      <c r="M23" s="185"/>
      <c r="N23" s="185"/>
      <c r="O23" s="185"/>
      <c r="P23" s="185"/>
      <c r="Q23" s="185"/>
      <c r="R23" s="185"/>
      <c r="S23" s="185"/>
      <c r="T23" s="185"/>
      <c r="U23" s="185"/>
      <c r="V23" s="185"/>
      <c r="W23" s="185"/>
      <c r="X23" s="185"/>
      <c r="Y23" s="185"/>
      <c r="Z23" s="185"/>
      <c r="AA23" s="185"/>
    </row>
    <row r="24" spans="1:27" ht="15.75">
      <c r="A24" s="186" t="s">
        <v>1021</v>
      </c>
      <c r="B24" s="186"/>
      <c r="C24" s="186"/>
      <c r="D24" s="186"/>
      <c r="E24" s="189" t="s">
        <v>1022</v>
      </c>
      <c r="F24" s="186"/>
      <c r="G24" s="186"/>
      <c r="H24" s="186"/>
      <c r="J24" s="186"/>
      <c r="K24" s="186"/>
      <c r="L24" s="186"/>
      <c r="M24" s="186"/>
      <c r="N24" s="186">
        <v>0</v>
      </c>
      <c r="O24" s="186">
        <v>0</v>
      </c>
      <c r="P24" s="186">
        <v>0</v>
      </c>
      <c r="Q24" s="186">
        <v>0</v>
      </c>
      <c r="R24" s="186">
        <v>0</v>
      </c>
      <c r="S24" s="186">
        <v>0</v>
      </c>
      <c r="T24" s="186">
        <v>0</v>
      </c>
      <c r="U24" s="186">
        <v>0</v>
      </c>
      <c r="V24" s="186">
        <v>0</v>
      </c>
      <c r="W24" s="186">
        <v>0</v>
      </c>
      <c r="X24" s="186">
        <v>0</v>
      </c>
      <c r="Y24" s="186">
        <v>0</v>
      </c>
      <c r="Z24" s="186">
        <v>0</v>
      </c>
      <c r="AA24" s="186">
        <v>0</v>
      </c>
    </row>
    <row r="25" spans="1:27">
      <c r="B25" s="186"/>
      <c r="C25" s="186"/>
      <c r="D25" s="186"/>
      <c r="E25" s="186" t="s">
        <v>1048</v>
      </c>
      <c r="F25" s="186"/>
      <c r="G25" s="186"/>
      <c r="H25" s="186"/>
      <c r="J25" s="186"/>
      <c r="K25" s="186"/>
      <c r="L25" s="186"/>
      <c r="M25" s="186"/>
      <c r="N25" s="186">
        <v>2000</v>
      </c>
      <c r="O25" s="186">
        <v>2000</v>
      </c>
      <c r="P25" s="186">
        <v>2000</v>
      </c>
      <c r="Q25" s="186">
        <v>2000</v>
      </c>
      <c r="R25" s="186">
        <v>2000</v>
      </c>
      <c r="S25" s="186">
        <v>2000</v>
      </c>
      <c r="T25" s="186">
        <v>2000</v>
      </c>
      <c r="U25" s="186">
        <v>2000</v>
      </c>
      <c r="V25" s="186">
        <v>2000</v>
      </c>
      <c r="W25" s="186">
        <v>2000</v>
      </c>
      <c r="X25" s="186">
        <v>2000</v>
      </c>
      <c r="Y25" s="186">
        <v>2000</v>
      </c>
      <c r="Z25" s="186">
        <v>2000</v>
      </c>
      <c r="AA25" s="186">
        <v>2000</v>
      </c>
    </row>
    <row r="26" spans="1:27">
      <c r="A26" s="186"/>
      <c r="B26" s="186"/>
      <c r="C26" s="186"/>
      <c r="D26" s="186"/>
      <c r="E26" s="186" t="s">
        <v>1024</v>
      </c>
      <c r="F26" s="186"/>
      <c r="G26" s="186"/>
      <c r="H26" s="186"/>
      <c r="J26" s="186"/>
      <c r="K26" s="186"/>
      <c r="L26" s="186"/>
      <c r="M26" s="186"/>
      <c r="N26" s="186">
        <v>0</v>
      </c>
      <c r="O26" s="186">
        <v>0</v>
      </c>
      <c r="P26" s="186">
        <v>0</v>
      </c>
      <c r="Q26" s="186">
        <v>0</v>
      </c>
      <c r="R26" s="186">
        <v>0</v>
      </c>
      <c r="S26" s="186">
        <v>0</v>
      </c>
      <c r="T26" s="186">
        <v>0</v>
      </c>
      <c r="U26" s="186">
        <v>0</v>
      </c>
      <c r="V26" s="186">
        <v>0</v>
      </c>
      <c r="W26" s="186">
        <v>0</v>
      </c>
      <c r="X26" s="186">
        <v>0</v>
      </c>
      <c r="Y26" s="186">
        <v>0</v>
      </c>
      <c r="Z26" s="186">
        <v>0</v>
      </c>
      <c r="AA26" s="186">
        <v>0</v>
      </c>
    </row>
    <row r="27" spans="1:27">
      <c r="A27" s="186"/>
      <c r="B27" s="186"/>
      <c r="C27" s="186"/>
      <c r="D27" s="186"/>
      <c r="E27" s="186"/>
      <c r="F27" s="186"/>
      <c r="G27" s="186"/>
      <c r="H27" s="186"/>
      <c r="J27" s="186"/>
      <c r="K27" s="186"/>
      <c r="L27" s="186"/>
      <c r="M27" s="186"/>
      <c r="N27" s="186"/>
      <c r="O27" s="186"/>
      <c r="P27" s="186"/>
      <c r="Q27" s="186"/>
      <c r="R27" s="186"/>
      <c r="S27" s="186"/>
      <c r="T27" s="186"/>
      <c r="U27" s="186"/>
      <c r="V27" s="186"/>
      <c r="W27" s="186"/>
      <c r="X27" s="186"/>
      <c r="Y27" s="186"/>
      <c r="Z27" s="186"/>
      <c r="AA27" s="186"/>
    </row>
    <row r="28" spans="1:27">
      <c r="A28" s="186" t="s">
        <v>1025</v>
      </c>
      <c r="B28" s="186"/>
      <c r="C28" s="186"/>
      <c r="D28" s="186"/>
      <c r="E28" s="186" t="s">
        <v>1049</v>
      </c>
      <c r="F28" s="186"/>
      <c r="G28" s="186"/>
      <c r="H28" s="186"/>
      <c r="J28" s="186"/>
      <c r="K28" s="186"/>
      <c r="L28" s="186"/>
      <c r="M28" s="186"/>
      <c r="N28" s="186">
        <v>10000</v>
      </c>
      <c r="O28" s="186">
        <v>5000</v>
      </c>
      <c r="P28" s="186">
        <v>2000</v>
      </c>
      <c r="Q28" s="186">
        <v>1500</v>
      </c>
      <c r="R28" s="186">
        <v>800</v>
      </c>
      <c r="S28" s="186">
        <v>500</v>
      </c>
      <c r="T28" s="186">
        <v>300</v>
      </c>
      <c r="U28" s="186">
        <v>200</v>
      </c>
      <c r="V28" s="186">
        <v>150</v>
      </c>
      <c r="W28" s="186">
        <v>500</v>
      </c>
      <c r="X28" s="186">
        <v>1000</v>
      </c>
      <c r="Y28" s="186">
        <v>2000</v>
      </c>
      <c r="Z28" s="186">
        <v>3000</v>
      </c>
      <c r="AA28" s="186">
        <v>5000</v>
      </c>
    </row>
    <row r="29" spans="1:27">
      <c r="A29" s="186"/>
      <c r="B29" s="186"/>
      <c r="C29" s="186"/>
      <c r="D29" s="186"/>
      <c r="E29" s="186" t="s">
        <v>985</v>
      </c>
      <c r="F29" s="186"/>
      <c r="G29" s="186"/>
      <c r="H29" s="186"/>
      <c r="J29" s="186"/>
      <c r="K29" s="186"/>
      <c r="L29" s="186"/>
      <c r="M29" s="186"/>
      <c r="N29" s="186">
        <v>50</v>
      </c>
      <c r="O29" s="186">
        <v>50</v>
      </c>
      <c r="P29" s="186">
        <v>50</v>
      </c>
      <c r="Q29" s="186">
        <v>50</v>
      </c>
      <c r="R29" s="186">
        <v>50</v>
      </c>
      <c r="S29" s="186">
        <v>50</v>
      </c>
      <c r="T29" s="186">
        <v>50</v>
      </c>
      <c r="U29" s="186">
        <v>50</v>
      </c>
      <c r="V29" s="186">
        <v>50</v>
      </c>
      <c r="W29" s="186">
        <v>50</v>
      </c>
      <c r="X29" s="186">
        <v>50</v>
      </c>
      <c r="Y29" s="186">
        <v>50</v>
      </c>
      <c r="Z29" s="186">
        <v>50</v>
      </c>
      <c r="AA29" s="186">
        <v>100</v>
      </c>
    </row>
    <row r="30" spans="1:27">
      <c r="A30" s="186"/>
      <c r="B30" s="186"/>
      <c r="C30" s="186"/>
      <c r="D30" s="186"/>
      <c r="E30" s="186"/>
      <c r="F30" s="186"/>
      <c r="G30" s="186"/>
      <c r="H30" s="186"/>
      <c r="J30" s="186"/>
      <c r="K30" s="186"/>
      <c r="L30" s="186"/>
      <c r="M30" s="186"/>
      <c r="N30" s="186"/>
      <c r="O30" s="186"/>
      <c r="P30" s="186"/>
      <c r="Q30" s="186"/>
      <c r="R30" s="186"/>
      <c r="S30" s="186"/>
      <c r="T30" s="186"/>
      <c r="U30" s="186"/>
      <c r="V30" s="186"/>
      <c r="W30" s="186"/>
      <c r="X30" s="186"/>
      <c r="Y30" s="186"/>
      <c r="Z30" s="186"/>
      <c r="AA30" s="186"/>
    </row>
    <row r="31" spans="1:27" ht="15.75">
      <c r="A31" s="189" t="s">
        <v>1027</v>
      </c>
      <c r="B31" s="186"/>
      <c r="C31" s="186"/>
      <c r="D31" s="186"/>
      <c r="E31" s="189" t="s">
        <v>1028</v>
      </c>
      <c r="F31" s="186"/>
      <c r="G31" s="186"/>
      <c r="H31" s="186"/>
      <c r="J31" s="186"/>
      <c r="K31" s="186"/>
      <c r="L31" s="186"/>
      <c r="M31" s="186"/>
      <c r="N31" s="186">
        <v>400</v>
      </c>
      <c r="O31" s="186">
        <v>300</v>
      </c>
      <c r="P31" s="186">
        <v>200</v>
      </c>
      <c r="Q31" s="186">
        <v>150</v>
      </c>
      <c r="R31" s="186">
        <v>100</v>
      </c>
      <c r="S31" s="186">
        <v>70</v>
      </c>
      <c r="T31" s="186">
        <v>50</v>
      </c>
      <c r="U31" s="186">
        <v>40</v>
      </c>
      <c r="V31" s="186">
        <v>40</v>
      </c>
      <c r="W31" s="186">
        <v>40</v>
      </c>
      <c r="X31" s="186">
        <v>40</v>
      </c>
      <c r="Y31" s="186">
        <v>40</v>
      </c>
      <c r="Z31" s="186">
        <v>40</v>
      </c>
      <c r="AA31" s="186">
        <v>70</v>
      </c>
    </row>
    <row r="32" spans="1:27">
      <c r="A32" s="186"/>
      <c r="B32" s="186"/>
      <c r="C32" s="186"/>
      <c r="D32" s="186"/>
      <c r="E32" s="186" t="s">
        <v>1029</v>
      </c>
      <c r="F32" s="186"/>
      <c r="G32" s="186"/>
      <c r="H32" s="186"/>
      <c r="J32" s="186"/>
      <c r="K32" s="186"/>
      <c r="L32" s="186"/>
      <c r="M32" s="186"/>
      <c r="N32" s="186">
        <v>5000</v>
      </c>
      <c r="O32" s="186">
        <v>3000</v>
      </c>
      <c r="P32" s="186">
        <v>2000</v>
      </c>
      <c r="Q32" s="186">
        <v>1500</v>
      </c>
      <c r="R32" s="186">
        <v>1000</v>
      </c>
      <c r="S32" s="186">
        <v>1000</v>
      </c>
      <c r="T32" s="186">
        <v>600</v>
      </c>
      <c r="U32" s="186">
        <v>400</v>
      </c>
      <c r="V32" s="186">
        <v>300</v>
      </c>
      <c r="W32" s="186">
        <v>300</v>
      </c>
      <c r="X32" s="186">
        <v>200</v>
      </c>
      <c r="Y32" s="186">
        <v>100</v>
      </c>
      <c r="Z32" s="186">
        <v>100</v>
      </c>
      <c r="AA32" s="186">
        <v>100</v>
      </c>
    </row>
    <row r="33" spans="1:27">
      <c r="A33" s="186"/>
      <c r="B33" s="186"/>
      <c r="C33" s="186"/>
      <c r="D33" s="186"/>
      <c r="E33" s="186"/>
      <c r="F33" s="186"/>
      <c r="G33" s="186"/>
      <c r="H33" s="186"/>
      <c r="J33" s="186"/>
      <c r="K33" s="186"/>
      <c r="L33" s="186"/>
      <c r="M33" s="186"/>
      <c r="N33" s="186"/>
      <c r="O33" s="186"/>
      <c r="P33" s="186"/>
      <c r="Q33" s="186"/>
      <c r="R33" s="186"/>
      <c r="S33" s="186"/>
      <c r="T33" s="186"/>
      <c r="U33" s="186"/>
      <c r="V33" s="186"/>
      <c r="W33" s="186"/>
      <c r="X33" s="186"/>
      <c r="Y33" s="186"/>
      <c r="Z33" s="186"/>
      <c r="AA33" s="186"/>
    </row>
    <row r="34" spans="1:27">
      <c r="A34" s="186" t="s">
        <v>1030</v>
      </c>
      <c r="B34" s="186"/>
      <c r="C34" s="186"/>
      <c r="D34" s="186"/>
      <c r="E34" s="186" t="s">
        <v>1031</v>
      </c>
      <c r="F34" s="186"/>
      <c r="G34" s="186"/>
      <c r="H34" s="186"/>
      <c r="J34" s="186"/>
      <c r="K34" s="186"/>
      <c r="L34" s="186"/>
      <c r="M34" s="186"/>
      <c r="N34" s="186">
        <v>0</v>
      </c>
      <c r="O34" s="186">
        <v>0</v>
      </c>
      <c r="P34" s="186">
        <v>0</v>
      </c>
      <c r="Q34" s="186">
        <v>0</v>
      </c>
      <c r="R34" s="186">
        <v>0</v>
      </c>
      <c r="S34" s="186">
        <v>0</v>
      </c>
      <c r="T34" s="186">
        <v>0</v>
      </c>
      <c r="U34" s="186">
        <v>0</v>
      </c>
      <c r="V34" s="186">
        <v>0</v>
      </c>
      <c r="W34" s="186">
        <v>0</v>
      </c>
      <c r="X34" s="186">
        <v>0</v>
      </c>
      <c r="Y34" s="186">
        <v>0</v>
      </c>
      <c r="Z34" s="186">
        <v>75</v>
      </c>
      <c r="AA34" s="186">
        <v>100</v>
      </c>
    </row>
    <row r="35" spans="1:27">
      <c r="A35" s="186"/>
      <c r="B35" s="186"/>
      <c r="C35" s="186"/>
      <c r="D35" s="186"/>
      <c r="E35" s="186" t="s">
        <v>1032</v>
      </c>
      <c r="F35" s="186"/>
      <c r="G35" s="186"/>
      <c r="H35" s="186"/>
      <c r="J35" s="186"/>
      <c r="K35" s="186"/>
      <c r="L35" s="186"/>
      <c r="M35" s="186"/>
      <c r="N35" s="186">
        <v>0</v>
      </c>
      <c r="O35" s="186">
        <v>0</v>
      </c>
      <c r="P35" s="186">
        <v>0</v>
      </c>
      <c r="Q35" s="186">
        <v>0</v>
      </c>
      <c r="R35" s="186">
        <v>0</v>
      </c>
      <c r="S35" s="186">
        <v>0</v>
      </c>
      <c r="T35" s="186">
        <v>0</v>
      </c>
      <c r="U35" s="186">
        <v>0</v>
      </c>
      <c r="V35" s="186">
        <v>0</v>
      </c>
      <c r="W35" s="186">
        <v>0</v>
      </c>
      <c r="X35" s="186">
        <v>0</v>
      </c>
      <c r="Y35" s="186">
        <v>0</v>
      </c>
      <c r="Z35" s="186">
        <v>75</v>
      </c>
      <c r="AA35" s="186">
        <v>100</v>
      </c>
    </row>
    <row r="36" spans="1:27">
      <c r="A36" s="186"/>
      <c r="B36" s="186"/>
      <c r="C36" s="186"/>
      <c r="D36" s="186"/>
      <c r="E36" s="186" t="s">
        <v>1033</v>
      </c>
      <c r="F36" s="186"/>
      <c r="G36" s="186"/>
      <c r="H36" s="186"/>
      <c r="J36" s="186"/>
      <c r="K36" s="186"/>
      <c r="L36" s="186"/>
      <c r="M36" s="186"/>
      <c r="N36" s="186">
        <v>2000</v>
      </c>
      <c r="O36" s="186">
        <v>1000</v>
      </c>
      <c r="P36" s="186">
        <v>600</v>
      </c>
      <c r="Q36" s="186">
        <v>300</v>
      </c>
      <c r="R36" s="186">
        <v>100</v>
      </c>
      <c r="S36" s="186">
        <v>75</v>
      </c>
      <c r="T36" s="186">
        <v>50</v>
      </c>
      <c r="U36" s="186">
        <v>20</v>
      </c>
      <c r="V36" s="186">
        <v>10</v>
      </c>
      <c r="W36" s="186">
        <v>0</v>
      </c>
      <c r="X36" s="186">
        <v>0</v>
      </c>
      <c r="Y36" s="186">
        <v>0</v>
      </c>
      <c r="Z36" s="186">
        <v>0</v>
      </c>
      <c r="AA36" s="186">
        <v>0</v>
      </c>
    </row>
    <row r="37" spans="1:27">
      <c r="A37" s="186"/>
      <c r="B37" s="186"/>
      <c r="C37" s="186"/>
      <c r="D37" s="186"/>
      <c r="E37" s="186"/>
      <c r="F37" s="186"/>
      <c r="G37" s="186"/>
      <c r="H37" s="186"/>
      <c r="J37" s="186"/>
      <c r="K37" s="186"/>
      <c r="L37" s="186"/>
      <c r="M37" s="186"/>
      <c r="N37" s="186"/>
      <c r="O37" s="186"/>
      <c r="P37" s="186"/>
      <c r="Q37" s="186"/>
      <c r="R37" s="186"/>
      <c r="S37" s="186"/>
      <c r="T37" s="186"/>
      <c r="U37" s="186"/>
      <c r="V37" s="186"/>
      <c r="W37" s="186"/>
      <c r="X37" s="186"/>
      <c r="Y37" s="186"/>
      <c r="Z37" s="186"/>
      <c r="AA37" s="186"/>
    </row>
    <row r="38" spans="1:27">
      <c r="A38" s="186" t="s">
        <v>1034</v>
      </c>
      <c r="B38" s="186"/>
      <c r="C38" s="186"/>
      <c r="D38" s="186"/>
      <c r="E38" s="186" t="s">
        <v>998</v>
      </c>
      <c r="F38" s="186"/>
      <c r="G38" s="186"/>
      <c r="H38" s="186"/>
      <c r="J38" s="186"/>
      <c r="K38" s="186"/>
      <c r="L38" s="186"/>
      <c r="M38" s="186"/>
      <c r="N38" s="186">
        <v>50</v>
      </c>
      <c r="O38" s="186">
        <v>50</v>
      </c>
      <c r="P38" s="186">
        <v>50</v>
      </c>
      <c r="Q38" s="186">
        <v>50</v>
      </c>
      <c r="R38" s="186">
        <v>50</v>
      </c>
      <c r="S38" s="186">
        <v>50</v>
      </c>
      <c r="T38" s="186">
        <v>50</v>
      </c>
      <c r="U38" s="186">
        <v>50</v>
      </c>
      <c r="V38" s="186">
        <v>50</v>
      </c>
      <c r="W38" s="186">
        <v>50</v>
      </c>
      <c r="X38" s="186">
        <v>50</v>
      </c>
      <c r="Y38" s="186">
        <v>300</v>
      </c>
      <c r="Z38" s="186">
        <v>500</v>
      </c>
      <c r="AA38" s="186">
        <v>500</v>
      </c>
    </row>
    <row r="39" spans="1:27">
      <c r="A39" s="186"/>
      <c r="B39" s="186"/>
      <c r="C39" s="186"/>
      <c r="D39" s="186"/>
      <c r="E39" s="186" t="s">
        <v>37</v>
      </c>
      <c r="F39" s="186"/>
      <c r="G39" s="186"/>
      <c r="H39" s="186"/>
      <c r="J39" s="186"/>
      <c r="K39" s="186"/>
      <c r="L39" s="186"/>
      <c r="M39" s="186"/>
      <c r="N39" s="186">
        <v>50</v>
      </c>
      <c r="O39" s="186">
        <v>50</v>
      </c>
      <c r="P39" s="186">
        <v>50</v>
      </c>
      <c r="Q39" s="186">
        <v>50</v>
      </c>
      <c r="R39" s="186">
        <v>50</v>
      </c>
      <c r="S39" s="186">
        <v>50</v>
      </c>
      <c r="T39" s="186">
        <v>50</v>
      </c>
      <c r="U39" s="186">
        <v>50</v>
      </c>
      <c r="V39" s="186">
        <v>50</v>
      </c>
      <c r="W39" s="186">
        <v>50</v>
      </c>
      <c r="X39" s="186">
        <v>50</v>
      </c>
      <c r="Y39" s="186">
        <v>50</v>
      </c>
      <c r="Z39" s="186">
        <v>50</v>
      </c>
      <c r="AA39" s="186">
        <v>100</v>
      </c>
    </row>
    <row r="40" spans="1:27">
      <c r="A40" s="186"/>
      <c r="B40" s="186"/>
      <c r="C40" s="186"/>
      <c r="D40" s="186"/>
      <c r="E40" s="186"/>
      <c r="F40" s="186"/>
      <c r="G40" s="186"/>
      <c r="H40" s="186"/>
      <c r="J40" s="186"/>
      <c r="K40" s="186"/>
      <c r="L40" s="186"/>
      <c r="M40" s="186"/>
      <c r="N40" s="186"/>
      <c r="O40" s="186"/>
      <c r="P40" s="186"/>
      <c r="Q40" s="186"/>
      <c r="R40" s="186"/>
      <c r="S40" s="186"/>
      <c r="T40" s="186"/>
      <c r="U40" s="186"/>
      <c r="V40" s="186"/>
      <c r="W40" s="186"/>
      <c r="X40" s="186"/>
      <c r="Y40" s="186"/>
      <c r="Z40" s="186"/>
      <c r="AA40" s="186"/>
    </row>
    <row r="41" spans="1:27">
      <c r="A41" s="186" t="s">
        <v>1035</v>
      </c>
      <c r="B41" s="186"/>
      <c r="C41" s="186"/>
      <c r="D41" s="186"/>
      <c r="E41" s="186" t="s">
        <v>998</v>
      </c>
      <c r="F41" s="186"/>
      <c r="G41" s="186"/>
      <c r="H41" s="186"/>
      <c r="J41" s="186"/>
      <c r="K41" s="186"/>
      <c r="L41" s="186"/>
      <c r="M41" s="186"/>
      <c r="N41" s="186">
        <v>10</v>
      </c>
      <c r="O41" s="186">
        <v>10</v>
      </c>
      <c r="P41" s="186">
        <v>10</v>
      </c>
      <c r="Q41" s="186">
        <v>10</v>
      </c>
      <c r="R41" s="186">
        <v>10</v>
      </c>
      <c r="S41" s="186">
        <v>10</v>
      </c>
      <c r="T41" s="186">
        <v>10</v>
      </c>
      <c r="U41" s="186">
        <v>10</v>
      </c>
      <c r="V41" s="186">
        <v>10</v>
      </c>
      <c r="W41" s="186">
        <v>10</v>
      </c>
      <c r="X41" s="186">
        <v>10</v>
      </c>
      <c r="Y41" s="186">
        <v>10</v>
      </c>
      <c r="Z41" s="186">
        <v>30</v>
      </c>
      <c r="AA41" s="186">
        <v>150</v>
      </c>
    </row>
    <row r="42" spans="1:27">
      <c r="A42" s="186"/>
      <c r="B42" s="186"/>
      <c r="C42" s="186"/>
      <c r="D42" s="186"/>
      <c r="E42" s="186" t="s">
        <v>37</v>
      </c>
      <c r="F42" s="186"/>
      <c r="G42" s="186"/>
      <c r="H42" s="186"/>
      <c r="J42" s="186"/>
      <c r="K42" s="186"/>
      <c r="L42" s="186"/>
      <c r="M42" s="186"/>
      <c r="N42" s="186">
        <v>50</v>
      </c>
      <c r="O42" s="186">
        <v>50</v>
      </c>
      <c r="P42" s="186">
        <v>50</v>
      </c>
      <c r="Q42" s="186">
        <v>50</v>
      </c>
      <c r="R42" s="186">
        <v>20</v>
      </c>
      <c r="S42" s="186">
        <v>20</v>
      </c>
      <c r="T42" s="186">
        <v>20</v>
      </c>
      <c r="U42" s="186">
        <v>20</v>
      </c>
      <c r="V42" s="186">
        <v>20</v>
      </c>
      <c r="W42" s="186">
        <v>20</v>
      </c>
      <c r="X42" s="186">
        <v>20</v>
      </c>
      <c r="Y42" s="186">
        <v>20</v>
      </c>
      <c r="Z42" s="186">
        <v>80</v>
      </c>
      <c r="AA42" s="186">
        <v>100</v>
      </c>
    </row>
    <row r="43" spans="1:27">
      <c r="A43" s="186"/>
      <c r="B43" s="186"/>
      <c r="C43" s="186"/>
      <c r="D43" s="186"/>
      <c r="E43" s="186" t="s">
        <v>1036</v>
      </c>
      <c r="F43" s="186"/>
      <c r="G43" s="186"/>
      <c r="H43" s="186"/>
      <c r="J43" s="186"/>
      <c r="K43" s="186"/>
      <c r="L43" s="186"/>
      <c r="M43" s="186"/>
      <c r="N43" s="186">
        <v>10</v>
      </c>
      <c r="O43" s="186">
        <v>10</v>
      </c>
      <c r="P43" s="186">
        <v>10</v>
      </c>
      <c r="Q43" s="186">
        <v>10</v>
      </c>
      <c r="R43" s="186">
        <v>10</v>
      </c>
      <c r="S43" s="186">
        <v>10</v>
      </c>
      <c r="T43" s="186">
        <v>10</v>
      </c>
      <c r="U43" s="186">
        <v>10</v>
      </c>
      <c r="V43" s="186">
        <v>10</v>
      </c>
      <c r="W43" s="186">
        <v>10</v>
      </c>
      <c r="X43" s="186">
        <v>10</v>
      </c>
      <c r="Y43" s="186">
        <v>10</v>
      </c>
      <c r="Z43" s="186">
        <v>20</v>
      </c>
      <c r="AA43" s="186">
        <v>30</v>
      </c>
    </row>
    <row r="44" spans="1:27">
      <c r="A44" s="186"/>
      <c r="B44" s="186"/>
      <c r="C44" s="186"/>
      <c r="D44" s="186"/>
      <c r="E44" s="186"/>
      <c r="F44" s="186"/>
      <c r="G44" s="186"/>
      <c r="H44" s="186"/>
      <c r="J44" s="186"/>
      <c r="K44" s="186"/>
      <c r="L44" s="186"/>
      <c r="M44" s="186"/>
      <c r="N44" s="186"/>
      <c r="O44" s="186"/>
      <c r="P44" s="186"/>
      <c r="Q44" s="186"/>
      <c r="R44" s="186"/>
      <c r="S44" s="186"/>
      <c r="T44" s="186"/>
      <c r="U44" s="186"/>
      <c r="V44" s="186"/>
      <c r="W44" s="186"/>
      <c r="X44" s="186"/>
      <c r="Y44" s="186"/>
      <c r="Z44" s="186"/>
      <c r="AA44" s="186"/>
    </row>
    <row r="45" spans="1:27">
      <c r="A45" s="186" t="s">
        <v>1037</v>
      </c>
      <c r="B45" s="186"/>
      <c r="C45" s="186"/>
      <c r="D45" s="186"/>
      <c r="E45" s="186"/>
      <c r="F45" s="186"/>
      <c r="G45" s="186"/>
      <c r="H45" s="186"/>
      <c r="J45" s="186"/>
      <c r="K45" s="186"/>
      <c r="L45" s="186"/>
      <c r="M45" s="186"/>
      <c r="N45" s="186">
        <v>2000</v>
      </c>
      <c r="O45" s="186">
        <v>1500</v>
      </c>
      <c r="P45" s="186">
        <v>1000</v>
      </c>
      <c r="Q45" s="186">
        <v>1000</v>
      </c>
      <c r="R45" s="186">
        <v>500</v>
      </c>
      <c r="S45" s="186">
        <v>300</v>
      </c>
      <c r="T45" s="186">
        <v>300</v>
      </c>
      <c r="U45" s="186">
        <v>300</v>
      </c>
      <c r="V45" s="186">
        <v>100</v>
      </c>
      <c r="W45" s="186">
        <v>100</v>
      </c>
      <c r="X45" s="186">
        <v>100</v>
      </c>
      <c r="Y45" s="186">
        <v>100</v>
      </c>
      <c r="Z45" s="186">
        <v>100</v>
      </c>
      <c r="AA45" s="186">
        <v>100</v>
      </c>
    </row>
    <row r="46" spans="1:27">
      <c r="A46" s="186"/>
      <c r="B46" s="186"/>
      <c r="C46" s="186"/>
      <c r="D46" s="186"/>
      <c r="E46" s="186"/>
      <c r="F46" s="186"/>
      <c r="G46" s="186"/>
      <c r="H46" s="186"/>
      <c r="J46" s="186"/>
      <c r="K46" s="186"/>
      <c r="L46" s="186"/>
      <c r="M46" s="186"/>
      <c r="N46" s="186"/>
      <c r="O46" s="186"/>
      <c r="P46" s="186"/>
      <c r="Q46" s="186"/>
      <c r="R46" s="186"/>
      <c r="S46" s="186"/>
      <c r="T46" s="186"/>
      <c r="U46" s="186"/>
      <c r="V46" s="186"/>
      <c r="W46" s="186"/>
      <c r="X46" s="186"/>
      <c r="Y46" s="186"/>
      <c r="Z46" s="186"/>
      <c r="AA46" s="186"/>
    </row>
    <row r="47" spans="1:27">
      <c r="A47" s="186"/>
      <c r="B47" s="186"/>
      <c r="C47" s="186"/>
      <c r="D47" s="186"/>
      <c r="E47" s="186"/>
      <c r="F47" s="186"/>
      <c r="G47" s="186"/>
      <c r="H47" s="186"/>
      <c r="J47" s="186"/>
      <c r="K47" s="186"/>
      <c r="L47" s="186"/>
      <c r="M47" s="186"/>
      <c r="N47" s="186"/>
      <c r="O47" s="186"/>
      <c r="P47" s="186"/>
      <c r="Q47" s="186"/>
      <c r="R47" s="186"/>
      <c r="S47" s="186"/>
      <c r="T47" s="186"/>
      <c r="U47" s="186"/>
      <c r="V47" s="186"/>
      <c r="W47" s="186"/>
      <c r="X47" s="186"/>
      <c r="Y47" s="186"/>
      <c r="Z47" s="186"/>
      <c r="AA47" s="186"/>
    </row>
    <row r="48" spans="1:27">
      <c r="A48" s="186"/>
      <c r="B48" s="186"/>
      <c r="C48" s="186"/>
      <c r="D48" s="186"/>
      <c r="E48" s="186"/>
      <c r="F48" s="186"/>
      <c r="G48" s="186"/>
      <c r="H48" s="186"/>
      <c r="J48" s="186"/>
      <c r="K48" s="186"/>
      <c r="L48" s="186"/>
      <c r="M48" s="186"/>
      <c r="N48" s="186"/>
      <c r="O48" s="186"/>
      <c r="P48" s="186"/>
      <c r="Q48" s="186"/>
      <c r="R48" s="186"/>
      <c r="S48" s="186"/>
      <c r="T48" s="186"/>
      <c r="U48" s="186"/>
      <c r="V48" s="186"/>
      <c r="W48" s="186"/>
      <c r="X48" s="186"/>
      <c r="Y48" s="186"/>
      <c r="Z48" s="186"/>
      <c r="AA48" s="186"/>
    </row>
    <row r="49" spans="1:27">
      <c r="A49" s="186" t="s">
        <v>1005</v>
      </c>
      <c r="B49" s="186"/>
      <c r="C49" s="186"/>
      <c r="D49" s="186"/>
      <c r="E49" s="186"/>
      <c r="F49" s="186"/>
      <c r="G49" s="186"/>
      <c r="H49" s="186"/>
      <c r="J49" s="186"/>
      <c r="K49" s="186"/>
      <c r="L49" s="186"/>
      <c r="M49" s="186"/>
      <c r="N49" s="186">
        <v>500</v>
      </c>
      <c r="O49" s="186">
        <v>500</v>
      </c>
      <c r="P49" s="186">
        <v>500</v>
      </c>
      <c r="Q49" s="186">
        <v>500</v>
      </c>
      <c r="R49" s="186">
        <v>500</v>
      </c>
      <c r="S49" s="186">
        <v>500</v>
      </c>
      <c r="T49" s="186">
        <v>500</v>
      </c>
      <c r="U49" s="186">
        <v>500</v>
      </c>
      <c r="V49" s="186">
        <v>500</v>
      </c>
      <c r="W49" s="186">
        <v>500</v>
      </c>
      <c r="X49" s="186">
        <v>500</v>
      </c>
      <c r="Y49" s="186">
        <v>500</v>
      </c>
      <c r="Z49" s="186">
        <v>500</v>
      </c>
      <c r="AA49" s="186">
        <v>500</v>
      </c>
    </row>
    <row r="50" spans="1:27" ht="16.5" thickBot="1">
      <c r="A50" s="181"/>
      <c r="B50" s="181"/>
      <c r="C50" s="181"/>
      <c r="D50" s="181"/>
      <c r="E50" s="181"/>
      <c r="F50" s="181"/>
      <c r="G50" s="181"/>
      <c r="H50" s="181"/>
      <c r="J50" s="185"/>
      <c r="K50" s="185"/>
      <c r="L50" s="185"/>
      <c r="M50" s="185"/>
      <c r="N50" s="185"/>
      <c r="O50" s="185"/>
      <c r="P50" s="185"/>
      <c r="Q50" s="185"/>
      <c r="R50" s="185"/>
      <c r="S50" s="185"/>
      <c r="T50" s="185"/>
      <c r="U50" s="185"/>
      <c r="V50" s="185"/>
      <c r="W50" s="185"/>
      <c r="X50" s="185"/>
      <c r="Y50" s="185"/>
      <c r="Z50" s="185"/>
      <c r="AA50" s="185"/>
    </row>
    <row r="51" spans="1:27" ht="16.5" thickBot="1">
      <c r="A51" s="187" t="s">
        <v>1038</v>
      </c>
      <c r="B51" s="187"/>
      <c r="C51" s="187"/>
      <c r="D51" s="187"/>
      <c r="E51" s="187"/>
      <c r="F51" s="187"/>
      <c r="G51" s="187"/>
      <c r="H51" s="187"/>
      <c r="J51" s="190"/>
      <c r="K51" s="190"/>
      <c r="L51" s="190"/>
      <c r="M51" s="190"/>
      <c r="N51" s="190">
        <f>SQRT(SUMSQ(N24:N50)/3)</f>
        <v>6768.0671785476052</v>
      </c>
      <c r="O51" s="190">
        <f t="shared" ref="O51:AA51" si="1">SQRT(SUMSQ(O24:O50)/3)</f>
        <v>3723.8062964302176</v>
      </c>
      <c r="P51" s="190">
        <f t="shared" si="1"/>
        <v>2133.8697242334174</v>
      </c>
      <c r="Q51" s="190">
        <f t="shared" si="1"/>
        <v>1814.0837907880662</v>
      </c>
      <c r="R51" s="190">
        <f t="shared" si="1"/>
        <v>1433.8874897750288</v>
      </c>
      <c r="S51" s="190">
        <f t="shared" si="1"/>
        <v>1367.3118395840308</v>
      </c>
      <c r="T51" s="190">
        <f t="shared" si="1"/>
        <v>1265.3194590036674</v>
      </c>
      <c r="U51" s="190">
        <f t="shared" si="1"/>
        <v>1231.5437466854355</v>
      </c>
      <c r="V51" s="190">
        <f t="shared" si="1"/>
        <v>1208.6218046463778</v>
      </c>
      <c r="W51" s="190">
        <f t="shared" si="1"/>
        <v>1239.5832633053201</v>
      </c>
      <c r="X51" s="190">
        <f t="shared" si="1"/>
        <v>1330.3758867327685</v>
      </c>
      <c r="Y51" s="190">
        <f t="shared" si="1"/>
        <v>1670.0498994541051</v>
      </c>
      <c r="Z51" s="190">
        <f t="shared" si="1"/>
        <v>2124.8960758901439</v>
      </c>
      <c r="AA51" s="190">
        <f t="shared" si="1"/>
        <v>3141.0348613156143</v>
      </c>
    </row>
    <row r="52" spans="1:27" ht="15.75">
      <c r="A52" s="181"/>
      <c r="B52" s="181"/>
      <c r="C52" s="181"/>
      <c r="D52" s="181"/>
      <c r="E52" s="181"/>
      <c r="F52" s="181"/>
      <c r="G52" s="181"/>
      <c r="H52" s="181"/>
      <c r="J52" s="185"/>
      <c r="K52" s="185"/>
      <c r="L52" s="185"/>
      <c r="M52" s="185"/>
      <c r="N52" s="185"/>
      <c r="O52" s="185"/>
      <c r="P52" s="185"/>
      <c r="Q52" s="185"/>
      <c r="R52" s="185"/>
      <c r="S52" s="185"/>
      <c r="T52" s="185"/>
      <c r="U52" s="185"/>
      <c r="V52" s="185"/>
      <c r="W52" s="185"/>
      <c r="X52" s="185"/>
      <c r="Y52" s="185"/>
      <c r="Z52" s="185"/>
      <c r="AA52" s="185"/>
    </row>
    <row r="53" spans="1:27" ht="18.75">
      <c r="A53" s="181" t="s">
        <v>1050</v>
      </c>
      <c r="B53" s="181"/>
      <c r="C53" s="181"/>
      <c r="D53" s="181"/>
      <c r="E53" s="181"/>
      <c r="F53" s="181"/>
      <c r="G53" s="181"/>
      <c r="H53" s="181"/>
      <c r="J53" s="185"/>
      <c r="K53" s="185"/>
      <c r="L53" s="185"/>
      <c r="M53" s="185"/>
      <c r="N53" s="185"/>
      <c r="O53" s="185"/>
      <c r="P53" s="185"/>
      <c r="Q53" s="185"/>
      <c r="R53" s="185"/>
      <c r="S53" s="185"/>
      <c r="T53" s="185"/>
      <c r="U53" s="185"/>
      <c r="V53" s="185"/>
      <c r="W53" s="185"/>
      <c r="X53" s="185"/>
      <c r="Y53" s="185"/>
      <c r="Z53" s="185"/>
      <c r="AA53" s="185"/>
    </row>
    <row r="54" spans="1:27" ht="15.75">
      <c r="A54" s="181"/>
      <c r="B54" s="181"/>
      <c r="C54" s="181"/>
      <c r="D54" s="181"/>
      <c r="E54" s="181"/>
      <c r="F54" s="181"/>
      <c r="G54" s="181"/>
      <c r="H54" s="181"/>
      <c r="J54" s="185"/>
      <c r="K54" s="185"/>
      <c r="L54" s="185"/>
      <c r="M54" s="185"/>
      <c r="N54" s="185"/>
      <c r="O54" s="185"/>
      <c r="P54" s="185"/>
      <c r="Q54" s="185"/>
      <c r="R54" s="185"/>
      <c r="S54" s="185"/>
      <c r="T54" s="185"/>
      <c r="U54" s="185"/>
      <c r="V54" s="185"/>
      <c r="W54" s="185"/>
      <c r="X54" s="185"/>
      <c r="Y54" s="185"/>
      <c r="Z54" s="185"/>
      <c r="AA54" s="185"/>
    </row>
    <row r="55" spans="1:27">
      <c r="A55" s="186"/>
      <c r="B55" s="186"/>
      <c r="C55" s="186" t="s">
        <v>1040</v>
      </c>
      <c r="D55" s="186"/>
      <c r="E55" s="186"/>
      <c r="F55" s="186"/>
      <c r="G55" s="186"/>
      <c r="H55" s="186"/>
      <c r="J55" s="191"/>
      <c r="K55" s="191"/>
      <c r="L55" s="191"/>
      <c r="M55" s="191"/>
      <c r="N55" s="191">
        <f>2*N14</f>
        <v>40000</v>
      </c>
      <c r="O55" s="191">
        <f>2*O14</f>
        <v>20000</v>
      </c>
      <c r="P55" s="191">
        <f>2*P14</f>
        <v>10000</v>
      </c>
      <c r="Q55" s="191">
        <f>2*Q14</f>
        <v>4000</v>
      </c>
      <c r="R55" s="191">
        <f>2*R14</f>
        <v>2000</v>
      </c>
      <c r="S55" s="191">
        <f t="shared" ref="S55:AA55" si="2">2*S14</f>
        <v>2000</v>
      </c>
      <c r="T55" s="191">
        <f t="shared" si="2"/>
        <v>2000</v>
      </c>
      <c r="U55" s="191">
        <f t="shared" si="2"/>
        <v>2000</v>
      </c>
      <c r="V55" s="191">
        <f t="shared" si="2"/>
        <v>2000</v>
      </c>
      <c r="W55" s="191">
        <f t="shared" si="2"/>
        <v>2000</v>
      </c>
      <c r="X55" s="191">
        <f t="shared" si="2"/>
        <v>2000</v>
      </c>
      <c r="Y55" s="191">
        <f t="shared" si="2"/>
        <v>2000</v>
      </c>
      <c r="Z55" s="191">
        <f t="shared" si="2"/>
        <v>4000</v>
      </c>
      <c r="AA55" s="191">
        <f t="shared" si="2"/>
        <v>4000</v>
      </c>
    </row>
    <row r="56" spans="1:27">
      <c r="A56" s="186"/>
      <c r="B56" s="186"/>
      <c r="C56" s="186" t="s">
        <v>1041</v>
      </c>
      <c r="D56" s="186"/>
      <c r="E56" s="186"/>
      <c r="F56" s="186"/>
      <c r="G56" s="186"/>
      <c r="H56" s="186"/>
      <c r="J56" s="191"/>
      <c r="K56" s="191"/>
      <c r="L56" s="191"/>
      <c r="M56" s="191"/>
      <c r="N56" s="191">
        <f>2*N51</f>
        <v>13536.13435709521</v>
      </c>
      <c r="O56" s="191">
        <f t="shared" ref="O56:AA56" si="3">2*O51</f>
        <v>7447.6125928604351</v>
      </c>
      <c r="P56" s="191">
        <f t="shared" si="3"/>
        <v>4267.7394484668348</v>
      </c>
      <c r="Q56" s="191">
        <f t="shared" si="3"/>
        <v>3628.1675815761323</v>
      </c>
      <c r="R56" s="191">
        <f t="shared" si="3"/>
        <v>2867.7749795500577</v>
      </c>
      <c r="S56" s="191">
        <f t="shared" si="3"/>
        <v>2734.6236791680617</v>
      </c>
      <c r="T56" s="191">
        <f t="shared" si="3"/>
        <v>2530.6389180073347</v>
      </c>
      <c r="U56" s="191">
        <f t="shared" si="3"/>
        <v>2463.087493370871</v>
      </c>
      <c r="V56" s="191">
        <f t="shared" si="3"/>
        <v>2417.2436092927555</v>
      </c>
      <c r="W56" s="191">
        <f t="shared" si="3"/>
        <v>2479.1665266106402</v>
      </c>
      <c r="X56" s="191">
        <f t="shared" si="3"/>
        <v>2660.7517734655371</v>
      </c>
      <c r="Y56" s="191">
        <f t="shared" si="3"/>
        <v>3340.0997989082102</v>
      </c>
      <c r="Z56" s="191">
        <f t="shared" si="3"/>
        <v>4249.7921517802879</v>
      </c>
      <c r="AA56" s="191">
        <f t="shared" si="3"/>
        <v>6282.0697226312286</v>
      </c>
    </row>
    <row r="57" spans="1:27" ht="15.75" thickBot="1">
      <c r="A57" s="186"/>
      <c r="B57" s="186"/>
      <c r="C57" s="186"/>
      <c r="D57" s="186"/>
      <c r="E57" s="186"/>
      <c r="F57" s="186"/>
      <c r="G57" s="186"/>
      <c r="H57" s="186"/>
      <c r="J57" s="191"/>
      <c r="K57" s="191"/>
      <c r="L57" s="191"/>
      <c r="M57" s="191"/>
      <c r="N57" s="191"/>
      <c r="O57" s="191"/>
      <c r="P57" s="191"/>
      <c r="Q57" s="191"/>
      <c r="R57" s="191"/>
      <c r="S57" s="191"/>
      <c r="T57" s="191"/>
      <c r="U57" s="191"/>
      <c r="V57" s="191"/>
      <c r="W57" s="191"/>
      <c r="X57" s="191"/>
      <c r="Y57" s="191"/>
      <c r="Z57" s="191"/>
      <c r="AA57" s="191"/>
    </row>
    <row r="58" spans="1:27" ht="16.5" thickBot="1">
      <c r="A58" s="187"/>
      <c r="B58" s="187"/>
      <c r="C58" s="187" t="s">
        <v>1042</v>
      </c>
      <c r="D58" s="187"/>
      <c r="E58" s="187"/>
      <c r="F58" s="187"/>
      <c r="G58" s="187"/>
      <c r="H58" s="187"/>
      <c r="J58" s="190"/>
      <c r="K58" s="190"/>
      <c r="L58" s="190"/>
      <c r="M58" s="190"/>
      <c r="N58" s="190">
        <f>SQRT(SUMSQ(N55:N56))</f>
        <v>42228.27173036251</v>
      </c>
      <c r="O58" s="190">
        <f>SQRT(SUMSQ(O55:O56))</f>
        <v>21341.671287257082</v>
      </c>
      <c r="P58" s="190">
        <f>SQRT(SUMSQ(P55:P56))</f>
        <v>10872.607782864237</v>
      </c>
      <c r="Q58" s="190">
        <f>SQRT(SUMSQ(Q55:Q56))</f>
        <v>5400.3333230459029</v>
      </c>
      <c r="R58" s="190">
        <f>SQRT(SUMSQ(R55:R56))</f>
        <v>3496.3028091590313</v>
      </c>
      <c r="S58" s="190">
        <f t="shared" ref="S58:AA58" si="4">SQRT(SUMSQ(S55:S56))</f>
        <v>3387.944312804841</v>
      </c>
      <c r="T58" s="190">
        <f t="shared" si="4"/>
        <v>3225.5438817869667</v>
      </c>
      <c r="U58" s="190">
        <f t="shared" si="4"/>
        <v>3172.822087668957</v>
      </c>
      <c r="V58" s="190">
        <f t="shared" si="4"/>
        <v>3137.3661990062092</v>
      </c>
      <c r="W58" s="190">
        <f t="shared" si="4"/>
        <v>3185.3204966952171</v>
      </c>
      <c r="X58" s="190">
        <f t="shared" si="4"/>
        <v>3328.6033106995492</v>
      </c>
      <c r="Y58" s="190">
        <f t="shared" si="4"/>
        <v>3893.1050161364342</v>
      </c>
      <c r="Z58" s="190">
        <f t="shared" si="4"/>
        <v>5836.1574116308175</v>
      </c>
      <c r="AA58" s="190">
        <f t="shared" si="4"/>
        <v>7447.4425140446701</v>
      </c>
    </row>
    <row r="59" spans="1:27" ht="15.75">
      <c r="A59" s="181"/>
      <c r="B59" s="181"/>
      <c r="C59" s="181" t="s">
        <v>1051</v>
      </c>
      <c r="D59" s="181"/>
      <c r="E59" s="181"/>
      <c r="F59" s="181"/>
      <c r="G59" s="181"/>
      <c r="H59" s="181"/>
      <c r="J59" s="192"/>
      <c r="K59" s="192"/>
      <c r="L59" s="192"/>
      <c r="M59" s="192"/>
      <c r="N59" s="195">
        <f>N58/10000</f>
        <v>4.2228271730362508</v>
      </c>
      <c r="O59" s="195">
        <f>O58/10000</f>
        <v>2.1341671287257085</v>
      </c>
      <c r="P59" s="195">
        <f>P58/10000</f>
        <v>1.0872607782864236</v>
      </c>
      <c r="Q59" s="195">
        <f>Q58/10000</f>
        <v>0.54003333230459027</v>
      </c>
      <c r="R59" s="195">
        <f>R58/10000</f>
        <v>0.34963028091590315</v>
      </c>
      <c r="S59" s="195">
        <f t="shared" ref="S59:AA59" si="5">S58/10000</f>
        <v>0.33879443128048409</v>
      </c>
      <c r="T59" s="195">
        <f t="shared" si="5"/>
        <v>0.32255438817869669</v>
      </c>
      <c r="U59" s="195">
        <f t="shared" si="5"/>
        <v>0.31728220876689572</v>
      </c>
      <c r="V59" s="195">
        <f t="shared" si="5"/>
        <v>0.31373661990062091</v>
      </c>
      <c r="W59" s="195">
        <f t="shared" si="5"/>
        <v>0.3185320496695217</v>
      </c>
      <c r="X59" s="195">
        <f t="shared" si="5"/>
        <v>0.33286033106995494</v>
      </c>
      <c r="Y59" s="195">
        <f t="shared" si="5"/>
        <v>0.38931050161364344</v>
      </c>
      <c r="Z59" s="195">
        <f t="shared" si="5"/>
        <v>0.58361574116308179</v>
      </c>
      <c r="AA59" s="195">
        <f t="shared" si="5"/>
        <v>0.74474425140446698</v>
      </c>
    </row>
    <row r="60" spans="1:27" ht="16.5" thickBot="1">
      <c r="A60" s="183"/>
      <c r="B60" s="183"/>
      <c r="C60" s="183"/>
      <c r="D60" s="183"/>
      <c r="E60" s="183"/>
      <c r="F60" s="183"/>
      <c r="G60" s="183"/>
      <c r="H60" s="183"/>
      <c r="J60" s="193"/>
      <c r="K60" s="193"/>
      <c r="L60" s="193"/>
      <c r="M60" s="193"/>
      <c r="N60" s="194">
        <v>2</v>
      </c>
      <c r="O60" s="194">
        <v>4</v>
      </c>
      <c r="P60" s="194">
        <v>8</v>
      </c>
      <c r="Q60" s="194">
        <v>16</v>
      </c>
      <c r="R60" s="193">
        <v>31.5</v>
      </c>
      <c r="S60" s="193">
        <v>63</v>
      </c>
      <c r="T60" s="193">
        <v>125</v>
      </c>
      <c r="U60" s="193">
        <v>250</v>
      </c>
      <c r="V60" s="193">
        <v>500</v>
      </c>
      <c r="W60" s="193" t="s">
        <v>5</v>
      </c>
      <c r="X60" s="193" t="s">
        <v>6</v>
      </c>
      <c r="Y60" s="193" t="s">
        <v>9</v>
      </c>
      <c r="Z60" s="193" t="s">
        <v>12</v>
      </c>
      <c r="AA60" s="193" t="s">
        <v>13</v>
      </c>
    </row>
    <row r="62" spans="1:27" ht="15.75">
      <c r="C62" s="181" t="s">
        <v>1052</v>
      </c>
      <c r="N62" s="196">
        <v>4.5</v>
      </c>
      <c r="O62" s="196">
        <v>2.5</v>
      </c>
      <c r="P62" s="196">
        <v>1.5</v>
      </c>
      <c r="Q62" s="196">
        <v>1</v>
      </c>
      <c r="R62" s="196">
        <v>0.5</v>
      </c>
      <c r="S62" s="196">
        <v>0.5</v>
      </c>
      <c r="T62" s="196">
        <v>0.5</v>
      </c>
      <c r="U62" s="196">
        <v>0.5</v>
      </c>
      <c r="V62" s="196">
        <v>0.5</v>
      </c>
      <c r="W62" s="196">
        <v>0.5</v>
      </c>
      <c r="X62" s="196">
        <v>0.5</v>
      </c>
      <c r="Y62" s="196">
        <v>0.5</v>
      </c>
      <c r="Z62" s="196">
        <v>1</v>
      </c>
      <c r="AA62" s="196">
        <v>1</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3"/>
  <sheetViews>
    <sheetView workbookViewId="0">
      <selection activeCell="B18" sqref="B18"/>
    </sheetView>
  </sheetViews>
  <sheetFormatPr defaultRowHeight="15"/>
  <cols>
    <col min="1" max="1" width="13" customWidth="1"/>
    <col min="2" max="2" width="50.7109375" customWidth="1"/>
    <col min="3" max="3" width="30.7109375" customWidth="1"/>
    <col min="4" max="256" width="11.42578125" customWidth="1"/>
    <col min="257" max="257" width="13" customWidth="1"/>
    <col min="258" max="258" width="50.7109375" customWidth="1"/>
    <col min="259" max="259" width="30.7109375" customWidth="1"/>
    <col min="260" max="512" width="11.42578125" customWidth="1"/>
    <col min="513" max="513" width="13" customWidth="1"/>
    <col min="514" max="514" width="50.7109375" customWidth="1"/>
    <col min="515" max="515" width="30.7109375" customWidth="1"/>
    <col min="516" max="768" width="11.42578125" customWidth="1"/>
    <col min="769" max="769" width="13" customWidth="1"/>
    <col min="770" max="770" width="50.7109375" customWidth="1"/>
    <col min="771" max="771" width="30.7109375" customWidth="1"/>
    <col min="772" max="1024" width="11.42578125" customWidth="1"/>
    <col min="1025" max="1025" width="13" customWidth="1"/>
    <col min="1026" max="1026" width="50.7109375" customWidth="1"/>
    <col min="1027" max="1027" width="30.7109375" customWidth="1"/>
    <col min="1028" max="1280" width="11.42578125" customWidth="1"/>
    <col min="1281" max="1281" width="13" customWidth="1"/>
    <col min="1282" max="1282" width="50.7109375" customWidth="1"/>
    <col min="1283" max="1283" width="30.7109375" customWidth="1"/>
    <col min="1284" max="1536" width="11.42578125" customWidth="1"/>
    <col min="1537" max="1537" width="13" customWidth="1"/>
    <col min="1538" max="1538" width="50.7109375" customWidth="1"/>
    <col min="1539" max="1539" width="30.7109375" customWidth="1"/>
    <col min="1540" max="1792" width="11.42578125" customWidth="1"/>
    <col min="1793" max="1793" width="13" customWidth="1"/>
    <col min="1794" max="1794" width="50.7109375" customWidth="1"/>
    <col min="1795" max="1795" width="30.7109375" customWidth="1"/>
    <col min="1796" max="2048" width="11.42578125" customWidth="1"/>
    <col min="2049" max="2049" width="13" customWidth="1"/>
    <col min="2050" max="2050" width="50.7109375" customWidth="1"/>
    <col min="2051" max="2051" width="30.7109375" customWidth="1"/>
    <col min="2052" max="2304" width="11.42578125" customWidth="1"/>
    <col min="2305" max="2305" width="13" customWidth="1"/>
    <col min="2306" max="2306" width="50.7109375" customWidth="1"/>
    <col min="2307" max="2307" width="30.7109375" customWidth="1"/>
    <col min="2308" max="2560" width="11.42578125" customWidth="1"/>
    <col min="2561" max="2561" width="13" customWidth="1"/>
    <col min="2562" max="2562" width="50.7109375" customWidth="1"/>
    <col min="2563" max="2563" width="30.7109375" customWidth="1"/>
    <col min="2564" max="2816" width="11.42578125" customWidth="1"/>
    <col min="2817" max="2817" width="13" customWidth="1"/>
    <col min="2818" max="2818" width="50.7109375" customWidth="1"/>
    <col min="2819" max="2819" width="30.7109375" customWidth="1"/>
    <col min="2820" max="3072" width="11.42578125" customWidth="1"/>
    <col min="3073" max="3073" width="13" customWidth="1"/>
    <col min="3074" max="3074" width="50.7109375" customWidth="1"/>
    <col min="3075" max="3075" width="30.7109375" customWidth="1"/>
    <col min="3076" max="3328" width="11.42578125" customWidth="1"/>
    <col min="3329" max="3329" width="13" customWidth="1"/>
    <col min="3330" max="3330" width="50.7109375" customWidth="1"/>
    <col min="3331" max="3331" width="30.7109375" customWidth="1"/>
    <col min="3332" max="3584" width="11.42578125" customWidth="1"/>
    <col min="3585" max="3585" width="13" customWidth="1"/>
    <col min="3586" max="3586" width="50.7109375" customWidth="1"/>
    <col min="3587" max="3587" width="30.7109375" customWidth="1"/>
    <col min="3588" max="3840" width="11.42578125" customWidth="1"/>
    <col min="3841" max="3841" width="13" customWidth="1"/>
    <col min="3842" max="3842" width="50.7109375" customWidth="1"/>
    <col min="3843" max="3843" width="30.7109375" customWidth="1"/>
    <col min="3844" max="4096" width="11.42578125" customWidth="1"/>
    <col min="4097" max="4097" width="13" customWidth="1"/>
    <col min="4098" max="4098" width="50.7109375" customWidth="1"/>
    <col min="4099" max="4099" width="30.7109375" customWidth="1"/>
    <col min="4100" max="4352" width="11.42578125" customWidth="1"/>
    <col min="4353" max="4353" width="13" customWidth="1"/>
    <col min="4354" max="4354" width="50.7109375" customWidth="1"/>
    <col min="4355" max="4355" width="30.7109375" customWidth="1"/>
    <col min="4356" max="4608" width="11.42578125" customWidth="1"/>
    <col min="4609" max="4609" width="13" customWidth="1"/>
    <col min="4610" max="4610" width="50.7109375" customWidth="1"/>
    <col min="4611" max="4611" width="30.7109375" customWidth="1"/>
    <col min="4612" max="4864" width="11.42578125" customWidth="1"/>
    <col min="4865" max="4865" width="13" customWidth="1"/>
    <col min="4866" max="4866" width="50.7109375" customWidth="1"/>
    <col min="4867" max="4867" width="30.7109375" customWidth="1"/>
    <col min="4868" max="5120" width="11.42578125" customWidth="1"/>
    <col min="5121" max="5121" width="13" customWidth="1"/>
    <col min="5122" max="5122" width="50.7109375" customWidth="1"/>
    <col min="5123" max="5123" width="30.7109375" customWidth="1"/>
    <col min="5124" max="5376" width="11.42578125" customWidth="1"/>
    <col min="5377" max="5377" width="13" customWidth="1"/>
    <col min="5378" max="5378" width="50.7109375" customWidth="1"/>
    <col min="5379" max="5379" width="30.7109375" customWidth="1"/>
    <col min="5380" max="5632" width="11.42578125" customWidth="1"/>
    <col min="5633" max="5633" width="13" customWidth="1"/>
    <col min="5634" max="5634" width="50.7109375" customWidth="1"/>
    <col min="5635" max="5635" width="30.7109375" customWidth="1"/>
    <col min="5636" max="5888" width="11.42578125" customWidth="1"/>
    <col min="5889" max="5889" width="13" customWidth="1"/>
    <col min="5890" max="5890" width="50.7109375" customWidth="1"/>
    <col min="5891" max="5891" width="30.7109375" customWidth="1"/>
    <col min="5892" max="6144" width="11.42578125" customWidth="1"/>
    <col min="6145" max="6145" width="13" customWidth="1"/>
    <col min="6146" max="6146" width="50.7109375" customWidth="1"/>
    <col min="6147" max="6147" width="30.7109375" customWidth="1"/>
    <col min="6148" max="6400" width="11.42578125" customWidth="1"/>
    <col min="6401" max="6401" width="13" customWidth="1"/>
    <col min="6402" max="6402" width="50.7109375" customWidth="1"/>
    <col min="6403" max="6403" width="30.7109375" customWidth="1"/>
    <col min="6404" max="6656" width="11.42578125" customWidth="1"/>
    <col min="6657" max="6657" width="13" customWidth="1"/>
    <col min="6658" max="6658" width="50.7109375" customWidth="1"/>
    <col min="6659" max="6659" width="30.7109375" customWidth="1"/>
    <col min="6660" max="6912" width="11.42578125" customWidth="1"/>
    <col min="6913" max="6913" width="13" customWidth="1"/>
    <col min="6914" max="6914" width="50.7109375" customWidth="1"/>
    <col min="6915" max="6915" width="30.7109375" customWidth="1"/>
    <col min="6916" max="7168" width="11.42578125" customWidth="1"/>
    <col min="7169" max="7169" width="13" customWidth="1"/>
    <col min="7170" max="7170" width="50.7109375" customWidth="1"/>
    <col min="7171" max="7171" width="30.7109375" customWidth="1"/>
    <col min="7172" max="7424" width="11.42578125" customWidth="1"/>
    <col min="7425" max="7425" width="13" customWidth="1"/>
    <col min="7426" max="7426" width="50.7109375" customWidth="1"/>
    <col min="7427" max="7427" width="30.7109375" customWidth="1"/>
    <col min="7428" max="7680" width="11.42578125" customWidth="1"/>
    <col min="7681" max="7681" width="13" customWidth="1"/>
    <col min="7682" max="7682" width="50.7109375" customWidth="1"/>
    <col min="7683" max="7683" width="30.7109375" customWidth="1"/>
    <col min="7684" max="7936" width="11.42578125" customWidth="1"/>
    <col min="7937" max="7937" width="13" customWidth="1"/>
    <col min="7938" max="7938" width="50.7109375" customWidth="1"/>
    <col min="7939" max="7939" width="30.7109375" customWidth="1"/>
    <col min="7940" max="8192" width="11.42578125" customWidth="1"/>
    <col min="8193" max="8193" width="13" customWidth="1"/>
    <col min="8194" max="8194" width="50.7109375" customWidth="1"/>
    <col min="8195" max="8195" width="30.7109375" customWidth="1"/>
    <col min="8196" max="8448" width="11.42578125" customWidth="1"/>
    <col min="8449" max="8449" width="13" customWidth="1"/>
    <col min="8450" max="8450" width="50.7109375" customWidth="1"/>
    <col min="8451" max="8451" width="30.7109375" customWidth="1"/>
    <col min="8452" max="8704" width="11.42578125" customWidth="1"/>
    <col min="8705" max="8705" width="13" customWidth="1"/>
    <col min="8706" max="8706" width="50.7109375" customWidth="1"/>
    <col min="8707" max="8707" width="30.7109375" customWidth="1"/>
    <col min="8708" max="8960" width="11.42578125" customWidth="1"/>
    <col min="8961" max="8961" width="13" customWidth="1"/>
    <col min="8962" max="8962" width="50.7109375" customWidth="1"/>
    <col min="8963" max="8963" width="30.7109375" customWidth="1"/>
    <col min="8964" max="9216" width="11.42578125" customWidth="1"/>
    <col min="9217" max="9217" width="13" customWidth="1"/>
    <col min="9218" max="9218" width="50.7109375" customWidth="1"/>
    <col min="9219" max="9219" width="30.7109375" customWidth="1"/>
    <col min="9220" max="9472" width="11.42578125" customWidth="1"/>
    <col min="9473" max="9473" width="13" customWidth="1"/>
    <col min="9474" max="9474" width="50.7109375" customWidth="1"/>
    <col min="9475" max="9475" width="30.7109375" customWidth="1"/>
    <col min="9476" max="9728" width="11.42578125" customWidth="1"/>
    <col min="9729" max="9729" width="13" customWidth="1"/>
    <col min="9730" max="9730" width="50.7109375" customWidth="1"/>
    <col min="9731" max="9731" width="30.7109375" customWidth="1"/>
    <col min="9732" max="9984" width="11.42578125" customWidth="1"/>
    <col min="9985" max="9985" width="13" customWidth="1"/>
    <col min="9986" max="9986" width="50.7109375" customWidth="1"/>
    <col min="9987" max="9987" width="30.7109375" customWidth="1"/>
    <col min="9988" max="10240" width="11.42578125" customWidth="1"/>
    <col min="10241" max="10241" width="13" customWidth="1"/>
    <col min="10242" max="10242" width="50.7109375" customWidth="1"/>
    <col min="10243" max="10243" width="30.7109375" customWidth="1"/>
    <col min="10244" max="10496" width="11.42578125" customWidth="1"/>
    <col min="10497" max="10497" width="13" customWidth="1"/>
    <col min="10498" max="10498" width="50.7109375" customWidth="1"/>
    <col min="10499" max="10499" width="30.7109375" customWidth="1"/>
    <col min="10500" max="10752" width="11.42578125" customWidth="1"/>
    <col min="10753" max="10753" width="13" customWidth="1"/>
    <col min="10754" max="10754" width="50.7109375" customWidth="1"/>
    <col min="10755" max="10755" width="30.7109375" customWidth="1"/>
    <col min="10756" max="11008" width="11.42578125" customWidth="1"/>
    <col min="11009" max="11009" width="13" customWidth="1"/>
    <col min="11010" max="11010" width="50.7109375" customWidth="1"/>
    <col min="11011" max="11011" width="30.7109375" customWidth="1"/>
    <col min="11012" max="11264" width="11.42578125" customWidth="1"/>
    <col min="11265" max="11265" width="13" customWidth="1"/>
    <col min="11266" max="11266" width="50.7109375" customWidth="1"/>
    <col min="11267" max="11267" width="30.7109375" customWidth="1"/>
    <col min="11268" max="11520" width="11.42578125" customWidth="1"/>
    <col min="11521" max="11521" width="13" customWidth="1"/>
    <col min="11522" max="11522" width="50.7109375" customWidth="1"/>
    <col min="11523" max="11523" width="30.7109375" customWidth="1"/>
    <col min="11524" max="11776" width="11.42578125" customWidth="1"/>
    <col min="11777" max="11777" width="13" customWidth="1"/>
    <col min="11778" max="11778" width="50.7109375" customWidth="1"/>
    <col min="11779" max="11779" width="30.7109375" customWidth="1"/>
    <col min="11780" max="12032" width="11.42578125" customWidth="1"/>
    <col min="12033" max="12033" width="13" customWidth="1"/>
    <col min="12034" max="12034" width="50.7109375" customWidth="1"/>
    <col min="12035" max="12035" width="30.7109375" customWidth="1"/>
    <col min="12036" max="12288" width="11.42578125" customWidth="1"/>
    <col min="12289" max="12289" width="13" customWidth="1"/>
    <col min="12290" max="12290" width="50.7109375" customWidth="1"/>
    <col min="12291" max="12291" width="30.7109375" customWidth="1"/>
    <col min="12292" max="12544" width="11.42578125" customWidth="1"/>
    <col min="12545" max="12545" width="13" customWidth="1"/>
    <col min="12546" max="12546" width="50.7109375" customWidth="1"/>
    <col min="12547" max="12547" width="30.7109375" customWidth="1"/>
    <col min="12548" max="12800" width="11.42578125" customWidth="1"/>
    <col min="12801" max="12801" width="13" customWidth="1"/>
    <col min="12802" max="12802" width="50.7109375" customWidth="1"/>
    <col min="12803" max="12803" width="30.7109375" customWidth="1"/>
    <col min="12804" max="13056" width="11.42578125" customWidth="1"/>
    <col min="13057" max="13057" width="13" customWidth="1"/>
    <col min="13058" max="13058" width="50.7109375" customWidth="1"/>
    <col min="13059" max="13059" width="30.7109375" customWidth="1"/>
    <col min="13060" max="13312" width="11.42578125" customWidth="1"/>
    <col min="13313" max="13313" width="13" customWidth="1"/>
    <col min="13314" max="13314" width="50.7109375" customWidth="1"/>
    <col min="13315" max="13315" width="30.7109375" customWidth="1"/>
    <col min="13316" max="13568" width="11.42578125" customWidth="1"/>
    <col min="13569" max="13569" width="13" customWidth="1"/>
    <col min="13570" max="13570" width="50.7109375" customWidth="1"/>
    <col min="13571" max="13571" width="30.7109375" customWidth="1"/>
    <col min="13572" max="13824" width="11.42578125" customWidth="1"/>
    <col min="13825" max="13825" width="13" customWidth="1"/>
    <col min="13826" max="13826" width="50.7109375" customWidth="1"/>
    <col min="13827" max="13827" width="30.7109375" customWidth="1"/>
    <col min="13828" max="14080" width="11.42578125" customWidth="1"/>
    <col min="14081" max="14081" width="13" customWidth="1"/>
    <col min="14082" max="14082" width="50.7109375" customWidth="1"/>
    <col min="14083" max="14083" width="30.7109375" customWidth="1"/>
    <col min="14084" max="14336" width="11.42578125" customWidth="1"/>
    <col min="14337" max="14337" width="13" customWidth="1"/>
    <col min="14338" max="14338" width="50.7109375" customWidth="1"/>
    <col min="14339" max="14339" width="30.7109375" customWidth="1"/>
    <col min="14340" max="14592" width="11.42578125" customWidth="1"/>
    <col min="14593" max="14593" width="13" customWidth="1"/>
    <col min="14594" max="14594" width="50.7109375" customWidth="1"/>
    <col min="14595" max="14595" width="30.7109375" customWidth="1"/>
    <col min="14596" max="14848" width="11.42578125" customWidth="1"/>
    <col min="14849" max="14849" width="13" customWidth="1"/>
    <col min="14850" max="14850" width="50.7109375" customWidth="1"/>
    <col min="14851" max="14851" width="30.7109375" customWidth="1"/>
    <col min="14852" max="15104" width="11.42578125" customWidth="1"/>
    <col min="15105" max="15105" width="13" customWidth="1"/>
    <col min="15106" max="15106" width="50.7109375" customWidth="1"/>
    <col min="15107" max="15107" width="30.7109375" customWidth="1"/>
    <col min="15108" max="15360" width="11.42578125" customWidth="1"/>
    <col min="15361" max="15361" width="13" customWidth="1"/>
    <col min="15362" max="15362" width="50.7109375" customWidth="1"/>
    <col min="15363" max="15363" width="30.7109375" customWidth="1"/>
    <col min="15364" max="15616" width="11.42578125" customWidth="1"/>
    <col min="15617" max="15617" width="13" customWidth="1"/>
    <col min="15618" max="15618" width="50.7109375" customWidth="1"/>
    <col min="15619" max="15619" width="30.7109375" customWidth="1"/>
    <col min="15620" max="15872" width="11.42578125" customWidth="1"/>
    <col min="15873" max="15873" width="13" customWidth="1"/>
    <col min="15874" max="15874" width="50.7109375" customWidth="1"/>
    <col min="15875" max="15875" width="30.7109375" customWidth="1"/>
    <col min="15876" max="16128" width="11.42578125" customWidth="1"/>
    <col min="16129" max="16129" width="13" customWidth="1"/>
    <col min="16130" max="16130" width="50.7109375" customWidth="1"/>
    <col min="16131" max="16131" width="30.7109375" customWidth="1"/>
    <col min="16132" max="16384" width="11.42578125" customWidth="1"/>
  </cols>
  <sheetData>
    <row r="1" spans="1:33" ht="26.25">
      <c r="A1" s="62" t="s">
        <v>1204</v>
      </c>
      <c r="B1" s="62" t="s">
        <v>767</v>
      </c>
    </row>
    <row r="3" spans="1:33">
      <c r="A3" s="310" t="s">
        <v>1191</v>
      </c>
      <c r="B3" s="310"/>
      <c r="C3" s="231">
        <v>9.9999999999999947</v>
      </c>
      <c r="D3" s="231">
        <v>12.589254117941676</v>
      </c>
      <c r="E3" s="231">
        <v>15.848931924611128</v>
      </c>
      <c r="F3" s="231">
        <v>19.95262314968879</v>
      </c>
      <c r="G3" s="231">
        <v>25.118864315095806</v>
      </c>
      <c r="H3" s="231">
        <v>31.622776601683778</v>
      </c>
      <c r="I3" s="231">
        <v>39.810717055349713</v>
      </c>
      <c r="J3" s="231">
        <v>50.118723362727231</v>
      </c>
      <c r="K3" s="231">
        <v>63.0957344480193</v>
      </c>
      <c r="L3" s="231">
        <v>79.43282347242814</v>
      </c>
      <c r="M3" s="232">
        <v>100</v>
      </c>
      <c r="N3" s="232">
        <v>125.8925411794167</v>
      </c>
      <c r="O3" s="232">
        <v>158.48931924611136</v>
      </c>
      <c r="P3" s="232">
        <v>199.52623149688793</v>
      </c>
      <c r="Q3" s="232">
        <v>251.18864315095794</v>
      </c>
      <c r="R3" s="232">
        <v>316.22776601683796</v>
      </c>
      <c r="S3" s="232">
        <v>398.10717055349727</v>
      </c>
      <c r="T3" s="232">
        <v>501.18723362727224</v>
      </c>
      <c r="U3" s="232">
        <v>630.95734448019323</v>
      </c>
      <c r="V3" s="232">
        <v>794.32823472428151</v>
      </c>
      <c r="W3" s="233">
        <v>1000</v>
      </c>
      <c r="X3" s="233">
        <v>1258.9254117941673</v>
      </c>
      <c r="Y3" s="233">
        <v>1584.8931924611134</v>
      </c>
      <c r="Z3" s="233">
        <v>1995.2623149688798</v>
      </c>
      <c r="AA3" s="233">
        <v>2511.8864315095802</v>
      </c>
      <c r="AB3" s="233">
        <v>3162.2776601683795</v>
      </c>
      <c r="AC3" s="233">
        <v>3981.0717055349733</v>
      </c>
      <c r="AD3" s="233">
        <v>5011.8723362727242</v>
      </c>
      <c r="AE3" s="233">
        <v>6309.5734448019321</v>
      </c>
      <c r="AF3" s="233">
        <v>7943.2823472428163</v>
      </c>
      <c r="AG3" s="234">
        <v>10000</v>
      </c>
    </row>
    <row r="4" spans="1:33">
      <c r="A4" s="311" t="s">
        <v>1192</v>
      </c>
      <c r="B4" s="235" t="s">
        <v>1193</v>
      </c>
      <c r="C4" s="236">
        <v>25.193591889892506</v>
      </c>
      <c r="D4" s="236">
        <v>11.804752146576854</v>
      </c>
      <c r="E4" s="236">
        <v>9.4185987753734643</v>
      </c>
      <c r="F4" s="236">
        <v>7.7745131265716827</v>
      </c>
      <c r="G4" s="236">
        <v>8.0538111614378813</v>
      </c>
      <c r="H4" s="236">
        <v>7.7525222656275741</v>
      </c>
      <c r="I4" s="236">
        <v>8.2351650612024834</v>
      </c>
      <c r="J4" s="236">
        <v>9.6705213968651229</v>
      </c>
      <c r="K4" s="236">
        <v>4.6082362888745036</v>
      </c>
      <c r="L4" s="236">
        <v>4.6623262437460626</v>
      </c>
      <c r="M4" s="236">
        <v>5.2214880032849234</v>
      </c>
      <c r="N4" s="236">
        <v>4.4349647933010967</v>
      </c>
      <c r="O4" s="236">
        <v>5.3642422700256773</v>
      </c>
      <c r="P4" s="236">
        <v>10.835281609286676</v>
      </c>
      <c r="Q4" s="236">
        <v>7.7035408362193882</v>
      </c>
      <c r="R4" s="236">
        <v>6.3585708755484003</v>
      </c>
      <c r="S4" s="236">
        <v>5.0337427072407275</v>
      </c>
      <c r="T4" s="236">
        <v>4.9532264709162179</v>
      </c>
      <c r="U4" s="236">
        <v>5.4618864629667288</v>
      </c>
      <c r="V4" s="236">
        <v>5.6484802186893619</v>
      </c>
      <c r="W4" s="236">
        <v>4.5362806905699422</v>
      </c>
      <c r="X4" s="236">
        <v>5.3793261262941723</v>
      </c>
      <c r="Y4" s="236">
        <v>4.4530249413132106</v>
      </c>
      <c r="Z4" s="236">
        <v>4.4110565589136979</v>
      </c>
      <c r="AA4" s="236">
        <v>4.4844733111548916</v>
      </c>
      <c r="AB4" s="236">
        <v>4.4737518057775922</v>
      </c>
      <c r="AC4" s="236">
        <v>4.4463795398141936</v>
      </c>
      <c r="AD4" s="236">
        <v>4.4198841453668249</v>
      </c>
      <c r="AE4" s="236">
        <v>4.423370129730535</v>
      </c>
      <c r="AF4" s="236">
        <v>4.4254056169866232</v>
      </c>
      <c r="AG4" s="236">
        <v>4.4236713187967531</v>
      </c>
    </row>
    <row r="5" spans="1:33">
      <c r="A5" s="312"/>
      <c r="B5" s="235" t="s">
        <v>1194</v>
      </c>
      <c r="C5" s="236">
        <v>376.46637928075967</v>
      </c>
      <c r="D5" s="236">
        <v>377.1067387858966</v>
      </c>
      <c r="E5" s="236">
        <v>377.17214437999411</v>
      </c>
      <c r="F5" s="236">
        <v>377.20864702681837</v>
      </c>
      <c r="G5" s="236">
        <v>218.96749881253967</v>
      </c>
      <c r="H5" s="236">
        <v>218.97789802776907</v>
      </c>
      <c r="I5" s="236">
        <v>218.9610478730153</v>
      </c>
      <c r="J5" s="236">
        <v>218.90491563661806</v>
      </c>
      <c r="K5" s="236">
        <v>166.98568740155338</v>
      </c>
      <c r="L5" s="236">
        <v>161.1678477421836</v>
      </c>
      <c r="M5" s="236">
        <v>160.28359689550877</v>
      </c>
      <c r="N5" s="236">
        <v>161.23391747118657</v>
      </c>
      <c r="O5" s="236">
        <v>160.61522026533575</v>
      </c>
      <c r="P5" s="236">
        <v>160.45702960273783</v>
      </c>
      <c r="Q5" s="236">
        <v>160.67723891708366</v>
      </c>
      <c r="R5" s="236">
        <v>160.58098690301719</v>
      </c>
      <c r="S5" s="236">
        <v>160.72678003065974</v>
      </c>
      <c r="T5" s="236">
        <v>159.99129845072471</v>
      </c>
      <c r="U5" s="236">
        <v>160.10853450922954</v>
      </c>
      <c r="V5" s="236">
        <v>154.71501108614189</v>
      </c>
      <c r="W5" s="236">
        <v>156.26813349558364</v>
      </c>
      <c r="X5" s="236">
        <v>154.12296331359434</v>
      </c>
      <c r="Y5" s="236">
        <v>155.45327325494506</v>
      </c>
      <c r="Z5" s="236">
        <v>150.46506943932812</v>
      </c>
      <c r="AA5" s="236">
        <v>144.34875009862554</v>
      </c>
      <c r="AB5" s="236">
        <v>151.20738425387765</v>
      </c>
      <c r="AC5" s="236">
        <v>151.19013241916591</v>
      </c>
      <c r="AD5" s="236">
        <v>226.74924333832018</v>
      </c>
      <c r="AE5" s="236">
        <v>324.4853929263312</v>
      </c>
      <c r="AF5" s="236">
        <v>323.88291987830263</v>
      </c>
      <c r="AG5" s="236">
        <v>469.6511968430022</v>
      </c>
    </row>
    <row r="6" spans="1:33">
      <c r="A6" s="312"/>
      <c r="B6" s="235" t="s">
        <v>1195</v>
      </c>
      <c r="C6" s="236">
        <v>100</v>
      </c>
      <c r="D6" s="236">
        <v>100</v>
      </c>
      <c r="E6" s="236">
        <v>100</v>
      </c>
      <c r="F6" s="236">
        <v>100</v>
      </c>
      <c r="G6" s="236">
        <v>100</v>
      </c>
      <c r="H6" s="236">
        <v>100</v>
      </c>
      <c r="I6" s="236">
        <v>100</v>
      </c>
      <c r="J6" s="236">
        <v>100</v>
      </c>
      <c r="K6" s="236">
        <v>100</v>
      </c>
      <c r="L6" s="236">
        <v>100</v>
      </c>
      <c r="M6" s="236">
        <v>100</v>
      </c>
      <c r="N6" s="236">
        <v>100</v>
      </c>
      <c r="O6" s="236">
        <v>100</v>
      </c>
      <c r="P6" s="236">
        <v>100</v>
      </c>
      <c r="Q6" s="236">
        <v>100</v>
      </c>
      <c r="R6" s="236">
        <v>100</v>
      </c>
      <c r="S6" s="236">
        <v>100</v>
      </c>
      <c r="T6" s="236">
        <v>100</v>
      </c>
      <c r="U6" s="236">
        <v>100</v>
      </c>
      <c r="V6" s="236">
        <v>100</v>
      </c>
      <c r="W6" s="236">
        <v>100</v>
      </c>
      <c r="X6" s="236">
        <v>100</v>
      </c>
      <c r="Y6" s="236">
        <v>100</v>
      </c>
      <c r="Z6" s="236">
        <v>100</v>
      </c>
      <c r="AA6" s="236">
        <v>100</v>
      </c>
      <c r="AB6" s="236">
        <v>100</v>
      </c>
      <c r="AC6" s="236">
        <v>100</v>
      </c>
      <c r="AD6" s="236">
        <v>100</v>
      </c>
      <c r="AE6" s="236">
        <v>100</v>
      </c>
      <c r="AF6" s="236">
        <v>100</v>
      </c>
      <c r="AG6" s="236">
        <v>100</v>
      </c>
    </row>
    <row r="7" spans="1:33">
      <c r="A7" s="312"/>
      <c r="B7" s="235" t="s">
        <v>1196</v>
      </c>
      <c r="C7" s="236">
        <v>-2.3181899999999995</v>
      </c>
      <c r="D7" s="236">
        <v>-2.3181899999999995</v>
      </c>
      <c r="E7" s="236">
        <v>-2.3181899999999995</v>
      </c>
      <c r="F7" s="236">
        <v>-2.3181899999999995</v>
      </c>
      <c r="G7" s="236">
        <v>-2.3181899999999995</v>
      </c>
      <c r="H7" s="236">
        <v>-2.3181899999999995</v>
      </c>
      <c r="I7" s="236">
        <v>-2.3181899999999995</v>
      </c>
      <c r="J7" s="236">
        <v>-2.3181899999999995</v>
      </c>
      <c r="K7" s="236">
        <v>-2.3181899999999995</v>
      </c>
      <c r="L7" s="236">
        <v>-2.3181899999999995</v>
      </c>
      <c r="M7" s="236">
        <v>-2.3181311658932655</v>
      </c>
      <c r="N7" s="236">
        <v>-2.3180207879930341</v>
      </c>
      <c r="O7" s="236">
        <v>-2.3178818030742483</v>
      </c>
      <c r="P7" s="236">
        <v>-2.3177068355568498</v>
      </c>
      <c r="Q7" s="236">
        <v>-2.3174865913573122</v>
      </c>
      <c r="R7" s="236">
        <v>-2.317209303654292</v>
      </c>
      <c r="S7" s="236">
        <v>-2.3168602212877025</v>
      </c>
      <c r="T7" s="236">
        <v>-2.309059355916474</v>
      </c>
      <c r="U7" s="236">
        <v>-2.2948960593967485</v>
      </c>
      <c r="V7" s="236">
        <v>-2.277065607424595</v>
      </c>
      <c r="W7" s="236">
        <v>-2.2456756844547545</v>
      </c>
      <c r="X7" s="236">
        <v>-2.2006362828306214</v>
      </c>
      <c r="Y7" s="236">
        <v>-2.1280087329466326</v>
      </c>
      <c r="Z7" s="236">
        <v>-2.0194301331786559</v>
      </c>
      <c r="AA7" s="236">
        <v>-1.8476175563805055</v>
      </c>
      <c r="AB7" s="236">
        <v>-1.5578536120649564</v>
      </c>
      <c r="AC7" s="236">
        <v>-1.091790180278422</v>
      </c>
      <c r="AD7" s="236">
        <v>-0.44119488584686845</v>
      </c>
      <c r="AE7" s="236">
        <v>8.7093714153131482E-2</v>
      </c>
      <c r="AF7" s="236">
        <v>-0.47320780232018644</v>
      </c>
      <c r="AG7" s="236">
        <v>-3.2529360556844065</v>
      </c>
    </row>
    <row r="8" spans="1:33">
      <c r="A8" s="312"/>
      <c r="B8" s="235" t="s">
        <v>1197</v>
      </c>
      <c r="C8" s="236">
        <v>1.4433756729740645</v>
      </c>
      <c r="D8" s="236">
        <v>1.4433756729740645</v>
      </c>
      <c r="E8" s="236">
        <v>1.4433756729740645</v>
      </c>
      <c r="F8" s="236">
        <v>1.4433756729740645</v>
      </c>
      <c r="G8" s="236">
        <v>1.4433756729740645</v>
      </c>
      <c r="H8" s="236">
        <v>1.4433756729740645</v>
      </c>
      <c r="I8" s="236">
        <v>1.4433756729740645</v>
      </c>
      <c r="J8" s="236">
        <v>1.4433756729740645</v>
      </c>
      <c r="K8" s="236">
        <v>1.4433756729740645</v>
      </c>
      <c r="L8" s="236">
        <v>1.4433756729740645</v>
      </c>
      <c r="M8" s="236">
        <v>1.4433756729740645</v>
      </c>
      <c r="N8" s="236">
        <v>1.4433756729740645</v>
      </c>
      <c r="O8" s="236">
        <v>1.4433756729740645</v>
      </c>
      <c r="P8" s="236">
        <v>1.4433756729740645</v>
      </c>
      <c r="Q8" s="236">
        <v>1.4433756729740645</v>
      </c>
      <c r="R8" s="236">
        <v>1.4433756729740645</v>
      </c>
      <c r="S8" s="236">
        <v>1.4433756729740645</v>
      </c>
      <c r="T8" s="236">
        <v>1.4433756729740645</v>
      </c>
      <c r="U8" s="236">
        <v>1.4433756729740645</v>
      </c>
      <c r="V8" s="236">
        <v>1.4433756729740645</v>
      </c>
      <c r="W8" s="236">
        <v>1.4433756729740645</v>
      </c>
      <c r="X8" s="236">
        <v>1.4433756729740645</v>
      </c>
      <c r="Y8" s="236">
        <v>1.4433756729740645</v>
      </c>
      <c r="Z8" s="236">
        <v>1.4433756729740645</v>
      </c>
      <c r="AA8" s="236">
        <v>1.4433756729740645</v>
      </c>
      <c r="AB8" s="236">
        <v>1.4433756729740645</v>
      </c>
      <c r="AC8" s="236">
        <v>1.4433756729740645</v>
      </c>
      <c r="AD8" s="236">
        <v>1.4433756729740645</v>
      </c>
      <c r="AE8" s="236">
        <v>1.4433756729740645</v>
      </c>
      <c r="AF8" s="236">
        <v>1.4433756729740645</v>
      </c>
      <c r="AG8" s="236">
        <v>1.4433756729740645</v>
      </c>
    </row>
    <row r="9" spans="1:33">
      <c r="A9" s="313"/>
      <c r="B9" s="235" t="s">
        <v>1198</v>
      </c>
      <c r="C9" s="236">
        <v>-1.25031</v>
      </c>
      <c r="D9" s="236">
        <v>-1.25031</v>
      </c>
      <c r="E9" s="236">
        <v>-1.25031</v>
      </c>
      <c r="F9" s="236">
        <v>-1.25031</v>
      </c>
      <c r="G9" s="236">
        <v>-1.25031</v>
      </c>
      <c r="H9" s="236">
        <v>-1.25031</v>
      </c>
      <c r="I9" s="236">
        <v>-1.25031</v>
      </c>
      <c r="J9" s="236">
        <v>-1.25031</v>
      </c>
      <c r="K9" s="236">
        <v>-1.25031</v>
      </c>
      <c r="L9" s="236">
        <v>-1.25031</v>
      </c>
      <c r="M9" s="236">
        <v>-1.2512497447795847</v>
      </c>
      <c r="N9" s="236">
        <v>-1.2530127877030173</v>
      </c>
      <c r="O9" s="236">
        <v>-1.2552327645011587</v>
      </c>
      <c r="P9" s="236">
        <v>-1.2580274837586991</v>
      </c>
      <c r="Q9" s="236">
        <v>-1.2615453979118338</v>
      </c>
      <c r="R9" s="236">
        <v>-1.2659744559164745</v>
      </c>
      <c r="S9" s="236">
        <v>-1.2715502749419951</v>
      </c>
      <c r="T9" s="236">
        <v>-1.3110721269141514</v>
      </c>
      <c r="U9" s="236">
        <v>-1.3800007721577758</v>
      </c>
      <c r="V9" s="236">
        <v>-1.4667763965197214</v>
      </c>
      <c r="W9" s="236">
        <v>-1.5854175406032467</v>
      </c>
      <c r="X9" s="236">
        <v>-1.740583295591648</v>
      </c>
      <c r="Y9" s="236">
        <v>-1.9398926763341018</v>
      </c>
      <c r="Z9" s="236">
        <v>-2.2209544051044117</v>
      </c>
      <c r="AA9" s="236">
        <v>-2.6862274932714563</v>
      </c>
      <c r="AB9" s="236">
        <v>-3.5579440120649748</v>
      </c>
      <c r="AC9" s="236">
        <v>-5.0962221839907249</v>
      </c>
      <c r="AD9" s="236">
        <v>-7.3090640039443011</v>
      </c>
      <c r="AE9" s="236">
        <v>-9.320128591647336</v>
      </c>
      <c r="AF9" s="236">
        <v>-8.7352355266821551</v>
      </c>
      <c r="AG9" s="236">
        <v>-1.579738213457246</v>
      </c>
    </row>
    <row r="10" spans="1:33">
      <c r="A10" s="314" t="s">
        <v>1199</v>
      </c>
      <c r="B10" s="235" t="s">
        <v>1200</v>
      </c>
      <c r="C10" s="236">
        <v>87.346022151070031</v>
      </c>
      <c r="D10" s="236">
        <v>87.419304365328358</v>
      </c>
      <c r="E10" s="236">
        <v>87.42678587023488</v>
      </c>
      <c r="F10" s="236">
        <v>87.430960995155331</v>
      </c>
      <c r="G10" s="236">
        <v>66.927946152939668</v>
      </c>
      <c r="H10" s="236">
        <v>66.929499927575876</v>
      </c>
      <c r="I10" s="236">
        <v>66.926982282636288</v>
      </c>
      <c r="J10" s="236">
        <v>66.918594670931057</v>
      </c>
      <c r="K10" s="236">
        <v>122.41537382220854</v>
      </c>
      <c r="L10" s="236">
        <v>146.94953880446056</v>
      </c>
      <c r="M10" s="236">
        <v>147.89483404740739</v>
      </c>
      <c r="N10" s="236">
        <v>146.88406431408319</v>
      </c>
      <c r="O10" s="236">
        <v>139.24778061178108</v>
      </c>
      <c r="P10" s="236">
        <v>147.40115532808676</v>
      </c>
      <c r="Q10" s="236">
        <v>139.06629634221827</v>
      </c>
      <c r="R10" s="236">
        <v>147.52714915587686</v>
      </c>
      <c r="S10" s="236">
        <v>147.41945462052556</v>
      </c>
      <c r="T10" s="236">
        <v>139.97898402622621</v>
      </c>
      <c r="U10" s="236">
        <v>139.82550085797865</v>
      </c>
      <c r="V10" s="236">
        <v>145.7633020404067</v>
      </c>
      <c r="W10" s="236">
        <v>144.13553576377922</v>
      </c>
      <c r="X10" s="236">
        <v>154.29588220776304</v>
      </c>
      <c r="Y10" s="236">
        <v>152.98390590221868</v>
      </c>
      <c r="Z10" s="236">
        <v>165.39259774484032</v>
      </c>
      <c r="AA10" s="236">
        <v>177.84997892036</v>
      </c>
      <c r="AB10" s="236">
        <v>199.9978582012256</v>
      </c>
      <c r="AC10" s="236">
        <v>219.81248087491147</v>
      </c>
      <c r="AD10" s="236">
        <v>168.84769725041087</v>
      </c>
      <c r="AE10" s="236">
        <v>84.265697994656591</v>
      </c>
      <c r="AF10" s="236">
        <v>86.612114612022239</v>
      </c>
      <c r="AG10" s="236">
        <v>97.432150427156543</v>
      </c>
    </row>
    <row r="11" spans="1:33">
      <c r="A11" s="314"/>
      <c r="B11" s="235" t="s">
        <v>1201</v>
      </c>
      <c r="C11" s="236">
        <v>107.95521101649155</v>
      </c>
      <c r="D11" s="236">
        <v>108.01451187557123</v>
      </c>
      <c r="E11" s="236">
        <v>108.0205669657399</v>
      </c>
      <c r="F11" s="236">
        <v>108.02394614406739</v>
      </c>
      <c r="G11" s="236">
        <v>110.47329983417167</v>
      </c>
      <c r="H11" s="236">
        <v>110.47424116306651</v>
      </c>
      <c r="I11" s="236">
        <v>97.873494662550556</v>
      </c>
      <c r="J11" s="236">
        <v>110.46763468424754</v>
      </c>
      <c r="K11" s="236">
        <v>64.113366375749351</v>
      </c>
      <c r="L11" s="236">
        <v>63.199422108462905</v>
      </c>
      <c r="M11" s="236">
        <v>65.367284920747451</v>
      </c>
      <c r="N11" s="236">
        <v>63.047032836000582</v>
      </c>
      <c r="O11" s="236">
        <v>64.536380478817648</v>
      </c>
      <c r="P11" s="236">
        <v>64.242513898934263</v>
      </c>
      <c r="Q11" s="236">
        <v>64.143860020594886</v>
      </c>
      <c r="R11" s="236">
        <v>64.531075754711694</v>
      </c>
      <c r="S11" s="236">
        <v>64.284489580404994</v>
      </c>
      <c r="T11" s="236">
        <v>66.099288717916593</v>
      </c>
      <c r="U11" s="236">
        <v>65.773632180263462</v>
      </c>
      <c r="V11" s="236">
        <v>63.615565875993234</v>
      </c>
      <c r="W11" s="236">
        <v>59.791744161812765</v>
      </c>
      <c r="X11" s="236">
        <v>65.055509115461419</v>
      </c>
      <c r="Y11" s="236">
        <v>61.879523795023637</v>
      </c>
      <c r="Z11" s="236">
        <v>58.563737831413732</v>
      </c>
      <c r="AA11" s="236">
        <v>57.927670434538506</v>
      </c>
      <c r="AB11" s="236">
        <v>56.560969626391213</v>
      </c>
      <c r="AC11" s="236">
        <v>56.502449047659127</v>
      </c>
      <c r="AD11" s="236">
        <v>78.163577622613985</v>
      </c>
      <c r="AE11" s="236">
        <v>133.51295015288451</v>
      </c>
      <c r="AF11" s="236">
        <v>256.17700598915206</v>
      </c>
      <c r="AG11" s="236">
        <v>576.10157432249741</v>
      </c>
    </row>
    <row r="12" spans="1:33">
      <c r="A12" s="315" t="s">
        <v>1202</v>
      </c>
      <c r="B12" s="310"/>
      <c r="C12" s="237">
        <f>0.0002*SQRT(SUMSQ(C4:C10))</f>
        <v>0.08</v>
      </c>
      <c r="D12" s="237">
        <f t="shared" ref="D12:AG12" si="0">0.0002*SQRT(SUMSQ(D4:D10))</f>
        <v>0.08</v>
      </c>
      <c r="E12" s="237">
        <f t="shared" si="0"/>
        <v>0.08</v>
      </c>
      <c r="F12" s="237">
        <f t="shared" si="0"/>
        <v>0.08</v>
      </c>
      <c r="G12" s="237">
        <f t="shared" si="0"/>
        <v>0.05</v>
      </c>
      <c r="H12" s="237">
        <f t="shared" si="0"/>
        <v>0.05</v>
      </c>
      <c r="I12" s="237">
        <f t="shared" si="0"/>
        <v>0.05</v>
      </c>
      <c r="J12" s="237">
        <f t="shared" si="0"/>
        <v>0.05</v>
      </c>
      <c r="K12" s="237">
        <f t="shared" si="0"/>
        <v>4.5999999999999999E-2</v>
      </c>
      <c r="L12" s="237">
        <f t="shared" si="0"/>
        <v>4.8000000000000001E-2</v>
      </c>
      <c r="M12" s="237">
        <f t="shared" si="0"/>
        <v>4.8000000000000001E-2</v>
      </c>
      <c r="N12" s="237">
        <f t="shared" si="0"/>
        <v>4.8000000000000008E-2</v>
      </c>
      <c r="O12" s="237">
        <f t="shared" si="0"/>
        <v>4.7E-2</v>
      </c>
      <c r="P12" s="237">
        <f t="shared" si="0"/>
        <v>4.8000000000000001E-2</v>
      </c>
      <c r="Q12" s="237">
        <f t="shared" si="0"/>
        <v>4.7E-2</v>
      </c>
      <c r="R12" s="237">
        <f t="shared" si="0"/>
        <v>4.8000000000000001E-2</v>
      </c>
      <c r="S12" s="237">
        <f t="shared" si="0"/>
        <v>4.8000000000000001E-2</v>
      </c>
      <c r="T12" s="237">
        <f t="shared" si="0"/>
        <v>4.7E-2</v>
      </c>
      <c r="U12" s="237">
        <f t="shared" si="0"/>
        <v>4.7E-2</v>
      </c>
      <c r="V12" s="237">
        <f t="shared" si="0"/>
        <v>4.7E-2</v>
      </c>
      <c r="W12" s="237">
        <f t="shared" si="0"/>
        <v>4.7E-2</v>
      </c>
      <c r="X12" s="237">
        <f t="shared" si="0"/>
        <v>4.8000000000000001E-2</v>
      </c>
      <c r="Y12" s="237">
        <f t="shared" si="0"/>
        <v>4.8000000000000001E-2</v>
      </c>
      <c r="Z12" s="237">
        <f t="shared" si="0"/>
        <v>4.9000000000000002E-2</v>
      </c>
      <c r="AA12" s="237">
        <f t="shared" si="0"/>
        <v>4.9999999999999996E-2</v>
      </c>
      <c r="AB12" s="237">
        <f t="shared" si="0"/>
        <v>5.3999999999999999E-2</v>
      </c>
      <c r="AC12" s="237">
        <f t="shared" si="0"/>
        <v>5.7000000000000002E-2</v>
      </c>
      <c r="AD12" s="237">
        <f t="shared" si="0"/>
        <v>6.0000000000000005E-2</v>
      </c>
      <c r="AE12" s="237">
        <f t="shared" si="0"/>
        <v>7.0000000000000021E-2</v>
      </c>
      <c r="AF12" s="237">
        <f t="shared" si="0"/>
        <v>7.0000000000000021E-2</v>
      </c>
      <c r="AG12" s="237">
        <f t="shared" si="0"/>
        <v>9.8000000000000004E-2</v>
      </c>
    </row>
    <row r="13" spans="1:33">
      <c r="A13" s="315" t="s">
        <v>1203</v>
      </c>
      <c r="B13" s="310"/>
      <c r="C13" s="237">
        <f>0.0002*SQRT(SUMSQ(C4:C9,C11))</f>
        <v>8.1000000000000003E-2</v>
      </c>
      <c r="D13" s="237">
        <f t="shared" ref="D13:AG13" si="1">0.0002*SQRT(SUMSQ(D4:D9,D11))</f>
        <v>8.1000000000000003E-2</v>
      </c>
      <c r="E13" s="237">
        <f t="shared" si="1"/>
        <v>8.1000000000000003E-2</v>
      </c>
      <c r="F13" s="237">
        <f t="shared" si="1"/>
        <v>8.1000000000000003E-2</v>
      </c>
      <c r="G13" s="237">
        <f t="shared" si="1"/>
        <v>5.3000000000000005E-2</v>
      </c>
      <c r="H13" s="237">
        <f t="shared" si="1"/>
        <v>5.3000000000000005E-2</v>
      </c>
      <c r="I13" s="237">
        <f t="shared" si="1"/>
        <v>5.2000000000000005E-2</v>
      </c>
      <c r="J13" s="237">
        <f t="shared" si="1"/>
        <v>5.3000000000000005E-2</v>
      </c>
      <c r="K13" s="237">
        <f t="shared" si="1"/>
        <v>4.1000000000000009E-2</v>
      </c>
      <c r="L13" s="237">
        <f t="shared" si="1"/>
        <v>4.0000000000000008E-2</v>
      </c>
      <c r="M13" s="237">
        <f t="shared" si="1"/>
        <v>4.0000000000000008E-2</v>
      </c>
      <c r="N13" s="237">
        <f t="shared" si="1"/>
        <v>4.0000000000000015E-2</v>
      </c>
      <c r="O13" s="237">
        <f t="shared" si="1"/>
        <v>0.04</v>
      </c>
      <c r="P13" s="237">
        <f t="shared" si="1"/>
        <v>0.04</v>
      </c>
      <c r="Q13" s="237">
        <f t="shared" si="1"/>
        <v>0.04</v>
      </c>
      <c r="R13" s="237">
        <f t="shared" si="1"/>
        <v>0.04</v>
      </c>
      <c r="S13" s="237">
        <f t="shared" si="1"/>
        <v>4.0000000000000008E-2</v>
      </c>
      <c r="T13" s="237">
        <f t="shared" si="1"/>
        <v>0.04</v>
      </c>
      <c r="U13" s="237">
        <f t="shared" si="1"/>
        <v>0.04</v>
      </c>
      <c r="V13" s="237">
        <f t="shared" si="1"/>
        <v>3.9E-2</v>
      </c>
      <c r="W13" s="237">
        <f t="shared" si="1"/>
        <v>3.8999999999999993E-2</v>
      </c>
      <c r="X13" s="237">
        <f t="shared" si="1"/>
        <v>3.8999999999999993E-2</v>
      </c>
      <c r="Y13" s="237">
        <f t="shared" si="1"/>
        <v>3.8999999999999993E-2</v>
      </c>
      <c r="Z13" s="237">
        <f t="shared" si="1"/>
        <v>3.7999999999999999E-2</v>
      </c>
      <c r="AA13" s="237">
        <f t="shared" si="1"/>
        <v>3.7000000000000005E-2</v>
      </c>
      <c r="AB13" s="237">
        <f t="shared" si="1"/>
        <v>3.7999999999999999E-2</v>
      </c>
      <c r="AC13" s="237">
        <f t="shared" si="1"/>
        <v>3.8000000000000006E-2</v>
      </c>
      <c r="AD13" s="237">
        <f t="shared" si="1"/>
        <v>5.2000000000000005E-2</v>
      </c>
      <c r="AE13" s="237">
        <f t="shared" si="1"/>
        <v>7.3000000000000009E-2</v>
      </c>
      <c r="AF13" s="237">
        <f t="shared" si="1"/>
        <v>8.5000000000000006E-2</v>
      </c>
      <c r="AG13" s="237">
        <f t="shared" si="1"/>
        <v>0.15</v>
      </c>
    </row>
  </sheetData>
  <mergeCells count="5">
    <mergeCell ref="A3:B3"/>
    <mergeCell ref="A4:A9"/>
    <mergeCell ref="A10:A11"/>
    <mergeCell ref="A12:B12"/>
    <mergeCell ref="A13:B13"/>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34"/>
  <sheetViews>
    <sheetView topLeftCell="A26" workbookViewId="0">
      <selection activeCell="C9" sqref="C9"/>
    </sheetView>
  </sheetViews>
  <sheetFormatPr defaultRowHeight="15"/>
  <cols>
    <col min="1" max="1" width="34.28515625" customWidth="1"/>
    <col min="2" max="2" width="50" customWidth="1"/>
    <col min="3" max="3" width="56.7109375" customWidth="1"/>
    <col min="4" max="4" width="35.42578125" customWidth="1"/>
    <col min="5" max="5" width="69.5703125" customWidth="1"/>
    <col min="6" max="6" width="55.140625" customWidth="1"/>
    <col min="7" max="7" width="20.42578125" customWidth="1"/>
    <col min="8" max="9" width="11.42578125" bestFit="1" customWidth="1"/>
    <col min="10" max="11" width="11.42578125" customWidth="1"/>
    <col min="12" max="12" width="11.42578125" bestFit="1" customWidth="1"/>
    <col min="13" max="14" width="11.42578125" customWidth="1"/>
    <col min="15" max="15" width="11.42578125" bestFit="1" customWidth="1"/>
    <col min="16" max="17" width="11.42578125" customWidth="1"/>
    <col min="18" max="18" width="11.42578125" bestFit="1" customWidth="1"/>
    <col min="19" max="20" width="11.42578125" customWidth="1"/>
    <col min="21" max="21" width="38.140625" customWidth="1"/>
    <col min="22" max="22" width="15.7109375" customWidth="1"/>
    <col min="23" max="23" width="14.5703125" customWidth="1"/>
    <col min="24" max="24" width="11.42578125" bestFit="1" customWidth="1"/>
    <col min="25" max="26" width="11.42578125" customWidth="1"/>
    <col min="27" max="27" width="11.42578125" bestFit="1" customWidth="1"/>
    <col min="28" max="29" width="11.42578125" customWidth="1"/>
    <col min="30" max="30" width="11" bestFit="1" customWidth="1"/>
    <col min="31" max="34" width="11.42578125" bestFit="1" customWidth="1"/>
    <col min="257" max="257" width="34.28515625" customWidth="1"/>
    <col min="258" max="258" width="50" customWidth="1"/>
    <col min="259" max="259" width="56.7109375" customWidth="1"/>
    <col min="260" max="260" width="35.42578125" customWidth="1"/>
    <col min="261" max="261" width="69.5703125" customWidth="1"/>
    <col min="262" max="262" width="55.140625" customWidth="1"/>
    <col min="263" max="263" width="20.42578125" customWidth="1"/>
    <col min="264" max="265" width="11.42578125" bestFit="1" customWidth="1"/>
    <col min="266" max="267" width="11.42578125" customWidth="1"/>
    <col min="268" max="268" width="11.42578125" bestFit="1" customWidth="1"/>
    <col min="269" max="270" width="11.42578125" customWidth="1"/>
    <col min="271" max="271" width="11.42578125" bestFit="1" customWidth="1"/>
    <col min="272" max="273" width="11.42578125" customWidth="1"/>
    <col min="274" max="274" width="11.42578125" bestFit="1" customWidth="1"/>
    <col min="275" max="276" width="11.42578125" customWidth="1"/>
    <col min="277" max="277" width="38.140625" customWidth="1"/>
    <col min="278" max="278" width="15.7109375" customWidth="1"/>
    <col min="279" max="279" width="14.5703125" customWidth="1"/>
    <col min="280" max="280" width="11.42578125" bestFit="1" customWidth="1"/>
    <col min="281" max="282" width="11.42578125" customWidth="1"/>
    <col min="283" max="283" width="11.42578125" bestFit="1" customWidth="1"/>
    <col min="284" max="285" width="11.42578125" customWidth="1"/>
    <col min="286" max="286" width="11" bestFit="1" customWidth="1"/>
    <col min="287" max="290" width="11.42578125" bestFit="1" customWidth="1"/>
    <col min="513" max="513" width="34.28515625" customWidth="1"/>
    <col min="514" max="514" width="50" customWidth="1"/>
    <col min="515" max="515" width="56.7109375" customWidth="1"/>
    <col min="516" max="516" width="35.42578125" customWidth="1"/>
    <col min="517" max="517" width="69.5703125" customWidth="1"/>
    <col min="518" max="518" width="55.140625" customWidth="1"/>
    <col min="519" max="519" width="20.42578125" customWidth="1"/>
    <col min="520" max="521" width="11.42578125" bestFit="1" customWidth="1"/>
    <col min="522" max="523" width="11.42578125" customWidth="1"/>
    <col min="524" max="524" width="11.42578125" bestFit="1" customWidth="1"/>
    <col min="525" max="526" width="11.42578125" customWidth="1"/>
    <col min="527" max="527" width="11.42578125" bestFit="1" customWidth="1"/>
    <col min="528" max="529" width="11.42578125" customWidth="1"/>
    <col min="530" max="530" width="11.42578125" bestFit="1" customWidth="1"/>
    <col min="531" max="532" width="11.42578125" customWidth="1"/>
    <col min="533" max="533" width="38.140625" customWidth="1"/>
    <col min="534" max="534" width="15.7109375" customWidth="1"/>
    <col min="535" max="535" width="14.5703125" customWidth="1"/>
    <col min="536" max="536" width="11.42578125" bestFit="1" customWidth="1"/>
    <col min="537" max="538" width="11.42578125" customWidth="1"/>
    <col min="539" max="539" width="11.42578125" bestFit="1" customWidth="1"/>
    <col min="540" max="541" width="11.42578125" customWidth="1"/>
    <col min="542" max="542" width="11" bestFit="1" customWidth="1"/>
    <col min="543" max="546" width="11.42578125" bestFit="1" customWidth="1"/>
    <col min="769" max="769" width="34.28515625" customWidth="1"/>
    <col min="770" max="770" width="50" customWidth="1"/>
    <col min="771" max="771" width="56.7109375" customWidth="1"/>
    <col min="772" max="772" width="35.42578125" customWidth="1"/>
    <col min="773" max="773" width="69.5703125" customWidth="1"/>
    <col min="774" max="774" width="55.140625" customWidth="1"/>
    <col min="775" max="775" width="20.42578125" customWidth="1"/>
    <col min="776" max="777" width="11.42578125" bestFit="1" customWidth="1"/>
    <col min="778" max="779" width="11.42578125" customWidth="1"/>
    <col min="780" max="780" width="11.42578125" bestFit="1" customWidth="1"/>
    <col min="781" max="782" width="11.42578125" customWidth="1"/>
    <col min="783" max="783" width="11.42578125" bestFit="1" customWidth="1"/>
    <col min="784" max="785" width="11.42578125" customWidth="1"/>
    <col min="786" max="786" width="11.42578125" bestFit="1" customWidth="1"/>
    <col min="787" max="788" width="11.42578125" customWidth="1"/>
    <col min="789" max="789" width="38.140625" customWidth="1"/>
    <col min="790" max="790" width="15.7109375" customWidth="1"/>
    <col min="791" max="791" width="14.5703125" customWidth="1"/>
    <col min="792" max="792" width="11.42578125" bestFit="1" customWidth="1"/>
    <col min="793" max="794" width="11.42578125" customWidth="1"/>
    <col min="795" max="795" width="11.42578125" bestFit="1" customWidth="1"/>
    <col min="796" max="797" width="11.42578125" customWidth="1"/>
    <col min="798" max="798" width="11" bestFit="1" customWidth="1"/>
    <col min="799" max="802" width="11.42578125" bestFit="1" customWidth="1"/>
    <col min="1025" max="1025" width="34.28515625" customWidth="1"/>
    <col min="1026" max="1026" width="50" customWidth="1"/>
    <col min="1027" max="1027" width="56.7109375" customWidth="1"/>
    <col min="1028" max="1028" width="35.42578125" customWidth="1"/>
    <col min="1029" max="1029" width="69.5703125" customWidth="1"/>
    <col min="1030" max="1030" width="55.140625" customWidth="1"/>
    <col min="1031" max="1031" width="20.42578125" customWidth="1"/>
    <col min="1032" max="1033" width="11.42578125" bestFit="1" customWidth="1"/>
    <col min="1034" max="1035" width="11.42578125" customWidth="1"/>
    <col min="1036" max="1036" width="11.42578125" bestFit="1" customWidth="1"/>
    <col min="1037" max="1038" width="11.42578125" customWidth="1"/>
    <col min="1039" max="1039" width="11.42578125" bestFit="1" customWidth="1"/>
    <col min="1040" max="1041" width="11.42578125" customWidth="1"/>
    <col min="1042" max="1042" width="11.42578125" bestFit="1" customWidth="1"/>
    <col min="1043" max="1044" width="11.42578125" customWidth="1"/>
    <col min="1045" max="1045" width="38.140625" customWidth="1"/>
    <col min="1046" max="1046" width="15.7109375" customWidth="1"/>
    <col min="1047" max="1047" width="14.5703125" customWidth="1"/>
    <col min="1048" max="1048" width="11.42578125" bestFit="1" customWidth="1"/>
    <col min="1049" max="1050" width="11.42578125" customWidth="1"/>
    <col min="1051" max="1051" width="11.42578125" bestFit="1" customWidth="1"/>
    <col min="1052" max="1053" width="11.42578125" customWidth="1"/>
    <col min="1054" max="1054" width="11" bestFit="1" customWidth="1"/>
    <col min="1055" max="1058" width="11.42578125" bestFit="1" customWidth="1"/>
    <col min="1281" max="1281" width="34.28515625" customWidth="1"/>
    <col min="1282" max="1282" width="50" customWidth="1"/>
    <col min="1283" max="1283" width="56.7109375" customWidth="1"/>
    <col min="1284" max="1284" width="35.42578125" customWidth="1"/>
    <col min="1285" max="1285" width="69.5703125" customWidth="1"/>
    <col min="1286" max="1286" width="55.140625" customWidth="1"/>
    <col min="1287" max="1287" width="20.42578125" customWidth="1"/>
    <col min="1288" max="1289" width="11.42578125" bestFit="1" customWidth="1"/>
    <col min="1290" max="1291" width="11.42578125" customWidth="1"/>
    <col min="1292" max="1292" width="11.42578125" bestFit="1" customWidth="1"/>
    <col min="1293" max="1294" width="11.42578125" customWidth="1"/>
    <col min="1295" max="1295" width="11.42578125" bestFit="1" customWidth="1"/>
    <col min="1296" max="1297" width="11.42578125" customWidth="1"/>
    <col min="1298" max="1298" width="11.42578125" bestFit="1" customWidth="1"/>
    <col min="1299" max="1300" width="11.42578125" customWidth="1"/>
    <col min="1301" max="1301" width="38.140625" customWidth="1"/>
    <col min="1302" max="1302" width="15.7109375" customWidth="1"/>
    <col min="1303" max="1303" width="14.5703125" customWidth="1"/>
    <col min="1304" max="1304" width="11.42578125" bestFit="1" customWidth="1"/>
    <col min="1305" max="1306" width="11.42578125" customWidth="1"/>
    <col min="1307" max="1307" width="11.42578125" bestFit="1" customWidth="1"/>
    <col min="1308" max="1309" width="11.42578125" customWidth="1"/>
    <col min="1310" max="1310" width="11" bestFit="1" customWidth="1"/>
    <col min="1311" max="1314" width="11.42578125" bestFit="1" customWidth="1"/>
    <col min="1537" max="1537" width="34.28515625" customWidth="1"/>
    <col min="1538" max="1538" width="50" customWidth="1"/>
    <col min="1539" max="1539" width="56.7109375" customWidth="1"/>
    <col min="1540" max="1540" width="35.42578125" customWidth="1"/>
    <col min="1541" max="1541" width="69.5703125" customWidth="1"/>
    <col min="1542" max="1542" width="55.140625" customWidth="1"/>
    <col min="1543" max="1543" width="20.42578125" customWidth="1"/>
    <col min="1544" max="1545" width="11.42578125" bestFit="1" customWidth="1"/>
    <col min="1546" max="1547" width="11.42578125" customWidth="1"/>
    <col min="1548" max="1548" width="11.42578125" bestFit="1" customWidth="1"/>
    <col min="1549" max="1550" width="11.42578125" customWidth="1"/>
    <col min="1551" max="1551" width="11.42578125" bestFit="1" customWidth="1"/>
    <col min="1552" max="1553" width="11.42578125" customWidth="1"/>
    <col min="1554" max="1554" width="11.42578125" bestFit="1" customWidth="1"/>
    <col min="1555" max="1556" width="11.42578125" customWidth="1"/>
    <col min="1557" max="1557" width="38.140625" customWidth="1"/>
    <col min="1558" max="1558" width="15.7109375" customWidth="1"/>
    <col min="1559" max="1559" width="14.5703125" customWidth="1"/>
    <col min="1560" max="1560" width="11.42578125" bestFit="1" customWidth="1"/>
    <col min="1561" max="1562" width="11.42578125" customWidth="1"/>
    <col min="1563" max="1563" width="11.42578125" bestFit="1" customWidth="1"/>
    <col min="1564" max="1565" width="11.42578125" customWidth="1"/>
    <col min="1566" max="1566" width="11" bestFit="1" customWidth="1"/>
    <col min="1567" max="1570" width="11.42578125" bestFit="1" customWidth="1"/>
    <col min="1793" max="1793" width="34.28515625" customWidth="1"/>
    <col min="1794" max="1794" width="50" customWidth="1"/>
    <col min="1795" max="1795" width="56.7109375" customWidth="1"/>
    <col min="1796" max="1796" width="35.42578125" customWidth="1"/>
    <col min="1797" max="1797" width="69.5703125" customWidth="1"/>
    <col min="1798" max="1798" width="55.140625" customWidth="1"/>
    <col min="1799" max="1799" width="20.42578125" customWidth="1"/>
    <col min="1800" max="1801" width="11.42578125" bestFit="1" customWidth="1"/>
    <col min="1802" max="1803" width="11.42578125" customWidth="1"/>
    <col min="1804" max="1804" width="11.42578125" bestFit="1" customWidth="1"/>
    <col min="1805" max="1806" width="11.42578125" customWidth="1"/>
    <col min="1807" max="1807" width="11.42578125" bestFit="1" customWidth="1"/>
    <col min="1808" max="1809" width="11.42578125" customWidth="1"/>
    <col min="1810" max="1810" width="11.42578125" bestFit="1" customWidth="1"/>
    <col min="1811" max="1812" width="11.42578125" customWidth="1"/>
    <col min="1813" max="1813" width="38.140625" customWidth="1"/>
    <col min="1814" max="1814" width="15.7109375" customWidth="1"/>
    <col min="1815" max="1815" width="14.5703125" customWidth="1"/>
    <col min="1816" max="1816" width="11.42578125" bestFit="1" customWidth="1"/>
    <col min="1817" max="1818" width="11.42578125" customWidth="1"/>
    <col min="1819" max="1819" width="11.42578125" bestFit="1" customWidth="1"/>
    <col min="1820" max="1821" width="11.42578125" customWidth="1"/>
    <col min="1822" max="1822" width="11" bestFit="1" customWidth="1"/>
    <col min="1823" max="1826" width="11.42578125" bestFit="1" customWidth="1"/>
    <col min="2049" max="2049" width="34.28515625" customWidth="1"/>
    <col min="2050" max="2050" width="50" customWidth="1"/>
    <col min="2051" max="2051" width="56.7109375" customWidth="1"/>
    <col min="2052" max="2052" width="35.42578125" customWidth="1"/>
    <col min="2053" max="2053" width="69.5703125" customWidth="1"/>
    <col min="2054" max="2054" width="55.140625" customWidth="1"/>
    <col min="2055" max="2055" width="20.42578125" customWidth="1"/>
    <col min="2056" max="2057" width="11.42578125" bestFit="1" customWidth="1"/>
    <col min="2058" max="2059" width="11.42578125" customWidth="1"/>
    <col min="2060" max="2060" width="11.42578125" bestFit="1" customWidth="1"/>
    <col min="2061" max="2062" width="11.42578125" customWidth="1"/>
    <col min="2063" max="2063" width="11.42578125" bestFit="1" customWidth="1"/>
    <col min="2064" max="2065" width="11.42578125" customWidth="1"/>
    <col min="2066" max="2066" width="11.42578125" bestFit="1" customWidth="1"/>
    <col min="2067" max="2068" width="11.42578125" customWidth="1"/>
    <col min="2069" max="2069" width="38.140625" customWidth="1"/>
    <col min="2070" max="2070" width="15.7109375" customWidth="1"/>
    <col min="2071" max="2071" width="14.5703125" customWidth="1"/>
    <col min="2072" max="2072" width="11.42578125" bestFit="1" customWidth="1"/>
    <col min="2073" max="2074" width="11.42578125" customWidth="1"/>
    <col min="2075" max="2075" width="11.42578125" bestFit="1" customWidth="1"/>
    <col min="2076" max="2077" width="11.42578125" customWidth="1"/>
    <col min="2078" max="2078" width="11" bestFit="1" customWidth="1"/>
    <col min="2079" max="2082" width="11.42578125" bestFit="1" customWidth="1"/>
    <col min="2305" max="2305" width="34.28515625" customWidth="1"/>
    <col min="2306" max="2306" width="50" customWidth="1"/>
    <col min="2307" max="2307" width="56.7109375" customWidth="1"/>
    <col min="2308" max="2308" width="35.42578125" customWidth="1"/>
    <col min="2309" max="2309" width="69.5703125" customWidth="1"/>
    <col min="2310" max="2310" width="55.140625" customWidth="1"/>
    <col min="2311" max="2311" width="20.42578125" customWidth="1"/>
    <col min="2312" max="2313" width="11.42578125" bestFit="1" customWidth="1"/>
    <col min="2314" max="2315" width="11.42578125" customWidth="1"/>
    <col min="2316" max="2316" width="11.42578125" bestFit="1" customWidth="1"/>
    <col min="2317" max="2318" width="11.42578125" customWidth="1"/>
    <col min="2319" max="2319" width="11.42578125" bestFit="1" customWidth="1"/>
    <col min="2320" max="2321" width="11.42578125" customWidth="1"/>
    <col min="2322" max="2322" width="11.42578125" bestFit="1" customWidth="1"/>
    <col min="2323" max="2324" width="11.42578125" customWidth="1"/>
    <col min="2325" max="2325" width="38.140625" customWidth="1"/>
    <col min="2326" max="2326" width="15.7109375" customWidth="1"/>
    <col min="2327" max="2327" width="14.5703125" customWidth="1"/>
    <col min="2328" max="2328" width="11.42578125" bestFit="1" customWidth="1"/>
    <col min="2329" max="2330" width="11.42578125" customWidth="1"/>
    <col min="2331" max="2331" width="11.42578125" bestFit="1" customWidth="1"/>
    <col min="2332" max="2333" width="11.42578125" customWidth="1"/>
    <col min="2334" max="2334" width="11" bestFit="1" customWidth="1"/>
    <col min="2335" max="2338" width="11.42578125" bestFit="1" customWidth="1"/>
    <col min="2561" max="2561" width="34.28515625" customWidth="1"/>
    <col min="2562" max="2562" width="50" customWidth="1"/>
    <col min="2563" max="2563" width="56.7109375" customWidth="1"/>
    <col min="2564" max="2564" width="35.42578125" customWidth="1"/>
    <col min="2565" max="2565" width="69.5703125" customWidth="1"/>
    <col min="2566" max="2566" width="55.140625" customWidth="1"/>
    <col min="2567" max="2567" width="20.42578125" customWidth="1"/>
    <col min="2568" max="2569" width="11.42578125" bestFit="1" customWidth="1"/>
    <col min="2570" max="2571" width="11.42578125" customWidth="1"/>
    <col min="2572" max="2572" width="11.42578125" bestFit="1" customWidth="1"/>
    <col min="2573" max="2574" width="11.42578125" customWidth="1"/>
    <col min="2575" max="2575" width="11.42578125" bestFit="1" customWidth="1"/>
    <col min="2576" max="2577" width="11.42578125" customWidth="1"/>
    <col min="2578" max="2578" width="11.42578125" bestFit="1" customWidth="1"/>
    <col min="2579" max="2580" width="11.42578125" customWidth="1"/>
    <col min="2581" max="2581" width="38.140625" customWidth="1"/>
    <col min="2582" max="2582" width="15.7109375" customWidth="1"/>
    <col min="2583" max="2583" width="14.5703125" customWidth="1"/>
    <col min="2584" max="2584" width="11.42578125" bestFit="1" customWidth="1"/>
    <col min="2585" max="2586" width="11.42578125" customWidth="1"/>
    <col min="2587" max="2587" width="11.42578125" bestFit="1" customWidth="1"/>
    <col min="2588" max="2589" width="11.42578125" customWidth="1"/>
    <col min="2590" max="2590" width="11" bestFit="1" customWidth="1"/>
    <col min="2591" max="2594" width="11.42578125" bestFit="1" customWidth="1"/>
    <col min="2817" max="2817" width="34.28515625" customWidth="1"/>
    <col min="2818" max="2818" width="50" customWidth="1"/>
    <col min="2819" max="2819" width="56.7109375" customWidth="1"/>
    <col min="2820" max="2820" width="35.42578125" customWidth="1"/>
    <col min="2821" max="2821" width="69.5703125" customWidth="1"/>
    <col min="2822" max="2822" width="55.140625" customWidth="1"/>
    <col min="2823" max="2823" width="20.42578125" customWidth="1"/>
    <col min="2824" max="2825" width="11.42578125" bestFit="1" customWidth="1"/>
    <col min="2826" max="2827" width="11.42578125" customWidth="1"/>
    <col min="2828" max="2828" width="11.42578125" bestFit="1" customWidth="1"/>
    <col min="2829" max="2830" width="11.42578125" customWidth="1"/>
    <col min="2831" max="2831" width="11.42578125" bestFit="1" customWidth="1"/>
    <col min="2832" max="2833" width="11.42578125" customWidth="1"/>
    <col min="2834" max="2834" width="11.42578125" bestFit="1" customWidth="1"/>
    <col min="2835" max="2836" width="11.42578125" customWidth="1"/>
    <col min="2837" max="2837" width="38.140625" customWidth="1"/>
    <col min="2838" max="2838" width="15.7109375" customWidth="1"/>
    <col min="2839" max="2839" width="14.5703125" customWidth="1"/>
    <col min="2840" max="2840" width="11.42578125" bestFit="1" customWidth="1"/>
    <col min="2841" max="2842" width="11.42578125" customWidth="1"/>
    <col min="2843" max="2843" width="11.42578125" bestFit="1" customWidth="1"/>
    <col min="2844" max="2845" width="11.42578125" customWidth="1"/>
    <col min="2846" max="2846" width="11" bestFit="1" customWidth="1"/>
    <col min="2847" max="2850" width="11.42578125" bestFit="1" customWidth="1"/>
    <col min="3073" max="3073" width="34.28515625" customWidth="1"/>
    <col min="3074" max="3074" width="50" customWidth="1"/>
    <col min="3075" max="3075" width="56.7109375" customWidth="1"/>
    <col min="3076" max="3076" width="35.42578125" customWidth="1"/>
    <col min="3077" max="3077" width="69.5703125" customWidth="1"/>
    <col min="3078" max="3078" width="55.140625" customWidth="1"/>
    <col min="3079" max="3079" width="20.42578125" customWidth="1"/>
    <col min="3080" max="3081" width="11.42578125" bestFit="1" customWidth="1"/>
    <col min="3082" max="3083" width="11.42578125" customWidth="1"/>
    <col min="3084" max="3084" width="11.42578125" bestFit="1" customWidth="1"/>
    <col min="3085" max="3086" width="11.42578125" customWidth="1"/>
    <col min="3087" max="3087" width="11.42578125" bestFit="1" customWidth="1"/>
    <col min="3088" max="3089" width="11.42578125" customWidth="1"/>
    <col min="3090" max="3090" width="11.42578125" bestFit="1" customWidth="1"/>
    <col min="3091" max="3092" width="11.42578125" customWidth="1"/>
    <col min="3093" max="3093" width="38.140625" customWidth="1"/>
    <col min="3094" max="3094" width="15.7109375" customWidth="1"/>
    <col min="3095" max="3095" width="14.5703125" customWidth="1"/>
    <col min="3096" max="3096" width="11.42578125" bestFit="1" customWidth="1"/>
    <col min="3097" max="3098" width="11.42578125" customWidth="1"/>
    <col min="3099" max="3099" width="11.42578125" bestFit="1" customWidth="1"/>
    <col min="3100" max="3101" width="11.42578125" customWidth="1"/>
    <col min="3102" max="3102" width="11" bestFit="1" customWidth="1"/>
    <col min="3103" max="3106" width="11.42578125" bestFit="1" customWidth="1"/>
    <col min="3329" max="3329" width="34.28515625" customWidth="1"/>
    <col min="3330" max="3330" width="50" customWidth="1"/>
    <col min="3331" max="3331" width="56.7109375" customWidth="1"/>
    <col min="3332" max="3332" width="35.42578125" customWidth="1"/>
    <col min="3333" max="3333" width="69.5703125" customWidth="1"/>
    <col min="3334" max="3334" width="55.140625" customWidth="1"/>
    <col min="3335" max="3335" width="20.42578125" customWidth="1"/>
    <col min="3336" max="3337" width="11.42578125" bestFit="1" customWidth="1"/>
    <col min="3338" max="3339" width="11.42578125" customWidth="1"/>
    <col min="3340" max="3340" width="11.42578125" bestFit="1" customWidth="1"/>
    <col min="3341" max="3342" width="11.42578125" customWidth="1"/>
    <col min="3343" max="3343" width="11.42578125" bestFit="1" customWidth="1"/>
    <col min="3344" max="3345" width="11.42578125" customWidth="1"/>
    <col min="3346" max="3346" width="11.42578125" bestFit="1" customWidth="1"/>
    <col min="3347" max="3348" width="11.42578125" customWidth="1"/>
    <col min="3349" max="3349" width="38.140625" customWidth="1"/>
    <col min="3350" max="3350" width="15.7109375" customWidth="1"/>
    <col min="3351" max="3351" width="14.5703125" customWidth="1"/>
    <col min="3352" max="3352" width="11.42578125" bestFit="1" customWidth="1"/>
    <col min="3353" max="3354" width="11.42578125" customWidth="1"/>
    <col min="3355" max="3355" width="11.42578125" bestFit="1" customWidth="1"/>
    <col min="3356" max="3357" width="11.42578125" customWidth="1"/>
    <col min="3358" max="3358" width="11" bestFit="1" customWidth="1"/>
    <col min="3359" max="3362" width="11.42578125" bestFit="1" customWidth="1"/>
    <col min="3585" max="3585" width="34.28515625" customWidth="1"/>
    <col min="3586" max="3586" width="50" customWidth="1"/>
    <col min="3587" max="3587" width="56.7109375" customWidth="1"/>
    <col min="3588" max="3588" width="35.42578125" customWidth="1"/>
    <col min="3589" max="3589" width="69.5703125" customWidth="1"/>
    <col min="3590" max="3590" width="55.140625" customWidth="1"/>
    <col min="3591" max="3591" width="20.42578125" customWidth="1"/>
    <col min="3592" max="3593" width="11.42578125" bestFit="1" customWidth="1"/>
    <col min="3594" max="3595" width="11.42578125" customWidth="1"/>
    <col min="3596" max="3596" width="11.42578125" bestFit="1" customWidth="1"/>
    <col min="3597" max="3598" width="11.42578125" customWidth="1"/>
    <col min="3599" max="3599" width="11.42578125" bestFit="1" customWidth="1"/>
    <col min="3600" max="3601" width="11.42578125" customWidth="1"/>
    <col min="3602" max="3602" width="11.42578125" bestFit="1" customWidth="1"/>
    <col min="3603" max="3604" width="11.42578125" customWidth="1"/>
    <col min="3605" max="3605" width="38.140625" customWidth="1"/>
    <col min="3606" max="3606" width="15.7109375" customWidth="1"/>
    <col min="3607" max="3607" width="14.5703125" customWidth="1"/>
    <col min="3608" max="3608" width="11.42578125" bestFit="1" customWidth="1"/>
    <col min="3609" max="3610" width="11.42578125" customWidth="1"/>
    <col min="3611" max="3611" width="11.42578125" bestFit="1" customWidth="1"/>
    <col min="3612" max="3613" width="11.42578125" customWidth="1"/>
    <col min="3614" max="3614" width="11" bestFit="1" customWidth="1"/>
    <col min="3615" max="3618" width="11.42578125" bestFit="1" customWidth="1"/>
    <col min="3841" max="3841" width="34.28515625" customWidth="1"/>
    <col min="3842" max="3842" width="50" customWidth="1"/>
    <col min="3843" max="3843" width="56.7109375" customWidth="1"/>
    <col min="3844" max="3844" width="35.42578125" customWidth="1"/>
    <col min="3845" max="3845" width="69.5703125" customWidth="1"/>
    <col min="3846" max="3846" width="55.140625" customWidth="1"/>
    <col min="3847" max="3847" width="20.42578125" customWidth="1"/>
    <col min="3848" max="3849" width="11.42578125" bestFit="1" customWidth="1"/>
    <col min="3850" max="3851" width="11.42578125" customWidth="1"/>
    <col min="3852" max="3852" width="11.42578125" bestFit="1" customWidth="1"/>
    <col min="3853" max="3854" width="11.42578125" customWidth="1"/>
    <col min="3855" max="3855" width="11.42578125" bestFit="1" customWidth="1"/>
    <col min="3856" max="3857" width="11.42578125" customWidth="1"/>
    <col min="3858" max="3858" width="11.42578125" bestFit="1" customWidth="1"/>
    <col min="3859" max="3860" width="11.42578125" customWidth="1"/>
    <col min="3861" max="3861" width="38.140625" customWidth="1"/>
    <col min="3862" max="3862" width="15.7109375" customWidth="1"/>
    <col min="3863" max="3863" width="14.5703125" customWidth="1"/>
    <col min="3864" max="3864" width="11.42578125" bestFit="1" customWidth="1"/>
    <col min="3865" max="3866" width="11.42578125" customWidth="1"/>
    <col min="3867" max="3867" width="11.42578125" bestFit="1" customWidth="1"/>
    <col min="3868" max="3869" width="11.42578125" customWidth="1"/>
    <col min="3870" max="3870" width="11" bestFit="1" customWidth="1"/>
    <col min="3871" max="3874" width="11.42578125" bestFit="1" customWidth="1"/>
    <col min="4097" max="4097" width="34.28515625" customWidth="1"/>
    <col min="4098" max="4098" width="50" customWidth="1"/>
    <col min="4099" max="4099" width="56.7109375" customWidth="1"/>
    <col min="4100" max="4100" width="35.42578125" customWidth="1"/>
    <col min="4101" max="4101" width="69.5703125" customWidth="1"/>
    <col min="4102" max="4102" width="55.140625" customWidth="1"/>
    <col min="4103" max="4103" width="20.42578125" customWidth="1"/>
    <col min="4104" max="4105" width="11.42578125" bestFit="1" customWidth="1"/>
    <col min="4106" max="4107" width="11.42578125" customWidth="1"/>
    <col min="4108" max="4108" width="11.42578125" bestFit="1" customWidth="1"/>
    <col min="4109" max="4110" width="11.42578125" customWidth="1"/>
    <col min="4111" max="4111" width="11.42578125" bestFit="1" customWidth="1"/>
    <col min="4112" max="4113" width="11.42578125" customWidth="1"/>
    <col min="4114" max="4114" width="11.42578125" bestFit="1" customWidth="1"/>
    <col min="4115" max="4116" width="11.42578125" customWidth="1"/>
    <col min="4117" max="4117" width="38.140625" customWidth="1"/>
    <col min="4118" max="4118" width="15.7109375" customWidth="1"/>
    <col min="4119" max="4119" width="14.5703125" customWidth="1"/>
    <col min="4120" max="4120" width="11.42578125" bestFit="1" customWidth="1"/>
    <col min="4121" max="4122" width="11.42578125" customWidth="1"/>
    <col min="4123" max="4123" width="11.42578125" bestFit="1" customWidth="1"/>
    <col min="4124" max="4125" width="11.42578125" customWidth="1"/>
    <col min="4126" max="4126" width="11" bestFit="1" customWidth="1"/>
    <col min="4127" max="4130" width="11.42578125" bestFit="1" customWidth="1"/>
    <col min="4353" max="4353" width="34.28515625" customWidth="1"/>
    <col min="4354" max="4354" width="50" customWidth="1"/>
    <col min="4355" max="4355" width="56.7109375" customWidth="1"/>
    <col min="4356" max="4356" width="35.42578125" customWidth="1"/>
    <col min="4357" max="4357" width="69.5703125" customWidth="1"/>
    <col min="4358" max="4358" width="55.140625" customWidth="1"/>
    <col min="4359" max="4359" width="20.42578125" customWidth="1"/>
    <col min="4360" max="4361" width="11.42578125" bestFit="1" customWidth="1"/>
    <col min="4362" max="4363" width="11.42578125" customWidth="1"/>
    <col min="4364" max="4364" width="11.42578125" bestFit="1" customWidth="1"/>
    <col min="4365" max="4366" width="11.42578125" customWidth="1"/>
    <col min="4367" max="4367" width="11.42578125" bestFit="1" customWidth="1"/>
    <col min="4368" max="4369" width="11.42578125" customWidth="1"/>
    <col min="4370" max="4370" width="11.42578125" bestFit="1" customWidth="1"/>
    <col min="4371" max="4372" width="11.42578125" customWidth="1"/>
    <col min="4373" max="4373" width="38.140625" customWidth="1"/>
    <col min="4374" max="4374" width="15.7109375" customWidth="1"/>
    <col min="4375" max="4375" width="14.5703125" customWidth="1"/>
    <col min="4376" max="4376" width="11.42578125" bestFit="1" customWidth="1"/>
    <col min="4377" max="4378" width="11.42578125" customWidth="1"/>
    <col min="4379" max="4379" width="11.42578125" bestFit="1" customWidth="1"/>
    <col min="4380" max="4381" width="11.42578125" customWidth="1"/>
    <col min="4382" max="4382" width="11" bestFit="1" customWidth="1"/>
    <col min="4383" max="4386" width="11.42578125" bestFit="1" customWidth="1"/>
    <col min="4609" max="4609" width="34.28515625" customWidth="1"/>
    <col min="4610" max="4610" width="50" customWidth="1"/>
    <col min="4611" max="4611" width="56.7109375" customWidth="1"/>
    <col min="4612" max="4612" width="35.42578125" customWidth="1"/>
    <col min="4613" max="4613" width="69.5703125" customWidth="1"/>
    <col min="4614" max="4614" width="55.140625" customWidth="1"/>
    <col min="4615" max="4615" width="20.42578125" customWidth="1"/>
    <col min="4616" max="4617" width="11.42578125" bestFit="1" customWidth="1"/>
    <col min="4618" max="4619" width="11.42578125" customWidth="1"/>
    <col min="4620" max="4620" width="11.42578125" bestFit="1" customWidth="1"/>
    <col min="4621" max="4622" width="11.42578125" customWidth="1"/>
    <col min="4623" max="4623" width="11.42578125" bestFit="1" customWidth="1"/>
    <col min="4624" max="4625" width="11.42578125" customWidth="1"/>
    <col min="4626" max="4626" width="11.42578125" bestFit="1" customWidth="1"/>
    <col min="4627" max="4628" width="11.42578125" customWidth="1"/>
    <col min="4629" max="4629" width="38.140625" customWidth="1"/>
    <col min="4630" max="4630" width="15.7109375" customWidth="1"/>
    <col min="4631" max="4631" width="14.5703125" customWidth="1"/>
    <col min="4632" max="4632" width="11.42578125" bestFit="1" customWidth="1"/>
    <col min="4633" max="4634" width="11.42578125" customWidth="1"/>
    <col min="4635" max="4635" width="11.42578125" bestFit="1" customWidth="1"/>
    <col min="4636" max="4637" width="11.42578125" customWidth="1"/>
    <col min="4638" max="4638" width="11" bestFit="1" customWidth="1"/>
    <col min="4639" max="4642" width="11.42578125" bestFit="1" customWidth="1"/>
    <col min="4865" max="4865" width="34.28515625" customWidth="1"/>
    <col min="4866" max="4866" width="50" customWidth="1"/>
    <col min="4867" max="4867" width="56.7109375" customWidth="1"/>
    <col min="4868" max="4868" width="35.42578125" customWidth="1"/>
    <col min="4869" max="4869" width="69.5703125" customWidth="1"/>
    <col min="4870" max="4870" width="55.140625" customWidth="1"/>
    <col min="4871" max="4871" width="20.42578125" customWidth="1"/>
    <col min="4872" max="4873" width="11.42578125" bestFit="1" customWidth="1"/>
    <col min="4874" max="4875" width="11.42578125" customWidth="1"/>
    <col min="4876" max="4876" width="11.42578125" bestFit="1" customWidth="1"/>
    <col min="4877" max="4878" width="11.42578125" customWidth="1"/>
    <col min="4879" max="4879" width="11.42578125" bestFit="1" customWidth="1"/>
    <col min="4880" max="4881" width="11.42578125" customWidth="1"/>
    <col min="4882" max="4882" width="11.42578125" bestFit="1" customWidth="1"/>
    <col min="4883" max="4884" width="11.42578125" customWidth="1"/>
    <col min="4885" max="4885" width="38.140625" customWidth="1"/>
    <col min="4886" max="4886" width="15.7109375" customWidth="1"/>
    <col min="4887" max="4887" width="14.5703125" customWidth="1"/>
    <col min="4888" max="4888" width="11.42578125" bestFit="1" customWidth="1"/>
    <col min="4889" max="4890" width="11.42578125" customWidth="1"/>
    <col min="4891" max="4891" width="11.42578125" bestFit="1" customWidth="1"/>
    <col min="4892" max="4893" width="11.42578125" customWidth="1"/>
    <col min="4894" max="4894" width="11" bestFit="1" customWidth="1"/>
    <col min="4895" max="4898" width="11.42578125" bestFit="1" customWidth="1"/>
    <col min="5121" max="5121" width="34.28515625" customWidth="1"/>
    <col min="5122" max="5122" width="50" customWidth="1"/>
    <col min="5123" max="5123" width="56.7109375" customWidth="1"/>
    <col min="5124" max="5124" width="35.42578125" customWidth="1"/>
    <col min="5125" max="5125" width="69.5703125" customWidth="1"/>
    <col min="5126" max="5126" width="55.140625" customWidth="1"/>
    <col min="5127" max="5127" width="20.42578125" customWidth="1"/>
    <col min="5128" max="5129" width="11.42578125" bestFit="1" customWidth="1"/>
    <col min="5130" max="5131" width="11.42578125" customWidth="1"/>
    <col min="5132" max="5132" width="11.42578125" bestFit="1" customWidth="1"/>
    <col min="5133" max="5134" width="11.42578125" customWidth="1"/>
    <col min="5135" max="5135" width="11.42578125" bestFit="1" customWidth="1"/>
    <col min="5136" max="5137" width="11.42578125" customWidth="1"/>
    <col min="5138" max="5138" width="11.42578125" bestFit="1" customWidth="1"/>
    <col min="5139" max="5140" width="11.42578125" customWidth="1"/>
    <col min="5141" max="5141" width="38.140625" customWidth="1"/>
    <col min="5142" max="5142" width="15.7109375" customWidth="1"/>
    <col min="5143" max="5143" width="14.5703125" customWidth="1"/>
    <col min="5144" max="5144" width="11.42578125" bestFit="1" customWidth="1"/>
    <col min="5145" max="5146" width="11.42578125" customWidth="1"/>
    <col min="5147" max="5147" width="11.42578125" bestFit="1" customWidth="1"/>
    <col min="5148" max="5149" width="11.42578125" customWidth="1"/>
    <col min="5150" max="5150" width="11" bestFit="1" customWidth="1"/>
    <col min="5151" max="5154" width="11.42578125" bestFit="1" customWidth="1"/>
    <col min="5377" max="5377" width="34.28515625" customWidth="1"/>
    <col min="5378" max="5378" width="50" customWidth="1"/>
    <col min="5379" max="5379" width="56.7109375" customWidth="1"/>
    <col min="5380" max="5380" width="35.42578125" customWidth="1"/>
    <col min="5381" max="5381" width="69.5703125" customWidth="1"/>
    <col min="5382" max="5382" width="55.140625" customWidth="1"/>
    <col min="5383" max="5383" width="20.42578125" customWidth="1"/>
    <col min="5384" max="5385" width="11.42578125" bestFit="1" customWidth="1"/>
    <col min="5386" max="5387" width="11.42578125" customWidth="1"/>
    <col min="5388" max="5388" width="11.42578125" bestFit="1" customWidth="1"/>
    <col min="5389" max="5390" width="11.42578125" customWidth="1"/>
    <col min="5391" max="5391" width="11.42578125" bestFit="1" customWidth="1"/>
    <col min="5392" max="5393" width="11.42578125" customWidth="1"/>
    <col min="5394" max="5394" width="11.42578125" bestFit="1" customWidth="1"/>
    <col min="5395" max="5396" width="11.42578125" customWidth="1"/>
    <col min="5397" max="5397" width="38.140625" customWidth="1"/>
    <col min="5398" max="5398" width="15.7109375" customWidth="1"/>
    <col min="5399" max="5399" width="14.5703125" customWidth="1"/>
    <col min="5400" max="5400" width="11.42578125" bestFit="1" customWidth="1"/>
    <col min="5401" max="5402" width="11.42578125" customWidth="1"/>
    <col min="5403" max="5403" width="11.42578125" bestFit="1" customWidth="1"/>
    <col min="5404" max="5405" width="11.42578125" customWidth="1"/>
    <col min="5406" max="5406" width="11" bestFit="1" customWidth="1"/>
    <col min="5407" max="5410" width="11.42578125" bestFit="1" customWidth="1"/>
    <col min="5633" max="5633" width="34.28515625" customWidth="1"/>
    <col min="5634" max="5634" width="50" customWidth="1"/>
    <col min="5635" max="5635" width="56.7109375" customWidth="1"/>
    <col min="5636" max="5636" width="35.42578125" customWidth="1"/>
    <col min="5637" max="5637" width="69.5703125" customWidth="1"/>
    <col min="5638" max="5638" width="55.140625" customWidth="1"/>
    <col min="5639" max="5639" width="20.42578125" customWidth="1"/>
    <col min="5640" max="5641" width="11.42578125" bestFit="1" customWidth="1"/>
    <col min="5642" max="5643" width="11.42578125" customWidth="1"/>
    <col min="5644" max="5644" width="11.42578125" bestFit="1" customWidth="1"/>
    <col min="5645" max="5646" width="11.42578125" customWidth="1"/>
    <col min="5647" max="5647" width="11.42578125" bestFit="1" customWidth="1"/>
    <col min="5648" max="5649" width="11.42578125" customWidth="1"/>
    <col min="5650" max="5650" width="11.42578125" bestFit="1" customWidth="1"/>
    <col min="5651" max="5652" width="11.42578125" customWidth="1"/>
    <col min="5653" max="5653" width="38.140625" customWidth="1"/>
    <col min="5654" max="5654" width="15.7109375" customWidth="1"/>
    <col min="5655" max="5655" width="14.5703125" customWidth="1"/>
    <col min="5656" max="5656" width="11.42578125" bestFit="1" customWidth="1"/>
    <col min="5657" max="5658" width="11.42578125" customWidth="1"/>
    <col min="5659" max="5659" width="11.42578125" bestFit="1" customWidth="1"/>
    <col min="5660" max="5661" width="11.42578125" customWidth="1"/>
    <col min="5662" max="5662" width="11" bestFit="1" customWidth="1"/>
    <col min="5663" max="5666" width="11.42578125" bestFit="1" customWidth="1"/>
    <col min="5889" max="5889" width="34.28515625" customWidth="1"/>
    <col min="5890" max="5890" width="50" customWidth="1"/>
    <col min="5891" max="5891" width="56.7109375" customWidth="1"/>
    <col min="5892" max="5892" width="35.42578125" customWidth="1"/>
    <col min="5893" max="5893" width="69.5703125" customWidth="1"/>
    <col min="5894" max="5894" width="55.140625" customWidth="1"/>
    <col min="5895" max="5895" width="20.42578125" customWidth="1"/>
    <col min="5896" max="5897" width="11.42578125" bestFit="1" customWidth="1"/>
    <col min="5898" max="5899" width="11.42578125" customWidth="1"/>
    <col min="5900" max="5900" width="11.42578125" bestFit="1" customWidth="1"/>
    <col min="5901" max="5902" width="11.42578125" customWidth="1"/>
    <col min="5903" max="5903" width="11.42578125" bestFit="1" customWidth="1"/>
    <col min="5904" max="5905" width="11.42578125" customWidth="1"/>
    <col min="5906" max="5906" width="11.42578125" bestFit="1" customWidth="1"/>
    <col min="5907" max="5908" width="11.42578125" customWidth="1"/>
    <col min="5909" max="5909" width="38.140625" customWidth="1"/>
    <col min="5910" max="5910" width="15.7109375" customWidth="1"/>
    <col min="5911" max="5911" width="14.5703125" customWidth="1"/>
    <col min="5912" max="5912" width="11.42578125" bestFit="1" customWidth="1"/>
    <col min="5913" max="5914" width="11.42578125" customWidth="1"/>
    <col min="5915" max="5915" width="11.42578125" bestFit="1" customWidth="1"/>
    <col min="5916" max="5917" width="11.42578125" customWidth="1"/>
    <col min="5918" max="5918" width="11" bestFit="1" customWidth="1"/>
    <col min="5919" max="5922" width="11.42578125" bestFit="1" customWidth="1"/>
    <col min="6145" max="6145" width="34.28515625" customWidth="1"/>
    <col min="6146" max="6146" width="50" customWidth="1"/>
    <col min="6147" max="6147" width="56.7109375" customWidth="1"/>
    <col min="6148" max="6148" width="35.42578125" customWidth="1"/>
    <col min="6149" max="6149" width="69.5703125" customWidth="1"/>
    <col min="6150" max="6150" width="55.140625" customWidth="1"/>
    <col min="6151" max="6151" width="20.42578125" customWidth="1"/>
    <col min="6152" max="6153" width="11.42578125" bestFit="1" customWidth="1"/>
    <col min="6154" max="6155" width="11.42578125" customWidth="1"/>
    <col min="6156" max="6156" width="11.42578125" bestFit="1" customWidth="1"/>
    <col min="6157" max="6158" width="11.42578125" customWidth="1"/>
    <col min="6159" max="6159" width="11.42578125" bestFit="1" customWidth="1"/>
    <col min="6160" max="6161" width="11.42578125" customWidth="1"/>
    <col min="6162" max="6162" width="11.42578125" bestFit="1" customWidth="1"/>
    <col min="6163" max="6164" width="11.42578125" customWidth="1"/>
    <col min="6165" max="6165" width="38.140625" customWidth="1"/>
    <col min="6166" max="6166" width="15.7109375" customWidth="1"/>
    <col min="6167" max="6167" width="14.5703125" customWidth="1"/>
    <col min="6168" max="6168" width="11.42578125" bestFit="1" customWidth="1"/>
    <col min="6169" max="6170" width="11.42578125" customWidth="1"/>
    <col min="6171" max="6171" width="11.42578125" bestFit="1" customWidth="1"/>
    <col min="6172" max="6173" width="11.42578125" customWidth="1"/>
    <col min="6174" max="6174" width="11" bestFit="1" customWidth="1"/>
    <col min="6175" max="6178" width="11.42578125" bestFit="1" customWidth="1"/>
    <col min="6401" max="6401" width="34.28515625" customWidth="1"/>
    <col min="6402" max="6402" width="50" customWidth="1"/>
    <col min="6403" max="6403" width="56.7109375" customWidth="1"/>
    <col min="6404" max="6404" width="35.42578125" customWidth="1"/>
    <col min="6405" max="6405" width="69.5703125" customWidth="1"/>
    <col min="6406" max="6406" width="55.140625" customWidth="1"/>
    <col min="6407" max="6407" width="20.42578125" customWidth="1"/>
    <col min="6408" max="6409" width="11.42578125" bestFit="1" customWidth="1"/>
    <col min="6410" max="6411" width="11.42578125" customWidth="1"/>
    <col min="6412" max="6412" width="11.42578125" bestFit="1" customWidth="1"/>
    <col min="6413" max="6414" width="11.42578125" customWidth="1"/>
    <col min="6415" max="6415" width="11.42578125" bestFit="1" customWidth="1"/>
    <col min="6416" max="6417" width="11.42578125" customWidth="1"/>
    <col min="6418" max="6418" width="11.42578125" bestFit="1" customWidth="1"/>
    <col min="6419" max="6420" width="11.42578125" customWidth="1"/>
    <col min="6421" max="6421" width="38.140625" customWidth="1"/>
    <col min="6422" max="6422" width="15.7109375" customWidth="1"/>
    <col min="6423" max="6423" width="14.5703125" customWidth="1"/>
    <col min="6424" max="6424" width="11.42578125" bestFit="1" customWidth="1"/>
    <col min="6425" max="6426" width="11.42578125" customWidth="1"/>
    <col min="6427" max="6427" width="11.42578125" bestFit="1" customWidth="1"/>
    <col min="6428" max="6429" width="11.42578125" customWidth="1"/>
    <col min="6430" max="6430" width="11" bestFit="1" customWidth="1"/>
    <col min="6431" max="6434" width="11.42578125" bestFit="1" customWidth="1"/>
    <col min="6657" max="6657" width="34.28515625" customWidth="1"/>
    <col min="6658" max="6658" width="50" customWidth="1"/>
    <col min="6659" max="6659" width="56.7109375" customWidth="1"/>
    <col min="6660" max="6660" width="35.42578125" customWidth="1"/>
    <col min="6661" max="6661" width="69.5703125" customWidth="1"/>
    <col min="6662" max="6662" width="55.140625" customWidth="1"/>
    <col min="6663" max="6663" width="20.42578125" customWidth="1"/>
    <col min="6664" max="6665" width="11.42578125" bestFit="1" customWidth="1"/>
    <col min="6666" max="6667" width="11.42578125" customWidth="1"/>
    <col min="6668" max="6668" width="11.42578125" bestFit="1" customWidth="1"/>
    <col min="6669" max="6670" width="11.42578125" customWidth="1"/>
    <col min="6671" max="6671" width="11.42578125" bestFit="1" customWidth="1"/>
    <col min="6672" max="6673" width="11.42578125" customWidth="1"/>
    <col min="6674" max="6674" width="11.42578125" bestFit="1" customWidth="1"/>
    <col min="6675" max="6676" width="11.42578125" customWidth="1"/>
    <col min="6677" max="6677" width="38.140625" customWidth="1"/>
    <col min="6678" max="6678" width="15.7109375" customWidth="1"/>
    <col min="6679" max="6679" width="14.5703125" customWidth="1"/>
    <col min="6680" max="6680" width="11.42578125" bestFit="1" customWidth="1"/>
    <col min="6681" max="6682" width="11.42578125" customWidth="1"/>
    <col min="6683" max="6683" width="11.42578125" bestFit="1" customWidth="1"/>
    <col min="6684" max="6685" width="11.42578125" customWidth="1"/>
    <col min="6686" max="6686" width="11" bestFit="1" customWidth="1"/>
    <col min="6687" max="6690" width="11.42578125" bestFit="1" customWidth="1"/>
    <col min="6913" max="6913" width="34.28515625" customWidth="1"/>
    <col min="6914" max="6914" width="50" customWidth="1"/>
    <col min="6915" max="6915" width="56.7109375" customWidth="1"/>
    <col min="6916" max="6916" width="35.42578125" customWidth="1"/>
    <col min="6917" max="6917" width="69.5703125" customWidth="1"/>
    <col min="6918" max="6918" width="55.140625" customWidth="1"/>
    <col min="6919" max="6919" width="20.42578125" customWidth="1"/>
    <col min="6920" max="6921" width="11.42578125" bestFit="1" customWidth="1"/>
    <col min="6922" max="6923" width="11.42578125" customWidth="1"/>
    <col min="6924" max="6924" width="11.42578125" bestFit="1" customWidth="1"/>
    <col min="6925" max="6926" width="11.42578125" customWidth="1"/>
    <col min="6927" max="6927" width="11.42578125" bestFit="1" customWidth="1"/>
    <col min="6928" max="6929" width="11.42578125" customWidth="1"/>
    <col min="6930" max="6930" width="11.42578125" bestFit="1" customWidth="1"/>
    <col min="6931" max="6932" width="11.42578125" customWidth="1"/>
    <col min="6933" max="6933" width="38.140625" customWidth="1"/>
    <col min="6934" max="6934" width="15.7109375" customWidth="1"/>
    <col min="6935" max="6935" width="14.5703125" customWidth="1"/>
    <col min="6936" max="6936" width="11.42578125" bestFit="1" customWidth="1"/>
    <col min="6937" max="6938" width="11.42578125" customWidth="1"/>
    <col min="6939" max="6939" width="11.42578125" bestFit="1" customWidth="1"/>
    <col min="6940" max="6941" width="11.42578125" customWidth="1"/>
    <col min="6942" max="6942" width="11" bestFit="1" customWidth="1"/>
    <col min="6943" max="6946" width="11.42578125" bestFit="1" customWidth="1"/>
    <col min="7169" max="7169" width="34.28515625" customWidth="1"/>
    <col min="7170" max="7170" width="50" customWidth="1"/>
    <col min="7171" max="7171" width="56.7109375" customWidth="1"/>
    <col min="7172" max="7172" width="35.42578125" customWidth="1"/>
    <col min="7173" max="7173" width="69.5703125" customWidth="1"/>
    <col min="7174" max="7174" width="55.140625" customWidth="1"/>
    <col min="7175" max="7175" width="20.42578125" customWidth="1"/>
    <col min="7176" max="7177" width="11.42578125" bestFit="1" customWidth="1"/>
    <col min="7178" max="7179" width="11.42578125" customWidth="1"/>
    <col min="7180" max="7180" width="11.42578125" bestFit="1" customWidth="1"/>
    <col min="7181" max="7182" width="11.42578125" customWidth="1"/>
    <col min="7183" max="7183" width="11.42578125" bestFit="1" customWidth="1"/>
    <col min="7184" max="7185" width="11.42578125" customWidth="1"/>
    <col min="7186" max="7186" width="11.42578125" bestFit="1" customWidth="1"/>
    <col min="7187" max="7188" width="11.42578125" customWidth="1"/>
    <col min="7189" max="7189" width="38.140625" customWidth="1"/>
    <col min="7190" max="7190" width="15.7109375" customWidth="1"/>
    <col min="7191" max="7191" width="14.5703125" customWidth="1"/>
    <col min="7192" max="7192" width="11.42578125" bestFit="1" customWidth="1"/>
    <col min="7193" max="7194" width="11.42578125" customWidth="1"/>
    <col min="7195" max="7195" width="11.42578125" bestFit="1" customWidth="1"/>
    <col min="7196" max="7197" width="11.42578125" customWidth="1"/>
    <col min="7198" max="7198" width="11" bestFit="1" customWidth="1"/>
    <col min="7199" max="7202" width="11.42578125" bestFit="1" customWidth="1"/>
    <col min="7425" max="7425" width="34.28515625" customWidth="1"/>
    <col min="7426" max="7426" width="50" customWidth="1"/>
    <col min="7427" max="7427" width="56.7109375" customWidth="1"/>
    <col min="7428" max="7428" width="35.42578125" customWidth="1"/>
    <col min="7429" max="7429" width="69.5703125" customWidth="1"/>
    <col min="7430" max="7430" width="55.140625" customWidth="1"/>
    <col min="7431" max="7431" width="20.42578125" customWidth="1"/>
    <col min="7432" max="7433" width="11.42578125" bestFit="1" customWidth="1"/>
    <col min="7434" max="7435" width="11.42578125" customWidth="1"/>
    <col min="7436" max="7436" width="11.42578125" bestFit="1" customWidth="1"/>
    <col min="7437" max="7438" width="11.42578125" customWidth="1"/>
    <col min="7439" max="7439" width="11.42578125" bestFit="1" customWidth="1"/>
    <col min="7440" max="7441" width="11.42578125" customWidth="1"/>
    <col min="7442" max="7442" width="11.42578125" bestFit="1" customWidth="1"/>
    <col min="7443" max="7444" width="11.42578125" customWidth="1"/>
    <col min="7445" max="7445" width="38.140625" customWidth="1"/>
    <col min="7446" max="7446" width="15.7109375" customWidth="1"/>
    <col min="7447" max="7447" width="14.5703125" customWidth="1"/>
    <col min="7448" max="7448" width="11.42578125" bestFit="1" customWidth="1"/>
    <col min="7449" max="7450" width="11.42578125" customWidth="1"/>
    <col min="7451" max="7451" width="11.42578125" bestFit="1" customWidth="1"/>
    <col min="7452" max="7453" width="11.42578125" customWidth="1"/>
    <col min="7454" max="7454" width="11" bestFit="1" customWidth="1"/>
    <col min="7455" max="7458" width="11.42578125" bestFit="1" customWidth="1"/>
    <col min="7681" max="7681" width="34.28515625" customWidth="1"/>
    <col min="7682" max="7682" width="50" customWidth="1"/>
    <col min="7683" max="7683" width="56.7109375" customWidth="1"/>
    <col min="7684" max="7684" width="35.42578125" customWidth="1"/>
    <col min="7685" max="7685" width="69.5703125" customWidth="1"/>
    <col min="7686" max="7686" width="55.140625" customWidth="1"/>
    <col min="7687" max="7687" width="20.42578125" customWidth="1"/>
    <col min="7688" max="7689" width="11.42578125" bestFit="1" customWidth="1"/>
    <col min="7690" max="7691" width="11.42578125" customWidth="1"/>
    <col min="7692" max="7692" width="11.42578125" bestFit="1" customWidth="1"/>
    <col min="7693" max="7694" width="11.42578125" customWidth="1"/>
    <col min="7695" max="7695" width="11.42578125" bestFit="1" customWidth="1"/>
    <col min="7696" max="7697" width="11.42578125" customWidth="1"/>
    <col min="7698" max="7698" width="11.42578125" bestFit="1" customWidth="1"/>
    <col min="7699" max="7700" width="11.42578125" customWidth="1"/>
    <col min="7701" max="7701" width="38.140625" customWidth="1"/>
    <col min="7702" max="7702" width="15.7109375" customWidth="1"/>
    <col min="7703" max="7703" width="14.5703125" customWidth="1"/>
    <col min="7704" max="7704" width="11.42578125" bestFit="1" customWidth="1"/>
    <col min="7705" max="7706" width="11.42578125" customWidth="1"/>
    <col min="7707" max="7707" width="11.42578125" bestFit="1" customWidth="1"/>
    <col min="7708" max="7709" width="11.42578125" customWidth="1"/>
    <col min="7710" max="7710" width="11" bestFit="1" customWidth="1"/>
    <col min="7711" max="7714" width="11.42578125" bestFit="1" customWidth="1"/>
    <col min="7937" max="7937" width="34.28515625" customWidth="1"/>
    <col min="7938" max="7938" width="50" customWidth="1"/>
    <col min="7939" max="7939" width="56.7109375" customWidth="1"/>
    <col min="7940" max="7940" width="35.42578125" customWidth="1"/>
    <col min="7941" max="7941" width="69.5703125" customWidth="1"/>
    <col min="7942" max="7942" width="55.140625" customWidth="1"/>
    <col min="7943" max="7943" width="20.42578125" customWidth="1"/>
    <col min="7944" max="7945" width="11.42578125" bestFit="1" customWidth="1"/>
    <col min="7946" max="7947" width="11.42578125" customWidth="1"/>
    <col min="7948" max="7948" width="11.42578125" bestFit="1" customWidth="1"/>
    <col min="7949" max="7950" width="11.42578125" customWidth="1"/>
    <col min="7951" max="7951" width="11.42578125" bestFit="1" customWidth="1"/>
    <col min="7952" max="7953" width="11.42578125" customWidth="1"/>
    <col min="7954" max="7954" width="11.42578125" bestFit="1" customWidth="1"/>
    <col min="7955" max="7956" width="11.42578125" customWidth="1"/>
    <col min="7957" max="7957" width="38.140625" customWidth="1"/>
    <col min="7958" max="7958" width="15.7109375" customWidth="1"/>
    <col min="7959" max="7959" width="14.5703125" customWidth="1"/>
    <col min="7960" max="7960" width="11.42578125" bestFit="1" customWidth="1"/>
    <col min="7961" max="7962" width="11.42578125" customWidth="1"/>
    <col min="7963" max="7963" width="11.42578125" bestFit="1" customWidth="1"/>
    <col min="7964" max="7965" width="11.42578125" customWidth="1"/>
    <col min="7966" max="7966" width="11" bestFit="1" customWidth="1"/>
    <col min="7967" max="7970" width="11.42578125" bestFit="1" customWidth="1"/>
    <col min="8193" max="8193" width="34.28515625" customWidth="1"/>
    <col min="8194" max="8194" width="50" customWidth="1"/>
    <col min="8195" max="8195" width="56.7109375" customWidth="1"/>
    <col min="8196" max="8196" width="35.42578125" customWidth="1"/>
    <col min="8197" max="8197" width="69.5703125" customWidth="1"/>
    <col min="8198" max="8198" width="55.140625" customWidth="1"/>
    <col min="8199" max="8199" width="20.42578125" customWidth="1"/>
    <col min="8200" max="8201" width="11.42578125" bestFit="1" customWidth="1"/>
    <col min="8202" max="8203" width="11.42578125" customWidth="1"/>
    <col min="8204" max="8204" width="11.42578125" bestFit="1" customWidth="1"/>
    <col min="8205" max="8206" width="11.42578125" customWidth="1"/>
    <col min="8207" max="8207" width="11.42578125" bestFit="1" customWidth="1"/>
    <col min="8208" max="8209" width="11.42578125" customWidth="1"/>
    <col min="8210" max="8210" width="11.42578125" bestFit="1" customWidth="1"/>
    <col min="8211" max="8212" width="11.42578125" customWidth="1"/>
    <col min="8213" max="8213" width="38.140625" customWidth="1"/>
    <col min="8214" max="8214" width="15.7109375" customWidth="1"/>
    <col min="8215" max="8215" width="14.5703125" customWidth="1"/>
    <col min="8216" max="8216" width="11.42578125" bestFit="1" customWidth="1"/>
    <col min="8217" max="8218" width="11.42578125" customWidth="1"/>
    <col min="8219" max="8219" width="11.42578125" bestFit="1" customWidth="1"/>
    <col min="8220" max="8221" width="11.42578125" customWidth="1"/>
    <col min="8222" max="8222" width="11" bestFit="1" customWidth="1"/>
    <col min="8223" max="8226" width="11.42578125" bestFit="1" customWidth="1"/>
    <col min="8449" max="8449" width="34.28515625" customWidth="1"/>
    <col min="8450" max="8450" width="50" customWidth="1"/>
    <col min="8451" max="8451" width="56.7109375" customWidth="1"/>
    <col min="8452" max="8452" width="35.42578125" customWidth="1"/>
    <col min="8453" max="8453" width="69.5703125" customWidth="1"/>
    <col min="8454" max="8454" width="55.140625" customWidth="1"/>
    <col min="8455" max="8455" width="20.42578125" customWidth="1"/>
    <col min="8456" max="8457" width="11.42578125" bestFit="1" customWidth="1"/>
    <col min="8458" max="8459" width="11.42578125" customWidth="1"/>
    <col min="8460" max="8460" width="11.42578125" bestFit="1" customWidth="1"/>
    <col min="8461" max="8462" width="11.42578125" customWidth="1"/>
    <col min="8463" max="8463" width="11.42578125" bestFit="1" customWidth="1"/>
    <col min="8464" max="8465" width="11.42578125" customWidth="1"/>
    <col min="8466" max="8466" width="11.42578125" bestFit="1" customWidth="1"/>
    <col min="8467" max="8468" width="11.42578125" customWidth="1"/>
    <col min="8469" max="8469" width="38.140625" customWidth="1"/>
    <col min="8470" max="8470" width="15.7109375" customWidth="1"/>
    <col min="8471" max="8471" width="14.5703125" customWidth="1"/>
    <col min="8472" max="8472" width="11.42578125" bestFit="1" customWidth="1"/>
    <col min="8473" max="8474" width="11.42578125" customWidth="1"/>
    <col min="8475" max="8475" width="11.42578125" bestFit="1" customWidth="1"/>
    <col min="8476" max="8477" width="11.42578125" customWidth="1"/>
    <col min="8478" max="8478" width="11" bestFit="1" customWidth="1"/>
    <col min="8479" max="8482" width="11.42578125" bestFit="1" customWidth="1"/>
    <col min="8705" max="8705" width="34.28515625" customWidth="1"/>
    <col min="8706" max="8706" width="50" customWidth="1"/>
    <col min="8707" max="8707" width="56.7109375" customWidth="1"/>
    <col min="8708" max="8708" width="35.42578125" customWidth="1"/>
    <col min="8709" max="8709" width="69.5703125" customWidth="1"/>
    <col min="8710" max="8710" width="55.140625" customWidth="1"/>
    <col min="8711" max="8711" width="20.42578125" customWidth="1"/>
    <col min="8712" max="8713" width="11.42578125" bestFit="1" customWidth="1"/>
    <col min="8714" max="8715" width="11.42578125" customWidth="1"/>
    <col min="8716" max="8716" width="11.42578125" bestFit="1" customWidth="1"/>
    <col min="8717" max="8718" width="11.42578125" customWidth="1"/>
    <col min="8719" max="8719" width="11.42578125" bestFit="1" customWidth="1"/>
    <col min="8720" max="8721" width="11.42578125" customWidth="1"/>
    <col min="8722" max="8722" width="11.42578125" bestFit="1" customWidth="1"/>
    <col min="8723" max="8724" width="11.42578125" customWidth="1"/>
    <col min="8725" max="8725" width="38.140625" customWidth="1"/>
    <col min="8726" max="8726" width="15.7109375" customWidth="1"/>
    <col min="8727" max="8727" width="14.5703125" customWidth="1"/>
    <col min="8728" max="8728" width="11.42578125" bestFit="1" customWidth="1"/>
    <col min="8729" max="8730" width="11.42578125" customWidth="1"/>
    <col min="8731" max="8731" width="11.42578125" bestFit="1" customWidth="1"/>
    <col min="8732" max="8733" width="11.42578125" customWidth="1"/>
    <col min="8734" max="8734" width="11" bestFit="1" customWidth="1"/>
    <col min="8735" max="8738" width="11.42578125" bestFit="1" customWidth="1"/>
    <col min="8961" max="8961" width="34.28515625" customWidth="1"/>
    <col min="8962" max="8962" width="50" customWidth="1"/>
    <col min="8963" max="8963" width="56.7109375" customWidth="1"/>
    <col min="8964" max="8964" width="35.42578125" customWidth="1"/>
    <col min="8965" max="8965" width="69.5703125" customWidth="1"/>
    <col min="8966" max="8966" width="55.140625" customWidth="1"/>
    <col min="8967" max="8967" width="20.42578125" customWidth="1"/>
    <col min="8968" max="8969" width="11.42578125" bestFit="1" customWidth="1"/>
    <col min="8970" max="8971" width="11.42578125" customWidth="1"/>
    <col min="8972" max="8972" width="11.42578125" bestFit="1" customWidth="1"/>
    <col min="8973" max="8974" width="11.42578125" customWidth="1"/>
    <col min="8975" max="8975" width="11.42578125" bestFit="1" customWidth="1"/>
    <col min="8976" max="8977" width="11.42578125" customWidth="1"/>
    <col min="8978" max="8978" width="11.42578125" bestFit="1" customWidth="1"/>
    <col min="8979" max="8980" width="11.42578125" customWidth="1"/>
    <col min="8981" max="8981" width="38.140625" customWidth="1"/>
    <col min="8982" max="8982" width="15.7109375" customWidth="1"/>
    <col min="8983" max="8983" width="14.5703125" customWidth="1"/>
    <col min="8984" max="8984" width="11.42578125" bestFit="1" customWidth="1"/>
    <col min="8985" max="8986" width="11.42578125" customWidth="1"/>
    <col min="8987" max="8987" width="11.42578125" bestFit="1" customWidth="1"/>
    <col min="8988" max="8989" width="11.42578125" customWidth="1"/>
    <col min="8990" max="8990" width="11" bestFit="1" customWidth="1"/>
    <col min="8991" max="8994" width="11.42578125" bestFit="1" customWidth="1"/>
    <col min="9217" max="9217" width="34.28515625" customWidth="1"/>
    <col min="9218" max="9218" width="50" customWidth="1"/>
    <col min="9219" max="9219" width="56.7109375" customWidth="1"/>
    <col min="9220" max="9220" width="35.42578125" customWidth="1"/>
    <col min="9221" max="9221" width="69.5703125" customWidth="1"/>
    <col min="9222" max="9222" width="55.140625" customWidth="1"/>
    <col min="9223" max="9223" width="20.42578125" customWidth="1"/>
    <col min="9224" max="9225" width="11.42578125" bestFit="1" customWidth="1"/>
    <col min="9226" max="9227" width="11.42578125" customWidth="1"/>
    <col min="9228" max="9228" width="11.42578125" bestFit="1" customWidth="1"/>
    <col min="9229" max="9230" width="11.42578125" customWidth="1"/>
    <col min="9231" max="9231" width="11.42578125" bestFit="1" customWidth="1"/>
    <col min="9232" max="9233" width="11.42578125" customWidth="1"/>
    <col min="9234" max="9234" width="11.42578125" bestFit="1" customWidth="1"/>
    <col min="9235" max="9236" width="11.42578125" customWidth="1"/>
    <col min="9237" max="9237" width="38.140625" customWidth="1"/>
    <col min="9238" max="9238" width="15.7109375" customWidth="1"/>
    <col min="9239" max="9239" width="14.5703125" customWidth="1"/>
    <col min="9240" max="9240" width="11.42578125" bestFit="1" customWidth="1"/>
    <col min="9241" max="9242" width="11.42578125" customWidth="1"/>
    <col min="9243" max="9243" width="11.42578125" bestFit="1" customWidth="1"/>
    <col min="9244" max="9245" width="11.42578125" customWidth="1"/>
    <col min="9246" max="9246" width="11" bestFit="1" customWidth="1"/>
    <col min="9247" max="9250" width="11.42578125" bestFit="1" customWidth="1"/>
    <col min="9473" max="9473" width="34.28515625" customWidth="1"/>
    <col min="9474" max="9474" width="50" customWidth="1"/>
    <col min="9475" max="9475" width="56.7109375" customWidth="1"/>
    <col min="9476" max="9476" width="35.42578125" customWidth="1"/>
    <col min="9477" max="9477" width="69.5703125" customWidth="1"/>
    <col min="9478" max="9478" width="55.140625" customWidth="1"/>
    <col min="9479" max="9479" width="20.42578125" customWidth="1"/>
    <col min="9480" max="9481" width="11.42578125" bestFit="1" customWidth="1"/>
    <col min="9482" max="9483" width="11.42578125" customWidth="1"/>
    <col min="9484" max="9484" width="11.42578125" bestFit="1" customWidth="1"/>
    <col min="9485" max="9486" width="11.42578125" customWidth="1"/>
    <col min="9487" max="9487" width="11.42578125" bestFit="1" customWidth="1"/>
    <col min="9488" max="9489" width="11.42578125" customWidth="1"/>
    <col min="9490" max="9490" width="11.42578125" bestFit="1" customWidth="1"/>
    <col min="9491" max="9492" width="11.42578125" customWidth="1"/>
    <col min="9493" max="9493" width="38.140625" customWidth="1"/>
    <col min="9494" max="9494" width="15.7109375" customWidth="1"/>
    <col min="9495" max="9495" width="14.5703125" customWidth="1"/>
    <col min="9496" max="9496" width="11.42578125" bestFit="1" customWidth="1"/>
    <col min="9497" max="9498" width="11.42578125" customWidth="1"/>
    <col min="9499" max="9499" width="11.42578125" bestFit="1" customWidth="1"/>
    <col min="9500" max="9501" width="11.42578125" customWidth="1"/>
    <col min="9502" max="9502" width="11" bestFit="1" customWidth="1"/>
    <col min="9503" max="9506" width="11.42578125" bestFit="1" customWidth="1"/>
    <col min="9729" max="9729" width="34.28515625" customWidth="1"/>
    <col min="9730" max="9730" width="50" customWidth="1"/>
    <col min="9731" max="9731" width="56.7109375" customWidth="1"/>
    <col min="9732" max="9732" width="35.42578125" customWidth="1"/>
    <col min="9733" max="9733" width="69.5703125" customWidth="1"/>
    <col min="9734" max="9734" width="55.140625" customWidth="1"/>
    <col min="9735" max="9735" width="20.42578125" customWidth="1"/>
    <col min="9736" max="9737" width="11.42578125" bestFit="1" customWidth="1"/>
    <col min="9738" max="9739" width="11.42578125" customWidth="1"/>
    <col min="9740" max="9740" width="11.42578125" bestFit="1" customWidth="1"/>
    <col min="9741" max="9742" width="11.42578125" customWidth="1"/>
    <col min="9743" max="9743" width="11.42578125" bestFit="1" customWidth="1"/>
    <col min="9744" max="9745" width="11.42578125" customWidth="1"/>
    <col min="9746" max="9746" width="11.42578125" bestFit="1" customWidth="1"/>
    <col min="9747" max="9748" width="11.42578125" customWidth="1"/>
    <col min="9749" max="9749" width="38.140625" customWidth="1"/>
    <col min="9750" max="9750" width="15.7109375" customWidth="1"/>
    <col min="9751" max="9751" width="14.5703125" customWidth="1"/>
    <col min="9752" max="9752" width="11.42578125" bestFit="1" customWidth="1"/>
    <col min="9753" max="9754" width="11.42578125" customWidth="1"/>
    <col min="9755" max="9755" width="11.42578125" bestFit="1" customWidth="1"/>
    <col min="9756" max="9757" width="11.42578125" customWidth="1"/>
    <col min="9758" max="9758" width="11" bestFit="1" customWidth="1"/>
    <col min="9759" max="9762" width="11.42578125" bestFit="1" customWidth="1"/>
    <col min="9985" max="9985" width="34.28515625" customWidth="1"/>
    <col min="9986" max="9986" width="50" customWidth="1"/>
    <col min="9987" max="9987" width="56.7109375" customWidth="1"/>
    <col min="9988" max="9988" width="35.42578125" customWidth="1"/>
    <col min="9989" max="9989" width="69.5703125" customWidth="1"/>
    <col min="9990" max="9990" width="55.140625" customWidth="1"/>
    <col min="9991" max="9991" width="20.42578125" customWidth="1"/>
    <col min="9992" max="9993" width="11.42578125" bestFit="1" customWidth="1"/>
    <col min="9994" max="9995" width="11.42578125" customWidth="1"/>
    <col min="9996" max="9996" width="11.42578125" bestFit="1" customWidth="1"/>
    <col min="9997" max="9998" width="11.42578125" customWidth="1"/>
    <col min="9999" max="9999" width="11.42578125" bestFit="1" customWidth="1"/>
    <col min="10000" max="10001" width="11.42578125" customWidth="1"/>
    <col min="10002" max="10002" width="11.42578125" bestFit="1" customWidth="1"/>
    <col min="10003" max="10004" width="11.42578125" customWidth="1"/>
    <col min="10005" max="10005" width="38.140625" customWidth="1"/>
    <col min="10006" max="10006" width="15.7109375" customWidth="1"/>
    <col min="10007" max="10007" width="14.5703125" customWidth="1"/>
    <col min="10008" max="10008" width="11.42578125" bestFit="1" customWidth="1"/>
    <col min="10009" max="10010" width="11.42578125" customWidth="1"/>
    <col min="10011" max="10011" width="11.42578125" bestFit="1" customWidth="1"/>
    <col min="10012" max="10013" width="11.42578125" customWidth="1"/>
    <col min="10014" max="10014" width="11" bestFit="1" customWidth="1"/>
    <col min="10015" max="10018" width="11.42578125" bestFit="1" customWidth="1"/>
    <col min="10241" max="10241" width="34.28515625" customWidth="1"/>
    <col min="10242" max="10242" width="50" customWidth="1"/>
    <col min="10243" max="10243" width="56.7109375" customWidth="1"/>
    <col min="10244" max="10244" width="35.42578125" customWidth="1"/>
    <col min="10245" max="10245" width="69.5703125" customWidth="1"/>
    <col min="10246" max="10246" width="55.140625" customWidth="1"/>
    <col min="10247" max="10247" width="20.42578125" customWidth="1"/>
    <col min="10248" max="10249" width="11.42578125" bestFit="1" customWidth="1"/>
    <col min="10250" max="10251" width="11.42578125" customWidth="1"/>
    <col min="10252" max="10252" width="11.42578125" bestFit="1" customWidth="1"/>
    <col min="10253" max="10254" width="11.42578125" customWidth="1"/>
    <col min="10255" max="10255" width="11.42578125" bestFit="1" customWidth="1"/>
    <col min="10256" max="10257" width="11.42578125" customWidth="1"/>
    <col min="10258" max="10258" width="11.42578125" bestFit="1" customWidth="1"/>
    <col min="10259" max="10260" width="11.42578125" customWidth="1"/>
    <col min="10261" max="10261" width="38.140625" customWidth="1"/>
    <col min="10262" max="10262" width="15.7109375" customWidth="1"/>
    <col min="10263" max="10263" width="14.5703125" customWidth="1"/>
    <col min="10264" max="10264" width="11.42578125" bestFit="1" customWidth="1"/>
    <col min="10265" max="10266" width="11.42578125" customWidth="1"/>
    <col min="10267" max="10267" width="11.42578125" bestFit="1" customWidth="1"/>
    <col min="10268" max="10269" width="11.42578125" customWidth="1"/>
    <col min="10270" max="10270" width="11" bestFit="1" customWidth="1"/>
    <col min="10271" max="10274" width="11.42578125" bestFit="1" customWidth="1"/>
    <col min="10497" max="10497" width="34.28515625" customWidth="1"/>
    <col min="10498" max="10498" width="50" customWidth="1"/>
    <col min="10499" max="10499" width="56.7109375" customWidth="1"/>
    <col min="10500" max="10500" width="35.42578125" customWidth="1"/>
    <col min="10501" max="10501" width="69.5703125" customWidth="1"/>
    <col min="10502" max="10502" width="55.140625" customWidth="1"/>
    <col min="10503" max="10503" width="20.42578125" customWidth="1"/>
    <col min="10504" max="10505" width="11.42578125" bestFit="1" customWidth="1"/>
    <col min="10506" max="10507" width="11.42578125" customWidth="1"/>
    <col min="10508" max="10508" width="11.42578125" bestFit="1" customWidth="1"/>
    <col min="10509" max="10510" width="11.42578125" customWidth="1"/>
    <col min="10511" max="10511" width="11.42578125" bestFit="1" customWidth="1"/>
    <col min="10512" max="10513" width="11.42578125" customWidth="1"/>
    <col min="10514" max="10514" width="11.42578125" bestFit="1" customWidth="1"/>
    <col min="10515" max="10516" width="11.42578125" customWidth="1"/>
    <col min="10517" max="10517" width="38.140625" customWidth="1"/>
    <col min="10518" max="10518" width="15.7109375" customWidth="1"/>
    <col min="10519" max="10519" width="14.5703125" customWidth="1"/>
    <col min="10520" max="10520" width="11.42578125" bestFit="1" customWidth="1"/>
    <col min="10521" max="10522" width="11.42578125" customWidth="1"/>
    <col min="10523" max="10523" width="11.42578125" bestFit="1" customWidth="1"/>
    <col min="10524" max="10525" width="11.42578125" customWidth="1"/>
    <col min="10526" max="10526" width="11" bestFit="1" customWidth="1"/>
    <col min="10527" max="10530" width="11.42578125" bestFit="1" customWidth="1"/>
    <col min="10753" max="10753" width="34.28515625" customWidth="1"/>
    <col min="10754" max="10754" width="50" customWidth="1"/>
    <col min="10755" max="10755" width="56.7109375" customWidth="1"/>
    <col min="10756" max="10756" width="35.42578125" customWidth="1"/>
    <col min="10757" max="10757" width="69.5703125" customWidth="1"/>
    <col min="10758" max="10758" width="55.140625" customWidth="1"/>
    <col min="10759" max="10759" width="20.42578125" customWidth="1"/>
    <col min="10760" max="10761" width="11.42578125" bestFit="1" customWidth="1"/>
    <col min="10762" max="10763" width="11.42578125" customWidth="1"/>
    <col min="10764" max="10764" width="11.42578125" bestFit="1" customWidth="1"/>
    <col min="10765" max="10766" width="11.42578125" customWidth="1"/>
    <col min="10767" max="10767" width="11.42578125" bestFit="1" customWidth="1"/>
    <col min="10768" max="10769" width="11.42578125" customWidth="1"/>
    <col min="10770" max="10770" width="11.42578125" bestFit="1" customWidth="1"/>
    <col min="10771" max="10772" width="11.42578125" customWidth="1"/>
    <col min="10773" max="10773" width="38.140625" customWidth="1"/>
    <col min="10774" max="10774" width="15.7109375" customWidth="1"/>
    <col min="10775" max="10775" width="14.5703125" customWidth="1"/>
    <col min="10776" max="10776" width="11.42578125" bestFit="1" customWidth="1"/>
    <col min="10777" max="10778" width="11.42578125" customWidth="1"/>
    <col min="10779" max="10779" width="11.42578125" bestFit="1" customWidth="1"/>
    <col min="10780" max="10781" width="11.42578125" customWidth="1"/>
    <col min="10782" max="10782" width="11" bestFit="1" customWidth="1"/>
    <col min="10783" max="10786" width="11.42578125" bestFit="1" customWidth="1"/>
    <col min="11009" max="11009" width="34.28515625" customWidth="1"/>
    <col min="11010" max="11010" width="50" customWidth="1"/>
    <col min="11011" max="11011" width="56.7109375" customWidth="1"/>
    <col min="11012" max="11012" width="35.42578125" customWidth="1"/>
    <col min="11013" max="11013" width="69.5703125" customWidth="1"/>
    <col min="11014" max="11014" width="55.140625" customWidth="1"/>
    <col min="11015" max="11015" width="20.42578125" customWidth="1"/>
    <col min="11016" max="11017" width="11.42578125" bestFit="1" customWidth="1"/>
    <col min="11018" max="11019" width="11.42578125" customWidth="1"/>
    <col min="11020" max="11020" width="11.42578125" bestFit="1" customWidth="1"/>
    <col min="11021" max="11022" width="11.42578125" customWidth="1"/>
    <col min="11023" max="11023" width="11.42578125" bestFit="1" customWidth="1"/>
    <col min="11024" max="11025" width="11.42578125" customWidth="1"/>
    <col min="11026" max="11026" width="11.42578125" bestFit="1" customWidth="1"/>
    <col min="11027" max="11028" width="11.42578125" customWidth="1"/>
    <col min="11029" max="11029" width="38.140625" customWidth="1"/>
    <col min="11030" max="11030" width="15.7109375" customWidth="1"/>
    <col min="11031" max="11031" width="14.5703125" customWidth="1"/>
    <col min="11032" max="11032" width="11.42578125" bestFit="1" customWidth="1"/>
    <col min="11033" max="11034" width="11.42578125" customWidth="1"/>
    <col min="11035" max="11035" width="11.42578125" bestFit="1" customWidth="1"/>
    <col min="11036" max="11037" width="11.42578125" customWidth="1"/>
    <col min="11038" max="11038" width="11" bestFit="1" customWidth="1"/>
    <col min="11039" max="11042" width="11.42578125" bestFit="1" customWidth="1"/>
    <col min="11265" max="11265" width="34.28515625" customWidth="1"/>
    <col min="11266" max="11266" width="50" customWidth="1"/>
    <col min="11267" max="11267" width="56.7109375" customWidth="1"/>
    <col min="11268" max="11268" width="35.42578125" customWidth="1"/>
    <col min="11269" max="11269" width="69.5703125" customWidth="1"/>
    <col min="11270" max="11270" width="55.140625" customWidth="1"/>
    <col min="11271" max="11271" width="20.42578125" customWidth="1"/>
    <col min="11272" max="11273" width="11.42578125" bestFit="1" customWidth="1"/>
    <col min="11274" max="11275" width="11.42578125" customWidth="1"/>
    <col min="11276" max="11276" width="11.42578125" bestFit="1" customWidth="1"/>
    <col min="11277" max="11278" width="11.42578125" customWidth="1"/>
    <col min="11279" max="11279" width="11.42578125" bestFit="1" customWidth="1"/>
    <col min="11280" max="11281" width="11.42578125" customWidth="1"/>
    <col min="11282" max="11282" width="11.42578125" bestFit="1" customWidth="1"/>
    <col min="11283" max="11284" width="11.42578125" customWidth="1"/>
    <col min="11285" max="11285" width="38.140625" customWidth="1"/>
    <col min="11286" max="11286" width="15.7109375" customWidth="1"/>
    <col min="11287" max="11287" width="14.5703125" customWidth="1"/>
    <col min="11288" max="11288" width="11.42578125" bestFit="1" customWidth="1"/>
    <col min="11289" max="11290" width="11.42578125" customWidth="1"/>
    <col min="11291" max="11291" width="11.42578125" bestFit="1" customWidth="1"/>
    <col min="11292" max="11293" width="11.42578125" customWidth="1"/>
    <col min="11294" max="11294" width="11" bestFit="1" customWidth="1"/>
    <col min="11295" max="11298" width="11.42578125" bestFit="1" customWidth="1"/>
    <col min="11521" max="11521" width="34.28515625" customWidth="1"/>
    <col min="11522" max="11522" width="50" customWidth="1"/>
    <col min="11523" max="11523" width="56.7109375" customWidth="1"/>
    <col min="11524" max="11524" width="35.42578125" customWidth="1"/>
    <col min="11525" max="11525" width="69.5703125" customWidth="1"/>
    <col min="11526" max="11526" width="55.140625" customWidth="1"/>
    <col min="11527" max="11527" width="20.42578125" customWidth="1"/>
    <col min="11528" max="11529" width="11.42578125" bestFit="1" customWidth="1"/>
    <col min="11530" max="11531" width="11.42578125" customWidth="1"/>
    <col min="11532" max="11532" width="11.42578125" bestFit="1" customWidth="1"/>
    <col min="11533" max="11534" width="11.42578125" customWidth="1"/>
    <col min="11535" max="11535" width="11.42578125" bestFit="1" customWidth="1"/>
    <col min="11536" max="11537" width="11.42578125" customWidth="1"/>
    <col min="11538" max="11538" width="11.42578125" bestFit="1" customWidth="1"/>
    <col min="11539" max="11540" width="11.42578125" customWidth="1"/>
    <col min="11541" max="11541" width="38.140625" customWidth="1"/>
    <col min="11542" max="11542" width="15.7109375" customWidth="1"/>
    <col min="11543" max="11543" width="14.5703125" customWidth="1"/>
    <col min="11544" max="11544" width="11.42578125" bestFit="1" customWidth="1"/>
    <col min="11545" max="11546" width="11.42578125" customWidth="1"/>
    <col min="11547" max="11547" width="11.42578125" bestFit="1" customWidth="1"/>
    <col min="11548" max="11549" width="11.42578125" customWidth="1"/>
    <col min="11550" max="11550" width="11" bestFit="1" customWidth="1"/>
    <col min="11551" max="11554" width="11.42578125" bestFit="1" customWidth="1"/>
    <col min="11777" max="11777" width="34.28515625" customWidth="1"/>
    <col min="11778" max="11778" width="50" customWidth="1"/>
    <col min="11779" max="11779" width="56.7109375" customWidth="1"/>
    <col min="11780" max="11780" width="35.42578125" customWidth="1"/>
    <col min="11781" max="11781" width="69.5703125" customWidth="1"/>
    <col min="11782" max="11782" width="55.140625" customWidth="1"/>
    <col min="11783" max="11783" width="20.42578125" customWidth="1"/>
    <col min="11784" max="11785" width="11.42578125" bestFit="1" customWidth="1"/>
    <col min="11786" max="11787" width="11.42578125" customWidth="1"/>
    <col min="11788" max="11788" width="11.42578125" bestFit="1" customWidth="1"/>
    <col min="11789" max="11790" width="11.42578125" customWidth="1"/>
    <col min="11791" max="11791" width="11.42578125" bestFit="1" customWidth="1"/>
    <col min="11792" max="11793" width="11.42578125" customWidth="1"/>
    <col min="11794" max="11794" width="11.42578125" bestFit="1" customWidth="1"/>
    <col min="11795" max="11796" width="11.42578125" customWidth="1"/>
    <col min="11797" max="11797" width="38.140625" customWidth="1"/>
    <col min="11798" max="11798" width="15.7109375" customWidth="1"/>
    <col min="11799" max="11799" width="14.5703125" customWidth="1"/>
    <col min="11800" max="11800" width="11.42578125" bestFit="1" customWidth="1"/>
    <col min="11801" max="11802" width="11.42578125" customWidth="1"/>
    <col min="11803" max="11803" width="11.42578125" bestFit="1" customWidth="1"/>
    <col min="11804" max="11805" width="11.42578125" customWidth="1"/>
    <col min="11806" max="11806" width="11" bestFit="1" customWidth="1"/>
    <col min="11807" max="11810" width="11.42578125" bestFit="1" customWidth="1"/>
    <col min="12033" max="12033" width="34.28515625" customWidth="1"/>
    <col min="12034" max="12034" width="50" customWidth="1"/>
    <col min="12035" max="12035" width="56.7109375" customWidth="1"/>
    <col min="12036" max="12036" width="35.42578125" customWidth="1"/>
    <col min="12037" max="12037" width="69.5703125" customWidth="1"/>
    <col min="12038" max="12038" width="55.140625" customWidth="1"/>
    <col min="12039" max="12039" width="20.42578125" customWidth="1"/>
    <col min="12040" max="12041" width="11.42578125" bestFit="1" customWidth="1"/>
    <col min="12042" max="12043" width="11.42578125" customWidth="1"/>
    <col min="12044" max="12044" width="11.42578125" bestFit="1" customWidth="1"/>
    <col min="12045" max="12046" width="11.42578125" customWidth="1"/>
    <col min="12047" max="12047" width="11.42578125" bestFit="1" customWidth="1"/>
    <col min="12048" max="12049" width="11.42578125" customWidth="1"/>
    <col min="12050" max="12050" width="11.42578125" bestFit="1" customWidth="1"/>
    <col min="12051" max="12052" width="11.42578125" customWidth="1"/>
    <col min="12053" max="12053" width="38.140625" customWidth="1"/>
    <col min="12054" max="12054" width="15.7109375" customWidth="1"/>
    <col min="12055" max="12055" width="14.5703125" customWidth="1"/>
    <col min="12056" max="12056" width="11.42578125" bestFit="1" customWidth="1"/>
    <col min="12057" max="12058" width="11.42578125" customWidth="1"/>
    <col min="12059" max="12059" width="11.42578125" bestFit="1" customWidth="1"/>
    <col min="12060" max="12061" width="11.42578125" customWidth="1"/>
    <col min="12062" max="12062" width="11" bestFit="1" customWidth="1"/>
    <col min="12063" max="12066" width="11.42578125" bestFit="1" customWidth="1"/>
    <col min="12289" max="12289" width="34.28515625" customWidth="1"/>
    <col min="12290" max="12290" width="50" customWidth="1"/>
    <col min="12291" max="12291" width="56.7109375" customWidth="1"/>
    <col min="12292" max="12292" width="35.42578125" customWidth="1"/>
    <col min="12293" max="12293" width="69.5703125" customWidth="1"/>
    <col min="12294" max="12294" width="55.140625" customWidth="1"/>
    <col min="12295" max="12295" width="20.42578125" customWidth="1"/>
    <col min="12296" max="12297" width="11.42578125" bestFit="1" customWidth="1"/>
    <col min="12298" max="12299" width="11.42578125" customWidth="1"/>
    <col min="12300" max="12300" width="11.42578125" bestFit="1" customWidth="1"/>
    <col min="12301" max="12302" width="11.42578125" customWidth="1"/>
    <col min="12303" max="12303" width="11.42578125" bestFit="1" customWidth="1"/>
    <col min="12304" max="12305" width="11.42578125" customWidth="1"/>
    <col min="12306" max="12306" width="11.42578125" bestFit="1" customWidth="1"/>
    <col min="12307" max="12308" width="11.42578125" customWidth="1"/>
    <col min="12309" max="12309" width="38.140625" customWidth="1"/>
    <col min="12310" max="12310" width="15.7109375" customWidth="1"/>
    <col min="12311" max="12311" width="14.5703125" customWidth="1"/>
    <col min="12312" max="12312" width="11.42578125" bestFit="1" customWidth="1"/>
    <col min="12313" max="12314" width="11.42578125" customWidth="1"/>
    <col min="12315" max="12315" width="11.42578125" bestFit="1" customWidth="1"/>
    <col min="12316" max="12317" width="11.42578125" customWidth="1"/>
    <col min="12318" max="12318" width="11" bestFit="1" customWidth="1"/>
    <col min="12319" max="12322" width="11.42578125" bestFit="1" customWidth="1"/>
    <col min="12545" max="12545" width="34.28515625" customWidth="1"/>
    <col min="12546" max="12546" width="50" customWidth="1"/>
    <col min="12547" max="12547" width="56.7109375" customWidth="1"/>
    <col min="12548" max="12548" width="35.42578125" customWidth="1"/>
    <col min="12549" max="12549" width="69.5703125" customWidth="1"/>
    <col min="12550" max="12550" width="55.140625" customWidth="1"/>
    <col min="12551" max="12551" width="20.42578125" customWidth="1"/>
    <col min="12552" max="12553" width="11.42578125" bestFit="1" customWidth="1"/>
    <col min="12554" max="12555" width="11.42578125" customWidth="1"/>
    <col min="12556" max="12556" width="11.42578125" bestFit="1" customWidth="1"/>
    <col min="12557" max="12558" width="11.42578125" customWidth="1"/>
    <col min="12559" max="12559" width="11.42578125" bestFit="1" customWidth="1"/>
    <col min="12560" max="12561" width="11.42578125" customWidth="1"/>
    <col min="12562" max="12562" width="11.42578125" bestFit="1" customWidth="1"/>
    <col min="12563" max="12564" width="11.42578125" customWidth="1"/>
    <col min="12565" max="12565" width="38.140625" customWidth="1"/>
    <col min="12566" max="12566" width="15.7109375" customWidth="1"/>
    <col min="12567" max="12567" width="14.5703125" customWidth="1"/>
    <col min="12568" max="12568" width="11.42578125" bestFit="1" customWidth="1"/>
    <col min="12569" max="12570" width="11.42578125" customWidth="1"/>
    <col min="12571" max="12571" width="11.42578125" bestFit="1" customWidth="1"/>
    <col min="12572" max="12573" width="11.42578125" customWidth="1"/>
    <col min="12574" max="12574" width="11" bestFit="1" customWidth="1"/>
    <col min="12575" max="12578" width="11.42578125" bestFit="1" customWidth="1"/>
    <col min="12801" max="12801" width="34.28515625" customWidth="1"/>
    <col min="12802" max="12802" width="50" customWidth="1"/>
    <col min="12803" max="12803" width="56.7109375" customWidth="1"/>
    <col min="12804" max="12804" width="35.42578125" customWidth="1"/>
    <col min="12805" max="12805" width="69.5703125" customWidth="1"/>
    <col min="12806" max="12806" width="55.140625" customWidth="1"/>
    <col min="12807" max="12807" width="20.42578125" customWidth="1"/>
    <col min="12808" max="12809" width="11.42578125" bestFit="1" customWidth="1"/>
    <col min="12810" max="12811" width="11.42578125" customWidth="1"/>
    <col min="12812" max="12812" width="11.42578125" bestFit="1" customWidth="1"/>
    <col min="12813" max="12814" width="11.42578125" customWidth="1"/>
    <col min="12815" max="12815" width="11.42578125" bestFit="1" customWidth="1"/>
    <col min="12816" max="12817" width="11.42578125" customWidth="1"/>
    <col min="12818" max="12818" width="11.42578125" bestFit="1" customWidth="1"/>
    <col min="12819" max="12820" width="11.42578125" customWidth="1"/>
    <col min="12821" max="12821" width="38.140625" customWidth="1"/>
    <col min="12822" max="12822" width="15.7109375" customWidth="1"/>
    <col min="12823" max="12823" width="14.5703125" customWidth="1"/>
    <col min="12824" max="12824" width="11.42578125" bestFit="1" customWidth="1"/>
    <col min="12825" max="12826" width="11.42578125" customWidth="1"/>
    <col min="12827" max="12827" width="11.42578125" bestFit="1" customWidth="1"/>
    <col min="12828" max="12829" width="11.42578125" customWidth="1"/>
    <col min="12830" max="12830" width="11" bestFit="1" customWidth="1"/>
    <col min="12831" max="12834" width="11.42578125" bestFit="1" customWidth="1"/>
    <col min="13057" max="13057" width="34.28515625" customWidth="1"/>
    <col min="13058" max="13058" width="50" customWidth="1"/>
    <col min="13059" max="13059" width="56.7109375" customWidth="1"/>
    <col min="13060" max="13060" width="35.42578125" customWidth="1"/>
    <col min="13061" max="13061" width="69.5703125" customWidth="1"/>
    <col min="13062" max="13062" width="55.140625" customWidth="1"/>
    <col min="13063" max="13063" width="20.42578125" customWidth="1"/>
    <col min="13064" max="13065" width="11.42578125" bestFit="1" customWidth="1"/>
    <col min="13066" max="13067" width="11.42578125" customWidth="1"/>
    <col min="13068" max="13068" width="11.42578125" bestFit="1" customWidth="1"/>
    <col min="13069" max="13070" width="11.42578125" customWidth="1"/>
    <col min="13071" max="13071" width="11.42578125" bestFit="1" customWidth="1"/>
    <col min="13072" max="13073" width="11.42578125" customWidth="1"/>
    <col min="13074" max="13074" width="11.42578125" bestFit="1" customWidth="1"/>
    <col min="13075" max="13076" width="11.42578125" customWidth="1"/>
    <col min="13077" max="13077" width="38.140625" customWidth="1"/>
    <col min="13078" max="13078" width="15.7109375" customWidth="1"/>
    <col min="13079" max="13079" width="14.5703125" customWidth="1"/>
    <col min="13080" max="13080" width="11.42578125" bestFit="1" customWidth="1"/>
    <col min="13081" max="13082" width="11.42578125" customWidth="1"/>
    <col min="13083" max="13083" width="11.42578125" bestFit="1" customWidth="1"/>
    <col min="13084" max="13085" width="11.42578125" customWidth="1"/>
    <col min="13086" max="13086" width="11" bestFit="1" customWidth="1"/>
    <col min="13087" max="13090" width="11.42578125" bestFit="1" customWidth="1"/>
    <col min="13313" max="13313" width="34.28515625" customWidth="1"/>
    <col min="13314" max="13314" width="50" customWidth="1"/>
    <col min="13315" max="13315" width="56.7109375" customWidth="1"/>
    <col min="13316" max="13316" width="35.42578125" customWidth="1"/>
    <col min="13317" max="13317" width="69.5703125" customWidth="1"/>
    <col min="13318" max="13318" width="55.140625" customWidth="1"/>
    <col min="13319" max="13319" width="20.42578125" customWidth="1"/>
    <col min="13320" max="13321" width="11.42578125" bestFit="1" customWidth="1"/>
    <col min="13322" max="13323" width="11.42578125" customWidth="1"/>
    <col min="13324" max="13324" width="11.42578125" bestFit="1" customWidth="1"/>
    <col min="13325" max="13326" width="11.42578125" customWidth="1"/>
    <col min="13327" max="13327" width="11.42578125" bestFit="1" customWidth="1"/>
    <col min="13328" max="13329" width="11.42578125" customWidth="1"/>
    <col min="13330" max="13330" width="11.42578125" bestFit="1" customWidth="1"/>
    <col min="13331" max="13332" width="11.42578125" customWidth="1"/>
    <col min="13333" max="13333" width="38.140625" customWidth="1"/>
    <col min="13334" max="13334" width="15.7109375" customWidth="1"/>
    <col min="13335" max="13335" width="14.5703125" customWidth="1"/>
    <col min="13336" max="13336" width="11.42578125" bestFit="1" customWidth="1"/>
    <col min="13337" max="13338" width="11.42578125" customWidth="1"/>
    <col min="13339" max="13339" width="11.42578125" bestFit="1" customWidth="1"/>
    <col min="13340" max="13341" width="11.42578125" customWidth="1"/>
    <col min="13342" max="13342" width="11" bestFit="1" customWidth="1"/>
    <col min="13343" max="13346" width="11.42578125" bestFit="1" customWidth="1"/>
    <col min="13569" max="13569" width="34.28515625" customWidth="1"/>
    <col min="13570" max="13570" width="50" customWidth="1"/>
    <col min="13571" max="13571" width="56.7109375" customWidth="1"/>
    <col min="13572" max="13572" width="35.42578125" customWidth="1"/>
    <col min="13573" max="13573" width="69.5703125" customWidth="1"/>
    <col min="13574" max="13574" width="55.140625" customWidth="1"/>
    <col min="13575" max="13575" width="20.42578125" customWidth="1"/>
    <col min="13576" max="13577" width="11.42578125" bestFit="1" customWidth="1"/>
    <col min="13578" max="13579" width="11.42578125" customWidth="1"/>
    <col min="13580" max="13580" width="11.42578125" bestFit="1" customWidth="1"/>
    <col min="13581" max="13582" width="11.42578125" customWidth="1"/>
    <col min="13583" max="13583" width="11.42578125" bestFit="1" customWidth="1"/>
    <col min="13584" max="13585" width="11.42578125" customWidth="1"/>
    <col min="13586" max="13586" width="11.42578125" bestFit="1" customWidth="1"/>
    <col min="13587" max="13588" width="11.42578125" customWidth="1"/>
    <col min="13589" max="13589" width="38.140625" customWidth="1"/>
    <col min="13590" max="13590" width="15.7109375" customWidth="1"/>
    <col min="13591" max="13591" width="14.5703125" customWidth="1"/>
    <col min="13592" max="13592" width="11.42578125" bestFit="1" customWidth="1"/>
    <col min="13593" max="13594" width="11.42578125" customWidth="1"/>
    <col min="13595" max="13595" width="11.42578125" bestFit="1" customWidth="1"/>
    <col min="13596" max="13597" width="11.42578125" customWidth="1"/>
    <col min="13598" max="13598" width="11" bestFit="1" customWidth="1"/>
    <col min="13599" max="13602" width="11.42578125" bestFit="1" customWidth="1"/>
    <col min="13825" max="13825" width="34.28515625" customWidth="1"/>
    <col min="13826" max="13826" width="50" customWidth="1"/>
    <col min="13827" max="13827" width="56.7109375" customWidth="1"/>
    <col min="13828" max="13828" width="35.42578125" customWidth="1"/>
    <col min="13829" max="13829" width="69.5703125" customWidth="1"/>
    <col min="13830" max="13830" width="55.140625" customWidth="1"/>
    <col min="13831" max="13831" width="20.42578125" customWidth="1"/>
    <col min="13832" max="13833" width="11.42578125" bestFit="1" customWidth="1"/>
    <col min="13834" max="13835" width="11.42578125" customWidth="1"/>
    <col min="13836" max="13836" width="11.42578125" bestFit="1" customWidth="1"/>
    <col min="13837" max="13838" width="11.42578125" customWidth="1"/>
    <col min="13839" max="13839" width="11.42578125" bestFit="1" customWidth="1"/>
    <col min="13840" max="13841" width="11.42578125" customWidth="1"/>
    <col min="13842" max="13842" width="11.42578125" bestFit="1" customWidth="1"/>
    <col min="13843" max="13844" width="11.42578125" customWidth="1"/>
    <col min="13845" max="13845" width="38.140625" customWidth="1"/>
    <col min="13846" max="13846" width="15.7109375" customWidth="1"/>
    <col min="13847" max="13847" width="14.5703125" customWidth="1"/>
    <col min="13848" max="13848" width="11.42578125" bestFit="1" customWidth="1"/>
    <col min="13849" max="13850" width="11.42578125" customWidth="1"/>
    <col min="13851" max="13851" width="11.42578125" bestFit="1" customWidth="1"/>
    <col min="13852" max="13853" width="11.42578125" customWidth="1"/>
    <col min="13854" max="13854" width="11" bestFit="1" customWidth="1"/>
    <col min="13855" max="13858" width="11.42578125" bestFit="1" customWidth="1"/>
    <col min="14081" max="14081" width="34.28515625" customWidth="1"/>
    <col min="14082" max="14082" width="50" customWidth="1"/>
    <col min="14083" max="14083" width="56.7109375" customWidth="1"/>
    <col min="14084" max="14084" width="35.42578125" customWidth="1"/>
    <col min="14085" max="14085" width="69.5703125" customWidth="1"/>
    <col min="14086" max="14086" width="55.140625" customWidth="1"/>
    <col min="14087" max="14087" width="20.42578125" customWidth="1"/>
    <col min="14088" max="14089" width="11.42578125" bestFit="1" customWidth="1"/>
    <col min="14090" max="14091" width="11.42578125" customWidth="1"/>
    <col min="14092" max="14092" width="11.42578125" bestFit="1" customWidth="1"/>
    <col min="14093" max="14094" width="11.42578125" customWidth="1"/>
    <col min="14095" max="14095" width="11.42578125" bestFit="1" customWidth="1"/>
    <col min="14096" max="14097" width="11.42578125" customWidth="1"/>
    <col min="14098" max="14098" width="11.42578125" bestFit="1" customWidth="1"/>
    <col min="14099" max="14100" width="11.42578125" customWidth="1"/>
    <col min="14101" max="14101" width="38.140625" customWidth="1"/>
    <col min="14102" max="14102" width="15.7109375" customWidth="1"/>
    <col min="14103" max="14103" width="14.5703125" customWidth="1"/>
    <col min="14104" max="14104" width="11.42578125" bestFit="1" customWidth="1"/>
    <col min="14105" max="14106" width="11.42578125" customWidth="1"/>
    <col min="14107" max="14107" width="11.42578125" bestFit="1" customWidth="1"/>
    <col min="14108" max="14109" width="11.42578125" customWidth="1"/>
    <col min="14110" max="14110" width="11" bestFit="1" customWidth="1"/>
    <col min="14111" max="14114" width="11.42578125" bestFit="1" customWidth="1"/>
    <col min="14337" max="14337" width="34.28515625" customWidth="1"/>
    <col min="14338" max="14338" width="50" customWidth="1"/>
    <col min="14339" max="14339" width="56.7109375" customWidth="1"/>
    <col min="14340" max="14340" width="35.42578125" customWidth="1"/>
    <col min="14341" max="14341" width="69.5703125" customWidth="1"/>
    <col min="14342" max="14342" width="55.140625" customWidth="1"/>
    <col min="14343" max="14343" width="20.42578125" customWidth="1"/>
    <col min="14344" max="14345" width="11.42578125" bestFit="1" customWidth="1"/>
    <col min="14346" max="14347" width="11.42578125" customWidth="1"/>
    <col min="14348" max="14348" width="11.42578125" bestFit="1" customWidth="1"/>
    <col min="14349" max="14350" width="11.42578125" customWidth="1"/>
    <col min="14351" max="14351" width="11.42578125" bestFit="1" customWidth="1"/>
    <col min="14352" max="14353" width="11.42578125" customWidth="1"/>
    <col min="14354" max="14354" width="11.42578125" bestFit="1" customWidth="1"/>
    <col min="14355" max="14356" width="11.42578125" customWidth="1"/>
    <col min="14357" max="14357" width="38.140625" customWidth="1"/>
    <col min="14358" max="14358" width="15.7109375" customWidth="1"/>
    <col min="14359" max="14359" width="14.5703125" customWidth="1"/>
    <col min="14360" max="14360" width="11.42578125" bestFit="1" customWidth="1"/>
    <col min="14361" max="14362" width="11.42578125" customWidth="1"/>
    <col min="14363" max="14363" width="11.42578125" bestFit="1" customWidth="1"/>
    <col min="14364" max="14365" width="11.42578125" customWidth="1"/>
    <col min="14366" max="14366" width="11" bestFit="1" customWidth="1"/>
    <col min="14367" max="14370" width="11.42578125" bestFit="1" customWidth="1"/>
    <col min="14593" max="14593" width="34.28515625" customWidth="1"/>
    <col min="14594" max="14594" width="50" customWidth="1"/>
    <col min="14595" max="14595" width="56.7109375" customWidth="1"/>
    <col min="14596" max="14596" width="35.42578125" customWidth="1"/>
    <col min="14597" max="14597" width="69.5703125" customWidth="1"/>
    <col min="14598" max="14598" width="55.140625" customWidth="1"/>
    <col min="14599" max="14599" width="20.42578125" customWidth="1"/>
    <col min="14600" max="14601" width="11.42578125" bestFit="1" customWidth="1"/>
    <col min="14602" max="14603" width="11.42578125" customWidth="1"/>
    <col min="14604" max="14604" width="11.42578125" bestFit="1" customWidth="1"/>
    <col min="14605" max="14606" width="11.42578125" customWidth="1"/>
    <col min="14607" max="14607" width="11.42578125" bestFit="1" customWidth="1"/>
    <col min="14608" max="14609" width="11.42578125" customWidth="1"/>
    <col min="14610" max="14610" width="11.42578125" bestFit="1" customWidth="1"/>
    <col min="14611" max="14612" width="11.42578125" customWidth="1"/>
    <col min="14613" max="14613" width="38.140625" customWidth="1"/>
    <col min="14614" max="14614" width="15.7109375" customWidth="1"/>
    <col min="14615" max="14615" width="14.5703125" customWidth="1"/>
    <col min="14616" max="14616" width="11.42578125" bestFit="1" customWidth="1"/>
    <col min="14617" max="14618" width="11.42578125" customWidth="1"/>
    <col min="14619" max="14619" width="11.42578125" bestFit="1" customWidth="1"/>
    <col min="14620" max="14621" width="11.42578125" customWidth="1"/>
    <col min="14622" max="14622" width="11" bestFit="1" customWidth="1"/>
    <col min="14623" max="14626" width="11.42578125" bestFit="1" customWidth="1"/>
    <col min="14849" max="14849" width="34.28515625" customWidth="1"/>
    <col min="14850" max="14850" width="50" customWidth="1"/>
    <col min="14851" max="14851" width="56.7109375" customWidth="1"/>
    <col min="14852" max="14852" width="35.42578125" customWidth="1"/>
    <col min="14853" max="14853" width="69.5703125" customWidth="1"/>
    <col min="14854" max="14854" width="55.140625" customWidth="1"/>
    <col min="14855" max="14855" width="20.42578125" customWidth="1"/>
    <col min="14856" max="14857" width="11.42578125" bestFit="1" customWidth="1"/>
    <col min="14858" max="14859" width="11.42578125" customWidth="1"/>
    <col min="14860" max="14860" width="11.42578125" bestFit="1" customWidth="1"/>
    <col min="14861" max="14862" width="11.42578125" customWidth="1"/>
    <col min="14863" max="14863" width="11.42578125" bestFit="1" customWidth="1"/>
    <col min="14864" max="14865" width="11.42578125" customWidth="1"/>
    <col min="14866" max="14866" width="11.42578125" bestFit="1" customWidth="1"/>
    <col min="14867" max="14868" width="11.42578125" customWidth="1"/>
    <col min="14869" max="14869" width="38.140625" customWidth="1"/>
    <col min="14870" max="14870" width="15.7109375" customWidth="1"/>
    <col min="14871" max="14871" width="14.5703125" customWidth="1"/>
    <col min="14872" max="14872" width="11.42578125" bestFit="1" customWidth="1"/>
    <col min="14873" max="14874" width="11.42578125" customWidth="1"/>
    <col min="14875" max="14875" width="11.42578125" bestFit="1" customWidth="1"/>
    <col min="14876" max="14877" width="11.42578125" customWidth="1"/>
    <col min="14878" max="14878" width="11" bestFit="1" customWidth="1"/>
    <col min="14879" max="14882" width="11.42578125" bestFit="1" customWidth="1"/>
    <col min="15105" max="15105" width="34.28515625" customWidth="1"/>
    <col min="15106" max="15106" width="50" customWidth="1"/>
    <col min="15107" max="15107" width="56.7109375" customWidth="1"/>
    <col min="15108" max="15108" width="35.42578125" customWidth="1"/>
    <col min="15109" max="15109" width="69.5703125" customWidth="1"/>
    <col min="15110" max="15110" width="55.140625" customWidth="1"/>
    <col min="15111" max="15111" width="20.42578125" customWidth="1"/>
    <col min="15112" max="15113" width="11.42578125" bestFit="1" customWidth="1"/>
    <col min="15114" max="15115" width="11.42578125" customWidth="1"/>
    <col min="15116" max="15116" width="11.42578125" bestFit="1" customWidth="1"/>
    <col min="15117" max="15118" width="11.42578125" customWidth="1"/>
    <col min="15119" max="15119" width="11.42578125" bestFit="1" customWidth="1"/>
    <col min="15120" max="15121" width="11.42578125" customWidth="1"/>
    <col min="15122" max="15122" width="11.42578125" bestFit="1" customWidth="1"/>
    <col min="15123" max="15124" width="11.42578125" customWidth="1"/>
    <col min="15125" max="15125" width="38.140625" customWidth="1"/>
    <col min="15126" max="15126" width="15.7109375" customWidth="1"/>
    <col min="15127" max="15127" width="14.5703125" customWidth="1"/>
    <col min="15128" max="15128" width="11.42578125" bestFit="1" customWidth="1"/>
    <col min="15129" max="15130" width="11.42578125" customWidth="1"/>
    <col min="15131" max="15131" width="11.42578125" bestFit="1" customWidth="1"/>
    <col min="15132" max="15133" width="11.42578125" customWidth="1"/>
    <col min="15134" max="15134" width="11" bestFit="1" customWidth="1"/>
    <col min="15135" max="15138" width="11.42578125" bestFit="1" customWidth="1"/>
    <col min="15361" max="15361" width="34.28515625" customWidth="1"/>
    <col min="15362" max="15362" width="50" customWidth="1"/>
    <col min="15363" max="15363" width="56.7109375" customWidth="1"/>
    <col min="15364" max="15364" width="35.42578125" customWidth="1"/>
    <col min="15365" max="15365" width="69.5703125" customWidth="1"/>
    <col min="15366" max="15366" width="55.140625" customWidth="1"/>
    <col min="15367" max="15367" width="20.42578125" customWidth="1"/>
    <col min="15368" max="15369" width="11.42578125" bestFit="1" customWidth="1"/>
    <col min="15370" max="15371" width="11.42578125" customWidth="1"/>
    <col min="15372" max="15372" width="11.42578125" bestFit="1" customWidth="1"/>
    <col min="15373" max="15374" width="11.42578125" customWidth="1"/>
    <col min="15375" max="15375" width="11.42578125" bestFit="1" customWidth="1"/>
    <col min="15376" max="15377" width="11.42578125" customWidth="1"/>
    <col min="15378" max="15378" width="11.42578125" bestFit="1" customWidth="1"/>
    <col min="15379" max="15380" width="11.42578125" customWidth="1"/>
    <col min="15381" max="15381" width="38.140625" customWidth="1"/>
    <col min="15382" max="15382" width="15.7109375" customWidth="1"/>
    <col min="15383" max="15383" width="14.5703125" customWidth="1"/>
    <col min="15384" max="15384" width="11.42578125" bestFit="1" customWidth="1"/>
    <col min="15385" max="15386" width="11.42578125" customWidth="1"/>
    <col min="15387" max="15387" width="11.42578125" bestFit="1" customWidth="1"/>
    <col min="15388" max="15389" width="11.42578125" customWidth="1"/>
    <col min="15390" max="15390" width="11" bestFit="1" customWidth="1"/>
    <col min="15391" max="15394" width="11.42578125" bestFit="1" customWidth="1"/>
    <col min="15617" max="15617" width="34.28515625" customWidth="1"/>
    <col min="15618" max="15618" width="50" customWidth="1"/>
    <col min="15619" max="15619" width="56.7109375" customWidth="1"/>
    <col min="15620" max="15620" width="35.42578125" customWidth="1"/>
    <col min="15621" max="15621" width="69.5703125" customWidth="1"/>
    <col min="15622" max="15622" width="55.140625" customWidth="1"/>
    <col min="15623" max="15623" width="20.42578125" customWidth="1"/>
    <col min="15624" max="15625" width="11.42578125" bestFit="1" customWidth="1"/>
    <col min="15626" max="15627" width="11.42578125" customWidth="1"/>
    <col min="15628" max="15628" width="11.42578125" bestFit="1" customWidth="1"/>
    <col min="15629" max="15630" width="11.42578125" customWidth="1"/>
    <col min="15631" max="15631" width="11.42578125" bestFit="1" customWidth="1"/>
    <col min="15632" max="15633" width="11.42578125" customWidth="1"/>
    <col min="15634" max="15634" width="11.42578125" bestFit="1" customWidth="1"/>
    <col min="15635" max="15636" width="11.42578125" customWidth="1"/>
    <col min="15637" max="15637" width="38.140625" customWidth="1"/>
    <col min="15638" max="15638" width="15.7109375" customWidth="1"/>
    <col min="15639" max="15639" width="14.5703125" customWidth="1"/>
    <col min="15640" max="15640" width="11.42578125" bestFit="1" customWidth="1"/>
    <col min="15641" max="15642" width="11.42578125" customWidth="1"/>
    <col min="15643" max="15643" width="11.42578125" bestFit="1" customWidth="1"/>
    <col min="15644" max="15645" width="11.42578125" customWidth="1"/>
    <col min="15646" max="15646" width="11" bestFit="1" customWidth="1"/>
    <col min="15647" max="15650" width="11.42578125" bestFit="1" customWidth="1"/>
    <col min="15873" max="15873" width="34.28515625" customWidth="1"/>
    <col min="15874" max="15874" width="50" customWidth="1"/>
    <col min="15875" max="15875" width="56.7109375" customWidth="1"/>
    <col min="15876" max="15876" width="35.42578125" customWidth="1"/>
    <col min="15877" max="15877" width="69.5703125" customWidth="1"/>
    <col min="15878" max="15878" width="55.140625" customWidth="1"/>
    <col min="15879" max="15879" width="20.42578125" customWidth="1"/>
    <col min="15880" max="15881" width="11.42578125" bestFit="1" customWidth="1"/>
    <col min="15882" max="15883" width="11.42578125" customWidth="1"/>
    <col min="15884" max="15884" width="11.42578125" bestFit="1" customWidth="1"/>
    <col min="15885" max="15886" width="11.42578125" customWidth="1"/>
    <col min="15887" max="15887" width="11.42578125" bestFit="1" customWidth="1"/>
    <col min="15888" max="15889" width="11.42578125" customWidth="1"/>
    <col min="15890" max="15890" width="11.42578125" bestFit="1" customWidth="1"/>
    <col min="15891" max="15892" width="11.42578125" customWidth="1"/>
    <col min="15893" max="15893" width="38.140625" customWidth="1"/>
    <col min="15894" max="15894" width="15.7109375" customWidth="1"/>
    <col min="15895" max="15895" width="14.5703125" customWidth="1"/>
    <col min="15896" max="15896" width="11.42578125" bestFit="1" customWidth="1"/>
    <col min="15897" max="15898" width="11.42578125" customWidth="1"/>
    <col min="15899" max="15899" width="11.42578125" bestFit="1" customWidth="1"/>
    <col min="15900" max="15901" width="11.42578125" customWidth="1"/>
    <col min="15902" max="15902" width="11" bestFit="1" customWidth="1"/>
    <col min="15903" max="15906" width="11.42578125" bestFit="1" customWidth="1"/>
    <col min="16129" max="16129" width="34.28515625" customWidth="1"/>
    <col min="16130" max="16130" width="50" customWidth="1"/>
    <col min="16131" max="16131" width="56.7109375" customWidth="1"/>
    <col min="16132" max="16132" width="35.42578125" customWidth="1"/>
    <col min="16133" max="16133" width="69.5703125" customWidth="1"/>
    <col min="16134" max="16134" width="55.140625" customWidth="1"/>
    <col min="16135" max="16135" width="20.42578125" customWidth="1"/>
    <col min="16136" max="16137" width="11.42578125" bestFit="1" customWidth="1"/>
    <col min="16138" max="16139" width="11.42578125" customWidth="1"/>
    <col min="16140" max="16140" width="11.42578125" bestFit="1" customWidth="1"/>
    <col min="16141" max="16142" width="11.42578125" customWidth="1"/>
    <col min="16143" max="16143" width="11.42578125" bestFit="1" customWidth="1"/>
    <col min="16144" max="16145" width="11.42578125" customWidth="1"/>
    <col min="16146" max="16146" width="11.42578125" bestFit="1" customWidth="1"/>
    <col min="16147" max="16148" width="11.42578125" customWidth="1"/>
    <col min="16149" max="16149" width="38.140625" customWidth="1"/>
    <col min="16150" max="16150" width="15.7109375" customWidth="1"/>
    <col min="16151" max="16151" width="14.5703125" customWidth="1"/>
    <col min="16152" max="16152" width="11.42578125" bestFit="1" customWidth="1"/>
    <col min="16153" max="16154" width="11.42578125" customWidth="1"/>
    <col min="16155" max="16155" width="11.42578125" bestFit="1" customWidth="1"/>
    <col min="16156" max="16157" width="11.42578125" customWidth="1"/>
    <col min="16158" max="16158" width="11" bestFit="1" customWidth="1"/>
    <col min="16159" max="16162" width="11.42578125" bestFit="1" customWidth="1"/>
  </cols>
  <sheetData>
    <row r="1" spans="1:34" ht="26.25">
      <c r="A1" s="62" t="s">
        <v>1148</v>
      </c>
      <c r="B1" s="62" t="s">
        <v>767</v>
      </c>
      <c r="E1" s="197" t="s">
        <v>1053</v>
      </c>
    </row>
    <row r="2" spans="1:34">
      <c r="E2" s="197" t="s">
        <v>1054</v>
      </c>
      <c r="F2" s="198"/>
      <c r="G2" s="198"/>
      <c r="H2" s="198"/>
      <c r="I2" s="198"/>
      <c r="J2" s="198"/>
      <c r="K2" s="198"/>
      <c r="L2" s="198"/>
      <c r="M2" s="198"/>
      <c r="N2" s="198"/>
      <c r="O2" s="198"/>
      <c r="P2" s="198"/>
      <c r="Q2" s="198"/>
      <c r="X2" s="198"/>
      <c r="Y2" s="198"/>
      <c r="Z2" s="198"/>
    </row>
    <row r="3" spans="1:34" ht="36" customHeight="1">
      <c r="A3" s="199" t="s">
        <v>1147</v>
      </c>
      <c r="B3" s="197" t="s">
        <v>1055</v>
      </c>
      <c r="C3" s="197" t="s">
        <v>1056</v>
      </c>
      <c r="D3" s="197" t="s">
        <v>781</v>
      </c>
      <c r="E3" s="197" t="s">
        <v>62</v>
      </c>
      <c r="F3" s="197" t="s">
        <v>1057</v>
      </c>
      <c r="G3" s="200"/>
      <c r="H3" s="200"/>
      <c r="I3" s="200"/>
      <c r="J3" s="200"/>
      <c r="K3" s="200"/>
      <c r="L3" s="200"/>
      <c r="M3" s="200"/>
      <c r="N3" s="200"/>
      <c r="O3" s="200"/>
      <c r="P3" s="200"/>
      <c r="Q3" s="200"/>
      <c r="R3" s="200"/>
      <c r="S3" s="200"/>
      <c r="T3" s="200"/>
      <c r="U3" s="199" t="s">
        <v>3</v>
      </c>
      <c r="V3" s="199"/>
      <c r="W3" s="199"/>
      <c r="X3" s="200"/>
      <c r="Y3" s="200"/>
      <c r="Z3" s="200"/>
      <c r="AA3" s="200"/>
      <c r="AB3" s="200"/>
      <c r="AC3" s="200"/>
      <c r="AD3" s="200"/>
      <c r="AE3" s="200"/>
      <c r="AF3" s="200"/>
      <c r="AG3" s="200"/>
      <c r="AH3" s="200"/>
    </row>
    <row r="4" spans="1:34">
      <c r="A4" s="200"/>
      <c r="B4" s="201"/>
      <c r="C4" s="200"/>
      <c r="D4" s="200"/>
      <c r="E4" s="197"/>
      <c r="F4" s="197"/>
      <c r="G4" s="200"/>
      <c r="H4" s="200"/>
      <c r="I4" s="200"/>
      <c r="J4" s="200"/>
      <c r="K4" s="200"/>
      <c r="L4" s="200"/>
      <c r="M4" s="200"/>
      <c r="N4" s="200"/>
      <c r="O4" s="200"/>
      <c r="P4" s="200"/>
      <c r="Q4" s="200"/>
      <c r="R4" s="200"/>
      <c r="S4" s="200"/>
      <c r="T4" s="200"/>
      <c r="U4" s="200"/>
      <c r="V4" s="200"/>
      <c r="W4" s="200"/>
      <c r="X4" s="200"/>
      <c r="Y4" s="200"/>
      <c r="Z4" s="200"/>
      <c r="AA4" s="200"/>
      <c r="AB4" s="200"/>
      <c r="AC4" s="200"/>
      <c r="AD4" s="200"/>
      <c r="AE4" s="200"/>
      <c r="AF4" s="200"/>
      <c r="AG4" s="200"/>
      <c r="AH4" s="200"/>
    </row>
    <row r="5" spans="1:34">
      <c r="A5" s="200"/>
      <c r="B5" s="201"/>
      <c r="C5" s="200"/>
      <c r="D5" s="200"/>
      <c r="E5" s="197"/>
      <c r="F5" s="197"/>
      <c r="G5" s="200"/>
      <c r="H5" s="200"/>
      <c r="I5" s="200"/>
      <c r="J5" s="200"/>
      <c r="K5" s="200"/>
      <c r="L5" s="200"/>
      <c r="M5" s="200"/>
      <c r="N5" s="200"/>
      <c r="O5" s="200"/>
      <c r="P5" s="200"/>
      <c r="Q5" s="200"/>
      <c r="R5" s="200"/>
      <c r="S5" s="200"/>
      <c r="T5" s="200"/>
      <c r="U5" s="200"/>
      <c r="V5" s="200"/>
      <c r="W5" s="200"/>
      <c r="X5" s="200"/>
      <c r="Y5" s="200"/>
      <c r="Z5" s="200"/>
      <c r="AA5" s="200"/>
      <c r="AB5" s="200"/>
      <c r="AC5" s="200"/>
      <c r="AD5" s="200"/>
      <c r="AE5" s="200"/>
      <c r="AF5" s="200"/>
      <c r="AG5" s="200"/>
      <c r="AH5" s="200"/>
    </row>
    <row r="6" spans="1:34">
      <c r="A6" s="200"/>
      <c r="B6" s="201"/>
      <c r="C6" s="200"/>
      <c r="D6" s="200"/>
      <c r="E6" s="197"/>
      <c r="F6" s="197"/>
      <c r="G6" s="199" t="s">
        <v>871</v>
      </c>
      <c r="H6" s="199" t="s">
        <v>872</v>
      </c>
      <c r="I6" s="199" t="s">
        <v>1058</v>
      </c>
      <c r="J6" s="199" t="s">
        <v>874</v>
      </c>
      <c r="K6" s="199" t="s">
        <v>875</v>
      </c>
      <c r="L6" s="199" t="s">
        <v>876</v>
      </c>
      <c r="M6" s="199" t="s">
        <v>877</v>
      </c>
      <c r="N6" s="199" t="s">
        <v>878</v>
      </c>
      <c r="O6" s="199" t="s">
        <v>879</v>
      </c>
      <c r="P6" s="199" t="s">
        <v>880</v>
      </c>
      <c r="Q6" s="199" t="s">
        <v>881</v>
      </c>
      <c r="R6" s="199" t="s">
        <v>882</v>
      </c>
      <c r="S6" s="199" t="s">
        <v>1059</v>
      </c>
      <c r="T6" s="199" t="s">
        <v>884</v>
      </c>
      <c r="U6" s="199" t="s">
        <v>885</v>
      </c>
      <c r="V6" s="199" t="s">
        <v>886</v>
      </c>
      <c r="W6" s="199" t="s">
        <v>887</v>
      </c>
      <c r="X6" s="199" t="s">
        <v>888</v>
      </c>
      <c r="Y6" s="199" t="s">
        <v>889</v>
      </c>
      <c r="Z6" s="199" t="s">
        <v>1060</v>
      </c>
      <c r="AA6" s="199" t="s">
        <v>891</v>
      </c>
      <c r="AB6" s="199" t="s">
        <v>1061</v>
      </c>
      <c r="AC6" s="199" t="s">
        <v>1062</v>
      </c>
      <c r="AD6" s="199" t="s">
        <v>894</v>
      </c>
      <c r="AE6" s="199" t="s">
        <v>895</v>
      </c>
      <c r="AF6" s="199" t="s">
        <v>896</v>
      </c>
      <c r="AG6" s="199" t="s">
        <v>897</v>
      </c>
      <c r="AH6" s="199" t="s">
        <v>898</v>
      </c>
    </row>
    <row r="7" spans="1:34">
      <c r="A7" s="200"/>
      <c r="B7" s="201" t="s">
        <v>1063</v>
      </c>
      <c r="C7" s="201"/>
      <c r="D7" s="200" t="s">
        <v>1064</v>
      </c>
      <c r="E7" s="202" t="s">
        <v>63</v>
      </c>
      <c r="F7" s="200"/>
      <c r="G7" s="203">
        <f>SQRT((G8^2+G9^2+G10^2+G11^2+G12^2+G13^2+G14^2+G15^2+G16^2+G17^2))</f>
        <v>1.1020649880816363E-2</v>
      </c>
      <c r="H7" s="202">
        <f t="shared" ref="H7:AH7" si="0">SQRT((H8^2+H9^2+H10^2+H11^2+H12^2+H13^2+H14^2+H15^2+H16^2+H17^2))</f>
        <v>1.102056876296199E-2</v>
      </c>
      <c r="I7" s="202">
        <f t="shared" si="0"/>
        <v>1.0975642295352819E-2</v>
      </c>
      <c r="J7" s="202">
        <f t="shared" si="0"/>
        <v>1.0975642295352819E-2</v>
      </c>
      <c r="K7" s="202">
        <f t="shared" si="0"/>
        <v>1.0975642295352819E-2</v>
      </c>
      <c r="L7" s="202">
        <f t="shared" si="0"/>
        <v>1.0931364223898942E-2</v>
      </c>
      <c r="M7" s="202">
        <f t="shared" si="0"/>
        <v>1.0931364223898942E-2</v>
      </c>
      <c r="N7" s="202">
        <f t="shared" si="0"/>
        <v>1.0931364223898942E-2</v>
      </c>
      <c r="O7" s="202">
        <f t="shared" si="0"/>
        <v>1.0845032217358217E-2</v>
      </c>
      <c r="P7" s="202">
        <f t="shared" si="0"/>
        <v>1.0845032217358217E-2</v>
      </c>
      <c r="Q7" s="202">
        <f t="shared" si="0"/>
        <v>1.0845032217358217E-2</v>
      </c>
      <c r="R7" s="202">
        <f t="shared" si="0"/>
        <v>1.0761724945172021E-2</v>
      </c>
      <c r="S7" s="202">
        <f t="shared" si="0"/>
        <v>1.0761724945172021E-2</v>
      </c>
      <c r="T7" s="202">
        <f t="shared" si="0"/>
        <v>1.0761724945172021E-2</v>
      </c>
      <c r="U7" s="203">
        <f t="shared" si="0"/>
        <v>1.080299605644368E-2</v>
      </c>
      <c r="V7" s="203">
        <f t="shared" si="0"/>
        <v>1.080299605644368E-2</v>
      </c>
      <c r="W7" s="203">
        <f t="shared" si="0"/>
        <v>1.080299605644368E-2</v>
      </c>
      <c r="X7" s="202">
        <f t="shared" si="0"/>
        <v>1.0845032217358217E-2</v>
      </c>
      <c r="Y7" s="202">
        <f t="shared" si="0"/>
        <v>1.0845032217358217E-2</v>
      </c>
      <c r="Z7" s="202">
        <f t="shared" si="0"/>
        <v>1.0845032217358217E-2</v>
      </c>
      <c r="AA7" s="202">
        <f t="shared" si="0"/>
        <v>1.0887824566713854E-2</v>
      </c>
      <c r="AB7" s="202">
        <f t="shared" si="0"/>
        <v>1.0887824566713854E-2</v>
      </c>
      <c r="AC7" s="202">
        <f t="shared" si="0"/>
        <v>1.0887824566713854E-2</v>
      </c>
      <c r="AD7" s="202">
        <f t="shared" si="0"/>
        <v>1.0931364223898942E-2</v>
      </c>
      <c r="AE7" s="202">
        <f t="shared" si="0"/>
        <v>1.0931364223898942E-2</v>
      </c>
      <c r="AF7" s="203">
        <f t="shared" si="0"/>
        <v>1.0975642295352819E-2</v>
      </c>
      <c r="AG7" s="203">
        <f t="shared" si="0"/>
        <v>1.1020649880816363E-2</v>
      </c>
      <c r="AH7" s="203">
        <f t="shared" si="0"/>
        <v>1.1020649880816363E-2</v>
      </c>
    </row>
    <row r="8" spans="1:34">
      <c r="A8" s="204">
        <v>1</v>
      </c>
      <c r="B8" s="205" t="s">
        <v>1065</v>
      </c>
      <c r="C8" s="206" t="s">
        <v>1066</v>
      </c>
      <c r="D8" s="206">
        <v>1</v>
      </c>
      <c r="E8" s="206" t="s">
        <v>1067</v>
      </c>
      <c r="F8" s="207" t="s">
        <v>1068</v>
      </c>
      <c r="G8" s="208">
        <v>5.0000000000000001E-3</v>
      </c>
      <c r="H8" s="208">
        <v>5.0000000000000001E-3</v>
      </c>
      <c r="I8" s="208">
        <v>4.8999999999999998E-3</v>
      </c>
      <c r="J8" s="208">
        <v>4.8999999999999998E-3</v>
      </c>
      <c r="K8" s="208">
        <v>4.8999999999999998E-3</v>
      </c>
      <c r="L8" s="208">
        <v>4.7999999999999996E-3</v>
      </c>
      <c r="M8" s="208">
        <v>4.7999999999999996E-3</v>
      </c>
      <c r="N8" s="208">
        <v>4.7999999999999996E-3</v>
      </c>
      <c r="O8" s="208">
        <v>4.5999999999999999E-3</v>
      </c>
      <c r="P8" s="208">
        <v>4.5999999999999999E-3</v>
      </c>
      <c r="Q8" s="208">
        <v>4.5999999999999999E-3</v>
      </c>
      <c r="R8" s="208">
        <v>4.4000000000000003E-3</v>
      </c>
      <c r="S8" s="208">
        <v>4.4000000000000003E-3</v>
      </c>
      <c r="T8" s="208">
        <v>4.4000000000000003E-3</v>
      </c>
      <c r="U8" s="208">
        <v>4.4999999999999997E-3</v>
      </c>
      <c r="V8" s="208">
        <v>4.4999999999999997E-3</v>
      </c>
      <c r="W8" s="208">
        <v>4.4999999999999997E-3</v>
      </c>
      <c r="X8" s="208">
        <v>4.5999999999999999E-3</v>
      </c>
      <c r="Y8" s="208">
        <v>4.5999999999999999E-3</v>
      </c>
      <c r="Z8" s="208">
        <v>4.5999999999999999E-3</v>
      </c>
      <c r="AA8" s="208">
        <v>4.7000000000000002E-3</v>
      </c>
      <c r="AB8" s="208">
        <v>4.7000000000000002E-3</v>
      </c>
      <c r="AC8" s="208">
        <v>4.7000000000000002E-3</v>
      </c>
      <c r="AD8" s="208">
        <v>4.7999999999999996E-3</v>
      </c>
      <c r="AE8" s="208">
        <v>4.7999999999999996E-3</v>
      </c>
      <c r="AF8" s="208">
        <v>4.8999999999999998E-3</v>
      </c>
      <c r="AG8" s="208">
        <v>5.0000000000000001E-3</v>
      </c>
      <c r="AH8" s="208">
        <v>5.0000000000000001E-3</v>
      </c>
    </row>
    <row r="9" spans="1:34">
      <c r="A9" s="204">
        <v>2</v>
      </c>
      <c r="B9" s="205" t="s">
        <v>1069</v>
      </c>
      <c r="C9" s="206" t="s">
        <v>1070</v>
      </c>
      <c r="D9" s="206">
        <v>1</v>
      </c>
      <c r="E9" s="206" t="s">
        <v>1071</v>
      </c>
      <c r="F9" s="207" t="s">
        <v>1072</v>
      </c>
      <c r="G9" s="208">
        <v>7.1000000000000004E-3</v>
      </c>
      <c r="H9" s="208">
        <v>7.1000000000000004E-3</v>
      </c>
      <c r="I9" s="208">
        <v>7.1000000000000004E-3</v>
      </c>
      <c r="J9" s="208">
        <v>7.1000000000000004E-3</v>
      </c>
      <c r="K9" s="208">
        <v>7.1000000000000004E-3</v>
      </c>
      <c r="L9" s="208">
        <v>7.1000000000000004E-3</v>
      </c>
      <c r="M9" s="208">
        <v>7.1000000000000004E-3</v>
      </c>
      <c r="N9" s="208">
        <v>7.1000000000000004E-3</v>
      </c>
      <c r="O9" s="208">
        <v>7.1000000000000004E-3</v>
      </c>
      <c r="P9" s="208">
        <v>7.1000000000000004E-3</v>
      </c>
      <c r="Q9" s="208">
        <v>7.1000000000000004E-3</v>
      </c>
      <c r="R9" s="208">
        <v>7.1000000000000004E-3</v>
      </c>
      <c r="S9" s="208">
        <v>7.1000000000000004E-3</v>
      </c>
      <c r="T9" s="208">
        <v>7.1000000000000004E-3</v>
      </c>
      <c r="U9" s="208">
        <v>7.1000000000000004E-3</v>
      </c>
      <c r="V9" s="208">
        <v>7.1000000000000004E-3</v>
      </c>
      <c r="W9" s="208">
        <v>7.1000000000000004E-3</v>
      </c>
      <c r="X9" s="208">
        <v>7.1000000000000004E-3</v>
      </c>
      <c r="Y9" s="208">
        <v>7.1000000000000004E-3</v>
      </c>
      <c r="Z9" s="208">
        <v>7.1000000000000004E-3</v>
      </c>
      <c r="AA9" s="208">
        <v>7.1000000000000004E-3</v>
      </c>
      <c r="AB9" s="208">
        <v>7.1000000000000004E-3</v>
      </c>
      <c r="AC9" s="208">
        <v>7.1000000000000004E-3</v>
      </c>
      <c r="AD9" s="208">
        <v>7.1000000000000004E-3</v>
      </c>
      <c r="AE9" s="208">
        <v>7.1000000000000004E-3</v>
      </c>
      <c r="AF9" s="208">
        <v>7.1000000000000004E-3</v>
      </c>
      <c r="AG9" s="208">
        <v>7.1000000000000004E-3</v>
      </c>
      <c r="AH9" s="208">
        <v>7.1000000000000004E-3</v>
      </c>
    </row>
    <row r="10" spans="1:34">
      <c r="A10" s="204">
        <v>3</v>
      </c>
      <c r="B10" s="205" t="s">
        <v>1073</v>
      </c>
      <c r="C10" s="206"/>
      <c r="D10" s="206">
        <v>1</v>
      </c>
      <c r="E10" s="206" t="s">
        <v>1071</v>
      </c>
      <c r="F10" s="207"/>
      <c r="G10" s="208">
        <v>2.1709297223018436E-3</v>
      </c>
      <c r="H10" s="208">
        <v>2.1709297223018436E-3</v>
      </c>
      <c r="I10" s="208">
        <v>2.1709297223018436E-3</v>
      </c>
      <c r="J10" s="208">
        <v>2.1709297223018436E-3</v>
      </c>
      <c r="K10" s="208">
        <v>2.1709297223018436E-3</v>
      </c>
      <c r="L10" s="208">
        <v>2.1709297223018436E-3</v>
      </c>
      <c r="M10" s="208">
        <v>2.1709297223018436E-3</v>
      </c>
      <c r="N10" s="208">
        <v>2.1709297223018436E-3</v>
      </c>
      <c r="O10" s="208">
        <v>2.1709297223018436E-3</v>
      </c>
      <c r="P10" s="208">
        <v>2.1709297223018436E-3</v>
      </c>
      <c r="Q10" s="208">
        <v>2.1709297223018436E-3</v>
      </c>
      <c r="R10" s="208">
        <v>2.1709297223018436E-3</v>
      </c>
      <c r="S10" s="208">
        <v>2.1709297223018436E-3</v>
      </c>
      <c r="T10" s="208">
        <v>2.1709297223018436E-3</v>
      </c>
      <c r="U10" s="208">
        <v>2.1709297223018436E-3</v>
      </c>
      <c r="V10" s="208">
        <v>2.1709297223018436E-3</v>
      </c>
      <c r="W10" s="208">
        <v>2.1709297223018436E-3</v>
      </c>
      <c r="X10" s="208">
        <v>2.1709297223018436E-3</v>
      </c>
      <c r="Y10" s="208">
        <v>2.1709297223018436E-3</v>
      </c>
      <c r="Z10" s="208">
        <v>2.1709297223018436E-3</v>
      </c>
      <c r="AA10" s="208">
        <v>2.1709297223018436E-3</v>
      </c>
      <c r="AB10" s="208">
        <v>2.1709297223018436E-3</v>
      </c>
      <c r="AC10" s="208">
        <v>2.1709297223018436E-3</v>
      </c>
      <c r="AD10" s="208">
        <v>2.1709297223018436E-3</v>
      </c>
      <c r="AE10" s="208">
        <v>2.1709297223018436E-3</v>
      </c>
      <c r="AF10" s="208">
        <v>2.1709297223018436E-3</v>
      </c>
      <c r="AG10" s="208">
        <v>2.1709297223018436E-3</v>
      </c>
      <c r="AH10" s="208">
        <v>2.1709297223018436E-3</v>
      </c>
    </row>
    <row r="11" spans="1:34">
      <c r="A11" s="204">
        <v>4</v>
      </c>
      <c r="B11" s="205" t="s">
        <v>1074</v>
      </c>
      <c r="C11" s="206"/>
      <c r="D11" s="206">
        <v>1</v>
      </c>
      <c r="E11" s="206" t="s">
        <v>1071</v>
      </c>
      <c r="F11" s="207"/>
      <c r="G11" s="208">
        <v>1.0857226332792306E-4</v>
      </c>
      <c r="H11" s="208">
        <v>1E-4</v>
      </c>
      <c r="I11" s="208">
        <v>1.0857226332792306E-4</v>
      </c>
      <c r="J11" s="208">
        <v>1.0857226332792306E-4</v>
      </c>
      <c r="K11" s="208">
        <v>1.0857226332792306E-4</v>
      </c>
      <c r="L11" s="208">
        <v>1.0857226332792306E-4</v>
      </c>
      <c r="M11" s="208">
        <v>1.0857226332792306E-4</v>
      </c>
      <c r="N11" s="208">
        <v>1.0857226332792306E-4</v>
      </c>
      <c r="O11" s="208">
        <v>1.0857226332792306E-4</v>
      </c>
      <c r="P11" s="208">
        <v>1.0857226332792306E-4</v>
      </c>
      <c r="Q11" s="208">
        <v>1.0857226332792306E-4</v>
      </c>
      <c r="R11" s="208">
        <v>1.0857226332792306E-4</v>
      </c>
      <c r="S11" s="208">
        <v>1.0857226332792306E-4</v>
      </c>
      <c r="T11" s="208">
        <v>1.0857226332792306E-4</v>
      </c>
      <c r="U11" s="208">
        <v>1.0857226332792306E-4</v>
      </c>
      <c r="V11" s="208">
        <v>1.0857226332792306E-4</v>
      </c>
      <c r="W11" s="208">
        <v>1.0857226332792306E-4</v>
      </c>
      <c r="X11" s="208">
        <v>1.0857226332792306E-4</v>
      </c>
      <c r="Y11" s="208">
        <v>1.0857226332792306E-4</v>
      </c>
      <c r="Z11" s="208">
        <v>1.0857226332792306E-4</v>
      </c>
      <c r="AA11" s="208">
        <v>1.0857226332792306E-4</v>
      </c>
      <c r="AB11" s="208">
        <v>1.0857226332792306E-4</v>
      </c>
      <c r="AC11" s="208">
        <v>1.0857226332792306E-4</v>
      </c>
      <c r="AD11" s="208">
        <v>1.0857226332792306E-4</v>
      </c>
      <c r="AE11" s="208">
        <v>1.0857226332792306E-4</v>
      </c>
      <c r="AF11" s="208">
        <v>1.0857226332792306E-4</v>
      </c>
      <c r="AG11" s="208">
        <v>1.0857226332792306E-4</v>
      </c>
      <c r="AH11" s="208">
        <v>1.0857226332792306E-4</v>
      </c>
    </row>
    <row r="12" spans="1:34">
      <c r="A12" s="204">
        <v>5</v>
      </c>
      <c r="B12" s="205" t="s">
        <v>1075</v>
      </c>
      <c r="C12" s="206"/>
      <c r="D12" s="206">
        <v>1</v>
      </c>
      <c r="E12" s="206" t="s">
        <v>1071</v>
      </c>
      <c r="F12" s="207"/>
      <c r="G12" s="208">
        <v>2.0000000000000001E-4</v>
      </c>
      <c r="H12" s="208">
        <v>2.0000000000000001E-4</v>
      </c>
      <c r="I12" s="208">
        <v>2.0000000000000001E-4</v>
      </c>
      <c r="J12" s="208">
        <v>2.0000000000000001E-4</v>
      </c>
      <c r="K12" s="208">
        <v>2.0000000000000001E-4</v>
      </c>
      <c r="L12" s="208">
        <v>2.0000000000000001E-4</v>
      </c>
      <c r="M12" s="208">
        <v>2.0000000000000001E-4</v>
      </c>
      <c r="N12" s="208">
        <v>2.0000000000000001E-4</v>
      </c>
      <c r="O12" s="208">
        <v>2.0000000000000001E-4</v>
      </c>
      <c r="P12" s="208">
        <v>2.0000000000000001E-4</v>
      </c>
      <c r="Q12" s="208">
        <v>2.0000000000000001E-4</v>
      </c>
      <c r="R12" s="208">
        <v>2.0000000000000001E-4</v>
      </c>
      <c r="S12" s="208">
        <v>2.0000000000000001E-4</v>
      </c>
      <c r="T12" s="208">
        <v>2.0000000000000001E-4</v>
      </c>
      <c r="U12" s="208">
        <v>2.0000000000000001E-4</v>
      </c>
      <c r="V12" s="208">
        <v>2.0000000000000001E-4</v>
      </c>
      <c r="W12" s="208">
        <v>2.0000000000000001E-4</v>
      </c>
      <c r="X12" s="208">
        <v>2.0000000000000001E-4</v>
      </c>
      <c r="Y12" s="208">
        <v>2.0000000000000001E-4</v>
      </c>
      <c r="Z12" s="208">
        <v>2.0000000000000001E-4</v>
      </c>
      <c r="AA12" s="208">
        <v>2.0000000000000001E-4</v>
      </c>
      <c r="AB12" s="208">
        <v>2.0000000000000001E-4</v>
      </c>
      <c r="AC12" s="208">
        <v>2.0000000000000001E-4</v>
      </c>
      <c r="AD12" s="208">
        <v>2.0000000000000001E-4</v>
      </c>
      <c r="AE12" s="208">
        <v>2.0000000000000001E-4</v>
      </c>
      <c r="AF12" s="208">
        <v>2.0000000000000001E-4</v>
      </c>
      <c r="AG12" s="208">
        <v>2.0000000000000001E-4</v>
      </c>
      <c r="AH12" s="208">
        <v>2.0000000000000001E-4</v>
      </c>
    </row>
    <row r="13" spans="1:34">
      <c r="A13" s="204">
        <v>6</v>
      </c>
      <c r="B13" s="205" t="s">
        <v>44</v>
      </c>
      <c r="C13" s="206" t="s">
        <v>1076</v>
      </c>
      <c r="D13" s="206">
        <v>1</v>
      </c>
      <c r="E13" s="206" t="s">
        <v>69</v>
      </c>
      <c r="F13" s="207"/>
      <c r="G13" s="208">
        <v>0</v>
      </c>
      <c r="H13" s="208">
        <v>0</v>
      </c>
      <c r="I13" s="208">
        <v>0</v>
      </c>
      <c r="J13" s="208">
        <v>0</v>
      </c>
      <c r="K13" s="208">
        <v>0</v>
      </c>
      <c r="L13" s="208">
        <v>0</v>
      </c>
      <c r="M13" s="208">
        <v>0</v>
      </c>
      <c r="N13" s="208">
        <v>0</v>
      </c>
      <c r="O13" s="208">
        <v>0</v>
      </c>
      <c r="P13" s="208">
        <v>0</v>
      </c>
      <c r="Q13" s="208">
        <v>0</v>
      </c>
      <c r="R13" s="208">
        <v>0</v>
      </c>
      <c r="S13" s="208">
        <v>0</v>
      </c>
      <c r="T13" s="208">
        <v>0</v>
      </c>
      <c r="U13" s="208">
        <v>0</v>
      </c>
      <c r="V13" s="208">
        <v>0</v>
      </c>
      <c r="W13" s="208">
        <v>0</v>
      </c>
      <c r="X13" s="208">
        <v>0</v>
      </c>
      <c r="Y13" s="208">
        <v>0</v>
      </c>
      <c r="Z13" s="208">
        <v>0</v>
      </c>
      <c r="AA13" s="208">
        <v>0</v>
      </c>
      <c r="AB13" s="208">
        <v>0</v>
      </c>
      <c r="AC13" s="208">
        <v>0</v>
      </c>
      <c r="AD13" s="208">
        <v>0</v>
      </c>
      <c r="AE13" s="208">
        <v>0</v>
      </c>
      <c r="AF13" s="208">
        <v>0</v>
      </c>
      <c r="AG13" s="208">
        <v>0</v>
      </c>
      <c r="AH13" s="208">
        <v>0</v>
      </c>
    </row>
    <row r="14" spans="1:34">
      <c r="A14" s="204">
        <v>7</v>
      </c>
      <c r="B14" s="205" t="s">
        <v>1077</v>
      </c>
      <c r="C14" s="206"/>
      <c r="D14" s="206">
        <v>1</v>
      </c>
      <c r="E14" s="206" t="s">
        <v>1071</v>
      </c>
      <c r="F14" s="207" t="s">
        <v>1078</v>
      </c>
      <c r="G14" s="208">
        <v>6.0000000000000001E-3</v>
      </c>
      <c r="H14" s="208">
        <v>6.0000000000000001E-3</v>
      </c>
      <c r="I14" s="208">
        <v>6.0000000000000001E-3</v>
      </c>
      <c r="J14" s="208">
        <v>6.0000000000000001E-3</v>
      </c>
      <c r="K14" s="208">
        <v>6.0000000000000001E-3</v>
      </c>
      <c r="L14" s="208">
        <v>6.0000000000000001E-3</v>
      </c>
      <c r="M14" s="208">
        <v>6.0000000000000001E-3</v>
      </c>
      <c r="N14" s="208">
        <v>6.0000000000000001E-3</v>
      </c>
      <c r="O14" s="208">
        <v>6.0000000000000001E-3</v>
      </c>
      <c r="P14" s="208">
        <v>6.0000000000000001E-3</v>
      </c>
      <c r="Q14" s="208">
        <v>6.0000000000000001E-3</v>
      </c>
      <c r="R14" s="208">
        <v>6.0000000000000001E-3</v>
      </c>
      <c r="S14" s="208">
        <v>6.0000000000000001E-3</v>
      </c>
      <c r="T14" s="208">
        <v>6.0000000000000001E-3</v>
      </c>
      <c r="U14" s="208">
        <v>6.0000000000000001E-3</v>
      </c>
      <c r="V14" s="208">
        <v>6.0000000000000001E-3</v>
      </c>
      <c r="W14" s="208">
        <v>6.0000000000000001E-3</v>
      </c>
      <c r="X14" s="208">
        <v>6.0000000000000001E-3</v>
      </c>
      <c r="Y14" s="208">
        <v>6.0000000000000001E-3</v>
      </c>
      <c r="Z14" s="208">
        <v>6.0000000000000001E-3</v>
      </c>
      <c r="AA14" s="208">
        <v>6.0000000000000001E-3</v>
      </c>
      <c r="AB14" s="208">
        <v>6.0000000000000001E-3</v>
      </c>
      <c r="AC14" s="208">
        <v>6.0000000000000001E-3</v>
      </c>
      <c r="AD14" s="208">
        <v>6.0000000000000001E-3</v>
      </c>
      <c r="AE14" s="208">
        <v>6.0000000000000001E-3</v>
      </c>
      <c r="AF14" s="208">
        <v>6.0000000000000001E-3</v>
      </c>
      <c r="AG14" s="208">
        <v>6.0000000000000001E-3</v>
      </c>
      <c r="AH14" s="208">
        <v>6.0000000000000001E-3</v>
      </c>
    </row>
    <row r="15" spans="1:34">
      <c r="A15" s="204">
        <v>8</v>
      </c>
      <c r="B15" s="205" t="s">
        <v>1079</v>
      </c>
      <c r="C15" s="206"/>
      <c r="D15" s="206">
        <v>0.15</v>
      </c>
      <c r="E15" s="206" t="s">
        <v>760</v>
      </c>
      <c r="F15" s="207" t="s">
        <v>1078</v>
      </c>
      <c r="G15" s="208">
        <v>1.6000000000000001E-3</v>
      </c>
      <c r="H15" s="208">
        <v>1.6000000000000001E-3</v>
      </c>
      <c r="I15" s="208">
        <v>1.6000000000000001E-3</v>
      </c>
      <c r="J15" s="208">
        <v>1.6000000000000001E-3</v>
      </c>
      <c r="K15" s="208">
        <v>1.6000000000000001E-3</v>
      </c>
      <c r="L15" s="208">
        <v>1.6000000000000001E-3</v>
      </c>
      <c r="M15" s="208">
        <v>1.6000000000000001E-3</v>
      </c>
      <c r="N15" s="208">
        <v>1.6000000000000001E-3</v>
      </c>
      <c r="O15" s="208">
        <v>1.6000000000000001E-3</v>
      </c>
      <c r="P15" s="208">
        <v>1.6000000000000001E-3</v>
      </c>
      <c r="Q15" s="208">
        <v>1.6000000000000001E-3</v>
      </c>
      <c r="R15" s="208">
        <v>1.6000000000000001E-3</v>
      </c>
      <c r="S15" s="208">
        <v>1.6000000000000001E-3</v>
      </c>
      <c r="T15" s="208">
        <v>1.6000000000000001E-3</v>
      </c>
      <c r="U15" s="208">
        <v>1.6000000000000001E-3</v>
      </c>
      <c r="V15" s="208">
        <v>1.6000000000000001E-3</v>
      </c>
      <c r="W15" s="208">
        <v>1.6000000000000001E-3</v>
      </c>
      <c r="X15" s="208">
        <v>1.6000000000000001E-3</v>
      </c>
      <c r="Y15" s="208">
        <v>1.6000000000000001E-3</v>
      </c>
      <c r="Z15" s="208">
        <v>1.6000000000000001E-3</v>
      </c>
      <c r="AA15" s="208">
        <v>1.6000000000000001E-3</v>
      </c>
      <c r="AB15" s="208">
        <v>1.6000000000000001E-3</v>
      </c>
      <c r="AC15" s="208">
        <v>1.6000000000000001E-3</v>
      </c>
      <c r="AD15" s="208">
        <v>1.6000000000000001E-3</v>
      </c>
      <c r="AE15" s="208">
        <v>1.6000000000000001E-3</v>
      </c>
      <c r="AF15" s="208">
        <v>1.6000000000000001E-3</v>
      </c>
      <c r="AG15" s="208">
        <v>1.6000000000000001E-3</v>
      </c>
      <c r="AH15" s="208">
        <v>1.6000000000000001E-3</v>
      </c>
    </row>
    <row r="16" spans="1:34">
      <c r="A16" s="204">
        <v>9</v>
      </c>
      <c r="B16" s="205" t="s">
        <v>1080</v>
      </c>
      <c r="C16" s="206"/>
      <c r="D16" s="206">
        <v>1</v>
      </c>
      <c r="E16" s="206" t="s">
        <v>1071</v>
      </c>
      <c r="F16" s="207" t="s">
        <v>1078</v>
      </c>
      <c r="G16" s="208">
        <v>4.0000000000000002E-4</v>
      </c>
      <c r="H16" s="208">
        <v>4.0000000000000002E-4</v>
      </c>
      <c r="I16" s="208">
        <v>4.0000000000000002E-4</v>
      </c>
      <c r="J16" s="208">
        <v>4.0000000000000002E-4</v>
      </c>
      <c r="K16" s="208">
        <v>4.0000000000000002E-4</v>
      </c>
      <c r="L16" s="208">
        <v>4.0000000000000002E-4</v>
      </c>
      <c r="M16" s="208">
        <v>4.0000000000000002E-4</v>
      </c>
      <c r="N16" s="208">
        <v>4.0000000000000002E-4</v>
      </c>
      <c r="O16" s="208">
        <v>4.0000000000000002E-4</v>
      </c>
      <c r="P16" s="208">
        <v>4.0000000000000002E-4</v>
      </c>
      <c r="Q16" s="208">
        <v>4.0000000000000002E-4</v>
      </c>
      <c r="R16" s="208">
        <v>4.0000000000000002E-4</v>
      </c>
      <c r="S16" s="208">
        <v>4.0000000000000002E-4</v>
      </c>
      <c r="T16" s="208">
        <v>4.0000000000000002E-4</v>
      </c>
      <c r="U16" s="208">
        <v>4.0000000000000002E-4</v>
      </c>
      <c r="V16" s="208">
        <v>4.0000000000000002E-4</v>
      </c>
      <c r="W16" s="208">
        <v>4.0000000000000002E-4</v>
      </c>
      <c r="X16" s="208">
        <v>4.0000000000000002E-4</v>
      </c>
      <c r="Y16" s="208">
        <v>4.0000000000000002E-4</v>
      </c>
      <c r="Z16" s="208">
        <v>4.0000000000000002E-4</v>
      </c>
      <c r="AA16" s="208">
        <v>4.0000000000000002E-4</v>
      </c>
      <c r="AB16" s="208">
        <v>4.0000000000000002E-4</v>
      </c>
      <c r="AC16" s="208">
        <v>4.0000000000000002E-4</v>
      </c>
      <c r="AD16" s="208">
        <v>4.0000000000000002E-4</v>
      </c>
      <c r="AE16" s="208">
        <v>4.0000000000000002E-4</v>
      </c>
      <c r="AF16" s="208">
        <v>4.0000000000000002E-4</v>
      </c>
      <c r="AG16" s="208">
        <v>4.0000000000000002E-4</v>
      </c>
      <c r="AH16" s="208">
        <v>4.0000000000000002E-4</v>
      </c>
    </row>
    <row r="17" spans="1:34">
      <c r="A17" s="204">
        <v>10</v>
      </c>
      <c r="B17" s="205" t="s">
        <v>1081</v>
      </c>
      <c r="C17" s="206"/>
      <c r="D17" s="206">
        <v>0.15</v>
      </c>
      <c r="E17" s="206" t="s">
        <v>760</v>
      </c>
      <c r="F17" s="207" t="s">
        <v>1078</v>
      </c>
      <c r="G17" s="208">
        <v>1.6000000000000001E-3</v>
      </c>
      <c r="H17" s="208">
        <v>1.6000000000000001E-3</v>
      </c>
      <c r="I17" s="208">
        <v>1.6000000000000001E-3</v>
      </c>
      <c r="J17" s="208">
        <v>1.6000000000000001E-3</v>
      </c>
      <c r="K17" s="208">
        <v>1.6000000000000001E-3</v>
      </c>
      <c r="L17" s="208">
        <v>1.6000000000000001E-3</v>
      </c>
      <c r="M17" s="208">
        <v>1.6000000000000001E-3</v>
      </c>
      <c r="N17" s="208">
        <v>1.6000000000000001E-3</v>
      </c>
      <c r="O17" s="208">
        <v>1.6000000000000001E-3</v>
      </c>
      <c r="P17" s="208">
        <v>1.6000000000000001E-3</v>
      </c>
      <c r="Q17" s="208">
        <v>1.6000000000000001E-3</v>
      </c>
      <c r="R17" s="208">
        <v>1.6000000000000001E-3</v>
      </c>
      <c r="S17" s="208">
        <v>1.6000000000000001E-3</v>
      </c>
      <c r="T17" s="208">
        <v>1.6000000000000001E-3</v>
      </c>
      <c r="U17" s="208">
        <v>1.6000000000000001E-3</v>
      </c>
      <c r="V17" s="208">
        <v>1.6000000000000001E-3</v>
      </c>
      <c r="W17" s="208">
        <v>1.6000000000000001E-3</v>
      </c>
      <c r="X17" s="208">
        <v>1.6000000000000001E-3</v>
      </c>
      <c r="Y17" s="208">
        <v>1.6000000000000001E-3</v>
      </c>
      <c r="Z17" s="208">
        <v>1.6000000000000001E-3</v>
      </c>
      <c r="AA17" s="208">
        <v>1.6000000000000001E-3</v>
      </c>
      <c r="AB17" s="208">
        <v>1.6000000000000001E-3</v>
      </c>
      <c r="AC17" s="208">
        <v>1.6000000000000001E-3</v>
      </c>
      <c r="AD17" s="208">
        <v>1.6000000000000001E-3</v>
      </c>
      <c r="AE17" s="208">
        <v>1.6000000000000001E-3</v>
      </c>
      <c r="AF17" s="208">
        <v>1.6000000000000001E-3</v>
      </c>
      <c r="AG17" s="208">
        <v>1.6000000000000001E-3</v>
      </c>
      <c r="AH17" s="208">
        <v>1.6000000000000001E-3</v>
      </c>
    </row>
    <row r="18" spans="1:34">
      <c r="A18" s="200"/>
      <c r="B18" s="201" t="s">
        <v>1082</v>
      </c>
      <c r="C18" s="202"/>
      <c r="D18" s="201"/>
      <c r="E18" s="202" t="s">
        <v>63</v>
      </c>
      <c r="F18" s="201"/>
      <c r="G18" s="203">
        <f t="shared" ref="G18:Z18" si="1">SQRT((G20^2+G21^2+G22^2+G24^2+G25^2+G28^2+G29^2+G30^2+G31^2))</f>
        <v>2.1163801643372109E-2</v>
      </c>
      <c r="H18" s="203">
        <f t="shared" si="1"/>
        <v>1.9443171037667697E-2</v>
      </c>
      <c r="I18" s="203">
        <f t="shared" si="1"/>
        <v>1.8641858812897386E-2</v>
      </c>
      <c r="J18" s="203">
        <f t="shared" si="1"/>
        <v>1.8641858812897386E-2</v>
      </c>
      <c r="K18" s="203">
        <f t="shared" si="1"/>
        <v>1.8641858812897386E-2</v>
      </c>
      <c r="L18" s="203">
        <f t="shared" si="1"/>
        <v>1.8171543687865374E-2</v>
      </c>
      <c r="M18" s="203">
        <f t="shared" si="1"/>
        <v>1.8171543687865374E-2</v>
      </c>
      <c r="N18" s="203">
        <f t="shared" si="1"/>
        <v>1.8171543687865374E-2</v>
      </c>
      <c r="O18" s="203">
        <f t="shared" si="1"/>
        <v>1.8140223262132139E-2</v>
      </c>
      <c r="P18" s="203">
        <f t="shared" si="1"/>
        <v>1.8140223262132139E-2</v>
      </c>
      <c r="Q18" s="203">
        <f t="shared" si="1"/>
        <v>1.8140223262132139E-2</v>
      </c>
      <c r="R18" s="203">
        <f t="shared" si="1"/>
        <v>1.8137962950673374E-2</v>
      </c>
      <c r="S18" s="203">
        <f t="shared" si="1"/>
        <v>1.8137962950673374E-2</v>
      </c>
      <c r="T18" s="203">
        <f t="shared" si="1"/>
        <v>1.8137962950673374E-2</v>
      </c>
      <c r="U18" s="203">
        <f t="shared" si="1"/>
        <v>1.8137621122958764E-2</v>
      </c>
      <c r="V18" s="203">
        <f t="shared" si="1"/>
        <v>1.8137621122958764E-2</v>
      </c>
      <c r="W18" s="203">
        <f t="shared" si="1"/>
        <v>1.8137621122958764E-2</v>
      </c>
      <c r="X18" s="203">
        <f t="shared" si="1"/>
        <v>1.8139481800757151E-2</v>
      </c>
      <c r="Y18" s="203">
        <f t="shared" si="1"/>
        <v>1.8139481800757151E-2</v>
      </c>
      <c r="Z18" s="203">
        <f t="shared" si="1"/>
        <v>1.8139481800757151E-2</v>
      </c>
      <c r="AA18" s="203">
        <f t="shared" ref="AA18:AH18" si="2">SQRT((AA20^2+AA21^2+AA22^2+AA24^2+AA28^2+AA29^2+AA30^2+AA31^2))</f>
        <v>1.8148358052452015E-2</v>
      </c>
      <c r="AB18" s="203">
        <f t="shared" si="2"/>
        <v>1.8148358052452015E-2</v>
      </c>
      <c r="AC18" s="203">
        <f t="shared" si="2"/>
        <v>1.8148358052452015E-2</v>
      </c>
      <c r="AD18" s="203">
        <f t="shared" si="2"/>
        <v>1.8292689796746676E-2</v>
      </c>
      <c r="AE18" s="203">
        <f t="shared" si="2"/>
        <v>1.8519708421030824E-2</v>
      </c>
      <c r="AF18" s="203">
        <f t="shared" si="2"/>
        <v>1.9065476652840339E-2</v>
      </c>
      <c r="AG18" s="203">
        <f t="shared" si="2"/>
        <v>2.039736257460753E-2</v>
      </c>
      <c r="AH18" s="203">
        <f t="shared" si="2"/>
        <v>2.4386315834910365E-2</v>
      </c>
    </row>
    <row r="19" spans="1:34">
      <c r="C19" s="209"/>
    </row>
    <row r="20" spans="1:34">
      <c r="A20" s="204">
        <v>11</v>
      </c>
      <c r="B20" s="205" t="s">
        <v>1083</v>
      </c>
      <c r="C20" s="206" t="s">
        <v>1084</v>
      </c>
      <c r="D20" s="206">
        <v>0.01</v>
      </c>
      <c r="E20" s="206" t="s">
        <v>760</v>
      </c>
      <c r="F20" s="207" t="s">
        <v>1078</v>
      </c>
      <c r="G20" s="208">
        <v>1E-4</v>
      </c>
      <c r="H20" s="208">
        <v>1E-4</v>
      </c>
      <c r="I20" s="208">
        <v>1E-4</v>
      </c>
      <c r="J20" s="208">
        <v>1E-4</v>
      </c>
      <c r="K20" s="208">
        <v>1E-4</v>
      </c>
      <c r="L20" s="208">
        <v>0</v>
      </c>
      <c r="M20" s="208">
        <v>0</v>
      </c>
      <c r="N20" s="208">
        <v>0</v>
      </c>
      <c r="O20" s="208">
        <v>0</v>
      </c>
      <c r="P20" s="208">
        <v>0</v>
      </c>
      <c r="Q20" s="208">
        <v>0</v>
      </c>
      <c r="R20" s="208">
        <v>0</v>
      </c>
      <c r="S20" s="208">
        <v>0</v>
      </c>
      <c r="T20" s="208">
        <v>0</v>
      </c>
      <c r="U20" s="208">
        <v>0</v>
      </c>
      <c r="V20" s="208">
        <v>0</v>
      </c>
      <c r="W20" s="208">
        <v>0</v>
      </c>
      <c r="X20" s="208">
        <v>1E-4</v>
      </c>
      <c r="Y20" s="208">
        <v>1E-4</v>
      </c>
      <c r="Z20" s="208">
        <v>1E-4</v>
      </c>
      <c r="AA20" s="208">
        <v>2.9999999999999997E-4</v>
      </c>
      <c r="AB20" s="208">
        <v>2.9999999999999997E-4</v>
      </c>
      <c r="AC20" s="208">
        <v>2.9999999999999997E-4</v>
      </c>
      <c r="AD20" s="208">
        <v>1E-3</v>
      </c>
      <c r="AE20" s="208">
        <v>1.6000000000000001E-3</v>
      </c>
      <c r="AF20" s="208">
        <v>2.5000000000000001E-3</v>
      </c>
      <c r="AG20" s="208">
        <v>4.0000000000000001E-3</v>
      </c>
      <c r="AH20" s="208">
        <v>7.3000000000000001E-3</v>
      </c>
    </row>
    <row r="21" spans="1:34">
      <c r="A21" s="204">
        <v>12</v>
      </c>
      <c r="B21" s="205" t="s">
        <v>1085</v>
      </c>
      <c r="C21" s="206" t="s">
        <v>1086</v>
      </c>
      <c r="D21" s="206">
        <v>0.01</v>
      </c>
      <c r="E21" s="206" t="s">
        <v>760</v>
      </c>
      <c r="F21" s="207" t="s">
        <v>1078</v>
      </c>
      <c r="G21" s="208">
        <v>0</v>
      </c>
      <c r="H21" s="208">
        <v>0</v>
      </c>
      <c r="I21" s="208">
        <v>0</v>
      </c>
      <c r="J21" s="208">
        <v>0</v>
      </c>
      <c r="K21" s="208">
        <v>0</v>
      </c>
      <c r="L21" s="208">
        <v>0</v>
      </c>
      <c r="M21" s="208">
        <v>0</v>
      </c>
      <c r="N21" s="208">
        <v>0</v>
      </c>
      <c r="O21" s="208">
        <v>0</v>
      </c>
      <c r="P21" s="208">
        <v>0</v>
      </c>
      <c r="Q21" s="208">
        <v>0</v>
      </c>
      <c r="R21" s="208">
        <v>0</v>
      </c>
      <c r="S21" s="208">
        <v>0</v>
      </c>
      <c r="T21" s="208">
        <v>0</v>
      </c>
      <c r="U21" s="208">
        <v>0</v>
      </c>
      <c r="V21" s="208">
        <v>0</v>
      </c>
      <c r="W21" s="208">
        <v>0</v>
      </c>
      <c r="X21" s="208">
        <v>0</v>
      </c>
      <c r="Y21" s="208">
        <v>0</v>
      </c>
      <c r="Z21" s="208">
        <v>0</v>
      </c>
      <c r="AA21" s="208">
        <v>0</v>
      </c>
      <c r="AB21" s="208">
        <v>0</v>
      </c>
      <c r="AC21" s="208">
        <v>0</v>
      </c>
      <c r="AD21" s="208">
        <v>1E-4</v>
      </c>
      <c r="AE21" s="208">
        <v>1E-4</v>
      </c>
      <c r="AF21" s="208">
        <v>2.0000000000000001E-4</v>
      </c>
      <c r="AG21" s="208">
        <v>2.0000000000000001E-4</v>
      </c>
      <c r="AH21" s="208">
        <v>2.0000000000000001E-4</v>
      </c>
    </row>
    <row r="22" spans="1:34">
      <c r="A22" s="204">
        <v>13</v>
      </c>
      <c r="B22" s="205" t="s">
        <v>1087</v>
      </c>
      <c r="C22" s="206" t="s">
        <v>1088</v>
      </c>
      <c r="D22" s="206">
        <v>5</v>
      </c>
      <c r="E22" s="206" t="s">
        <v>1089</v>
      </c>
      <c r="F22" s="207" t="s">
        <v>1078</v>
      </c>
      <c r="G22" s="208">
        <v>1.8064883060789516E-2</v>
      </c>
      <c r="H22" s="208">
        <v>1.8064883060789516E-2</v>
      </c>
      <c r="I22" s="208">
        <v>1.8064883060789516E-2</v>
      </c>
      <c r="J22" s="208">
        <v>1.8064883060789516E-2</v>
      </c>
      <c r="K22" s="208">
        <v>1.8064883060789516E-2</v>
      </c>
      <c r="L22" s="208">
        <v>1.8064883060789516E-2</v>
      </c>
      <c r="M22" s="208">
        <v>1.8064883060789516E-2</v>
      </c>
      <c r="N22" s="208">
        <v>1.8064883060789516E-2</v>
      </c>
      <c r="O22" s="208">
        <v>1.8064883060789516E-2</v>
      </c>
      <c r="P22" s="208">
        <v>1.8064883060789516E-2</v>
      </c>
      <c r="Q22" s="208">
        <v>1.8064883060789516E-2</v>
      </c>
      <c r="R22" s="208">
        <v>1.8064883060789516E-2</v>
      </c>
      <c r="S22" s="208">
        <v>1.8064883060789516E-2</v>
      </c>
      <c r="T22" s="208">
        <v>1.8064883060789516E-2</v>
      </c>
      <c r="U22" s="208">
        <v>1.8064883060789516E-2</v>
      </c>
      <c r="V22" s="208">
        <v>1.8064883060789516E-2</v>
      </c>
      <c r="W22" s="208">
        <v>1.8064883060789516E-2</v>
      </c>
      <c r="X22" s="208">
        <v>1.8064883060789516E-2</v>
      </c>
      <c r="Y22" s="208">
        <v>1.8064883060789516E-2</v>
      </c>
      <c r="Z22" s="208">
        <v>1.8064883060789516E-2</v>
      </c>
      <c r="AA22" s="208">
        <v>1.8064883060789516E-2</v>
      </c>
      <c r="AB22" s="208">
        <v>1.8064883060789516E-2</v>
      </c>
      <c r="AC22" s="208">
        <v>1.8064883060789516E-2</v>
      </c>
      <c r="AD22" s="208">
        <v>1.8064883060789516E-2</v>
      </c>
      <c r="AE22" s="208">
        <v>1.8064883060789516E-2</v>
      </c>
      <c r="AF22" s="208">
        <v>1.8064883060789516E-2</v>
      </c>
      <c r="AG22" s="208">
        <v>1.8064883060789516E-2</v>
      </c>
      <c r="AH22" s="208">
        <v>1.8064883060789516E-2</v>
      </c>
    </row>
    <row r="23" spans="1:34">
      <c r="A23" s="204">
        <v>14</v>
      </c>
      <c r="B23" s="205" t="s">
        <v>1090</v>
      </c>
      <c r="C23" s="206"/>
      <c r="D23" s="206">
        <v>7</v>
      </c>
      <c r="E23" s="206" t="s">
        <v>1089</v>
      </c>
      <c r="F23" s="207" t="s">
        <v>1078</v>
      </c>
      <c r="G23" s="208">
        <v>1.8064883060789516E-2</v>
      </c>
      <c r="H23" s="208">
        <v>1.8064883060789516E-2</v>
      </c>
      <c r="I23" s="208">
        <v>1.8064883060789516E-2</v>
      </c>
      <c r="J23" s="208">
        <v>1.8064883060789516E-2</v>
      </c>
      <c r="K23" s="208">
        <v>1.8064883060789516E-2</v>
      </c>
      <c r="L23" s="208">
        <v>1.8064883060789516E-2</v>
      </c>
      <c r="M23" s="208">
        <v>1.8064883060789516E-2</v>
      </c>
      <c r="N23" s="208">
        <v>1.8064883060789516E-2</v>
      </c>
      <c r="O23" s="208">
        <v>1.8064883060789516E-2</v>
      </c>
      <c r="P23" s="208">
        <v>1.8064883060789516E-2</v>
      </c>
      <c r="Q23" s="208">
        <v>1.8064883060789516E-2</v>
      </c>
      <c r="R23" s="208">
        <v>1.8064883060789516E-2</v>
      </c>
      <c r="S23" s="208">
        <v>1.8064883060789516E-2</v>
      </c>
      <c r="T23" s="208">
        <v>1.8064883060789516E-2</v>
      </c>
      <c r="U23" s="208">
        <v>1.8064883060789516E-2</v>
      </c>
      <c r="V23" s="208">
        <v>1.8064883060789516E-2</v>
      </c>
      <c r="W23" s="208">
        <v>1.8064883060789516E-2</v>
      </c>
      <c r="X23" s="208">
        <v>1.8064883060789516E-2</v>
      </c>
      <c r="Y23" s="208">
        <v>1.8064883060789516E-2</v>
      </c>
      <c r="Z23" s="208">
        <v>1.8064883060789516E-2</v>
      </c>
      <c r="AA23" s="208">
        <v>1.8064883060789516E-2</v>
      </c>
      <c r="AB23" s="208">
        <v>1.8064883060789516E-2</v>
      </c>
      <c r="AC23" s="208">
        <v>1.8064883060789516E-2</v>
      </c>
      <c r="AD23" s="208">
        <v>1.8064883060789516E-2</v>
      </c>
      <c r="AE23" s="208">
        <v>1.8064883060789516E-2</v>
      </c>
      <c r="AF23" s="208">
        <v>1.8064883060789516E-2</v>
      </c>
      <c r="AG23" s="208">
        <v>1.8064883060789516E-2</v>
      </c>
      <c r="AH23" s="208">
        <v>1.8064883060789516E-2</v>
      </c>
    </row>
    <row r="24" spans="1:34">
      <c r="A24" s="204">
        <v>15</v>
      </c>
      <c r="B24" s="205" t="s">
        <v>1091</v>
      </c>
      <c r="C24" s="206" t="s">
        <v>1092</v>
      </c>
      <c r="D24" s="206">
        <v>0.2</v>
      </c>
      <c r="E24" s="206" t="s">
        <v>762</v>
      </c>
      <c r="F24" s="207" t="s">
        <v>1078</v>
      </c>
      <c r="G24" s="208">
        <v>1.1999999999999999E-4</v>
      </c>
      <c r="H24" s="208">
        <v>1E-4</v>
      </c>
      <c r="I24" s="208">
        <v>8.0000000000000007E-5</v>
      </c>
      <c r="J24" s="208">
        <v>8.0000000000000007E-5</v>
      </c>
      <c r="K24" s="208">
        <v>8.0000000000000007E-5</v>
      </c>
      <c r="L24" s="208">
        <v>5.9999999999999995E-5</v>
      </c>
      <c r="M24" s="208">
        <v>5.9999999999999995E-5</v>
      </c>
      <c r="N24" s="208">
        <v>5.9999999999999995E-5</v>
      </c>
      <c r="O24" s="208">
        <v>4.0000000000000003E-5</v>
      </c>
      <c r="P24" s="208">
        <v>4.0000000000000003E-5</v>
      </c>
      <c r="Q24" s="208">
        <v>4.0000000000000003E-5</v>
      </c>
      <c r="R24" s="208">
        <v>4.0000000000000003E-5</v>
      </c>
      <c r="S24" s="208">
        <v>4.0000000000000003E-5</v>
      </c>
      <c r="T24" s="208">
        <v>4.0000000000000003E-5</v>
      </c>
      <c r="U24" s="208">
        <v>2.0000000000000002E-5</v>
      </c>
      <c r="V24" s="208">
        <v>2.0000000000000002E-5</v>
      </c>
      <c r="W24" s="208">
        <v>2.0000000000000002E-5</v>
      </c>
      <c r="X24" s="208">
        <v>2.0000000000000002E-5</v>
      </c>
      <c r="Y24" s="208">
        <v>2.0000000000000002E-5</v>
      </c>
      <c r="Z24" s="208">
        <v>2.0000000000000002E-5</v>
      </c>
      <c r="AA24" s="208">
        <v>2.0000000000000002E-5</v>
      </c>
      <c r="AB24" s="208">
        <v>2.0000000000000002E-5</v>
      </c>
      <c r="AC24" s="208">
        <v>2.0000000000000002E-5</v>
      </c>
      <c r="AD24" s="208">
        <v>0</v>
      </c>
      <c r="AE24" s="208">
        <v>0</v>
      </c>
      <c r="AF24" s="208">
        <v>0</v>
      </c>
      <c r="AG24" s="208">
        <v>0</v>
      </c>
      <c r="AH24" s="208">
        <v>0</v>
      </c>
    </row>
    <row r="25" spans="1:34">
      <c r="A25" s="204">
        <v>16</v>
      </c>
      <c r="B25" s="205" t="s">
        <v>1093</v>
      </c>
      <c r="C25" s="206"/>
      <c r="D25" s="206">
        <v>0.2</v>
      </c>
      <c r="E25" s="206" t="s">
        <v>762</v>
      </c>
      <c r="F25" s="207" t="s">
        <v>1078</v>
      </c>
      <c r="G25" s="208">
        <v>1.4000000000000001E-4</v>
      </c>
      <c r="H25" s="208">
        <v>1.1999999999999999E-4</v>
      </c>
      <c r="I25" s="208">
        <v>1E-4</v>
      </c>
      <c r="J25" s="208">
        <v>1E-4</v>
      </c>
      <c r="K25" s="208">
        <v>1E-4</v>
      </c>
      <c r="L25" s="208">
        <v>8.0000000000000007E-5</v>
      </c>
      <c r="M25" s="208">
        <v>8.0000000000000007E-5</v>
      </c>
      <c r="N25" s="208">
        <v>8.0000000000000007E-5</v>
      </c>
      <c r="O25" s="208">
        <v>5.9999999999999995E-5</v>
      </c>
      <c r="P25" s="208">
        <v>5.9999999999999995E-5</v>
      </c>
      <c r="Q25" s="208">
        <v>5.9999999999999995E-5</v>
      </c>
      <c r="R25" s="208">
        <v>4.0000000000000003E-5</v>
      </c>
      <c r="S25" s="208">
        <v>4.0000000000000003E-5</v>
      </c>
      <c r="T25" s="208">
        <v>4.0000000000000003E-5</v>
      </c>
      <c r="U25" s="208">
        <v>2.0000000000000002E-5</v>
      </c>
      <c r="V25" s="208">
        <v>2.0000000000000002E-5</v>
      </c>
      <c r="W25" s="208">
        <v>2.0000000000000002E-5</v>
      </c>
      <c r="X25" s="208">
        <v>2.0000000000000002E-5</v>
      </c>
      <c r="Y25" s="208">
        <v>2.0000000000000002E-5</v>
      </c>
      <c r="Z25" s="208">
        <v>2.0000000000000002E-5</v>
      </c>
      <c r="AA25" s="208" t="s">
        <v>1071</v>
      </c>
      <c r="AB25" s="208" t="s">
        <v>1071</v>
      </c>
      <c r="AC25" s="208" t="s">
        <v>1071</v>
      </c>
      <c r="AD25" s="208" t="s">
        <v>1071</v>
      </c>
      <c r="AE25" s="208" t="s">
        <v>1071</v>
      </c>
      <c r="AF25" s="208" t="s">
        <v>1071</v>
      </c>
      <c r="AG25" s="208" t="s">
        <v>1071</v>
      </c>
      <c r="AH25" s="208" t="s">
        <v>1071</v>
      </c>
    </row>
    <row r="26" spans="1:34">
      <c r="A26" s="204">
        <v>17</v>
      </c>
      <c r="B26" s="205" t="s">
        <v>1094</v>
      </c>
      <c r="C26" s="206"/>
      <c r="D26" s="206" t="s">
        <v>1071</v>
      </c>
      <c r="E26" s="206" t="s">
        <v>1071</v>
      </c>
      <c r="F26" s="207" t="s">
        <v>1078</v>
      </c>
      <c r="G26" s="208" t="s">
        <v>1071</v>
      </c>
      <c r="H26" s="208" t="s">
        <v>1071</v>
      </c>
      <c r="I26" s="208" t="s">
        <v>1071</v>
      </c>
      <c r="J26" s="208" t="s">
        <v>1071</v>
      </c>
      <c r="K26" s="208" t="s">
        <v>1071</v>
      </c>
      <c r="L26" s="208" t="s">
        <v>1071</v>
      </c>
      <c r="M26" s="208" t="s">
        <v>1071</v>
      </c>
      <c r="N26" s="208" t="s">
        <v>1071</v>
      </c>
      <c r="O26" s="208" t="s">
        <v>1071</v>
      </c>
      <c r="P26" s="208" t="s">
        <v>1071</v>
      </c>
      <c r="Q26" s="208" t="s">
        <v>1071</v>
      </c>
      <c r="R26" s="208" t="s">
        <v>1071</v>
      </c>
      <c r="S26" s="208" t="s">
        <v>1071</v>
      </c>
      <c r="T26" s="208" t="s">
        <v>1071</v>
      </c>
      <c r="U26" s="208" t="s">
        <v>1071</v>
      </c>
      <c r="V26" s="208" t="s">
        <v>1071</v>
      </c>
      <c r="W26" s="208" t="s">
        <v>1071</v>
      </c>
      <c r="X26" s="208" t="s">
        <v>1071</v>
      </c>
      <c r="Y26" s="208" t="s">
        <v>1071</v>
      </c>
      <c r="Z26" s="208" t="s">
        <v>1071</v>
      </c>
      <c r="AA26" s="208" t="s">
        <v>1071</v>
      </c>
      <c r="AB26" s="208" t="s">
        <v>1071</v>
      </c>
      <c r="AC26" s="208" t="s">
        <v>1071</v>
      </c>
      <c r="AD26" s="208" t="s">
        <v>1071</v>
      </c>
      <c r="AE26" s="208" t="s">
        <v>1071</v>
      </c>
      <c r="AF26" s="208" t="s">
        <v>1071</v>
      </c>
      <c r="AG26" s="208" t="s">
        <v>1071</v>
      </c>
      <c r="AH26" s="208" t="s">
        <v>1071</v>
      </c>
    </row>
    <row r="27" spans="1:34">
      <c r="A27" s="204">
        <v>18</v>
      </c>
      <c r="B27" s="205" t="s">
        <v>1095</v>
      </c>
      <c r="C27" s="206"/>
      <c r="D27" s="206" t="s">
        <v>1071</v>
      </c>
      <c r="E27" s="206" t="s">
        <v>1071</v>
      </c>
      <c r="F27" s="207" t="s">
        <v>1078</v>
      </c>
      <c r="G27" s="208" t="s">
        <v>1071</v>
      </c>
      <c r="H27" s="208" t="s">
        <v>1071</v>
      </c>
      <c r="I27" s="208" t="s">
        <v>1071</v>
      </c>
      <c r="J27" s="208" t="s">
        <v>1071</v>
      </c>
      <c r="K27" s="208" t="s">
        <v>1071</v>
      </c>
      <c r="L27" s="208" t="s">
        <v>1071</v>
      </c>
      <c r="M27" s="208" t="s">
        <v>1071</v>
      </c>
      <c r="N27" s="208" t="s">
        <v>1071</v>
      </c>
      <c r="O27" s="208" t="s">
        <v>1071</v>
      </c>
      <c r="P27" s="208" t="s">
        <v>1071</v>
      </c>
      <c r="Q27" s="208" t="s">
        <v>1071</v>
      </c>
      <c r="R27" s="208" t="s">
        <v>1071</v>
      </c>
      <c r="S27" s="208" t="s">
        <v>1071</v>
      </c>
      <c r="T27" s="208" t="s">
        <v>1071</v>
      </c>
      <c r="U27" s="208" t="s">
        <v>1071</v>
      </c>
      <c r="V27" s="208" t="s">
        <v>1071</v>
      </c>
      <c r="W27" s="208" t="s">
        <v>1071</v>
      </c>
      <c r="X27" s="208" t="s">
        <v>1071</v>
      </c>
      <c r="Y27" s="208" t="s">
        <v>1071</v>
      </c>
      <c r="Z27" s="208" t="s">
        <v>1071</v>
      </c>
      <c r="AA27" s="208" t="s">
        <v>1071</v>
      </c>
      <c r="AB27" s="208" t="s">
        <v>1071</v>
      </c>
      <c r="AC27" s="208" t="s">
        <v>1071</v>
      </c>
      <c r="AD27" s="208" t="s">
        <v>1071</v>
      </c>
      <c r="AE27" s="208" t="s">
        <v>1071</v>
      </c>
      <c r="AF27" s="208" t="s">
        <v>1071</v>
      </c>
      <c r="AG27" s="208" t="s">
        <v>1071</v>
      </c>
      <c r="AH27" s="208" t="s">
        <v>1071</v>
      </c>
    </row>
    <row r="28" spans="1:34">
      <c r="A28" s="204">
        <v>19</v>
      </c>
      <c r="B28" s="205" t="s">
        <v>914</v>
      </c>
      <c r="C28" s="206"/>
      <c r="D28" s="206">
        <v>1</v>
      </c>
      <c r="E28" s="206" t="s">
        <v>1071</v>
      </c>
      <c r="F28" s="207" t="s">
        <v>1078</v>
      </c>
      <c r="G28" s="208">
        <v>1.09E-2</v>
      </c>
      <c r="H28" s="208">
        <v>7.0000000000000001E-3</v>
      </c>
      <c r="I28" s="208">
        <v>4.3E-3</v>
      </c>
      <c r="J28" s="208">
        <v>4.3E-3</v>
      </c>
      <c r="K28" s="208">
        <v>4.3E-3</v>
      </c>
      <c r="L28" s="208">
        <v>1.1000000000000001E-3</v>
      </c>
      <c r="M28" s="208">
        <v>1.1000000000000001E-3</v>
      </c>
      <c r="N28" s="208">
        <v>1.1000000000000001E-3</v>
      </c>
      <c r="O28" s="208">
        <v>2.9999999999999997E-4</v>
      </c>
      <c r="P28" s="208">
        <v>2.9999999999999997E-4</v>
      </c>
      <c r="Q28" s="208">
        <v>2.9999999999999997E-4</v>
      </c>
      <c r="R28" s="208">
        <v>1E-4</v>
      </c>
      <c r="S28" s="208">
        <v>1E-4</v>
      </c>
      <c r="T28" s="208">
        <v>1E-4</v>
      </c>
      <c r="U28" s="208">
        <v>0</v>
      </c>
      <c r="V28" s="208">
        <v>0</v>
      </c>
      <c r="W28" s="208">
        <v>0</v>
      </c>
      <c r="X28" s="208">
        <v>0</v>
      </c>
      <c r="Y28" s="208">
        <v>0</v>
      </c>
      <c r="Z28" s="208">
        <v>0</v>
      </c>
      <c r="AA28" s="208">
        <v>0</v>
      </c>
      <c r="AB28" s="208">
        <v>0</v>
      </c>
      <c r="AC28" s="208">
        <v>0</v>
      </c>
      <c r="AD28" s="208">
        <v>0</v>
      </c>
      <c r="AE28" s="208">
        <v>0</v>
      </c>
      <c r="AF28" s="208">
        <v>0</v>
      </c>
      <c r="AG28" s="208">
        <v>0</v>
      </c>
      <c r="AH28" s="208">
        <v>0</v>
      </c>
    </row>
    <row r="29" spans="1:34">
      <c r="A29" s="204">
        <v>20</v>
      </c>
      <c r="B29" s="205" t="s">
        <v>1096</v>
      </c>
      <c r="C29" s="206" t="s">
        <v>1097</v>
      </c>
      <c r="D29" s="206">
        <v>0.04</v>
      </c>
      <c r="E29" s="206" t="s">
        <v>761</v>
      </c>
      <c r="F29" s="207" t="s">
        <v>1078</v>
      </c>
      <c r="G29" s="208">
        <v>1.5999999999999999E-3</v>
      </c>
      <c r="H29" s="208">
        <v>1.5999999999999999E-3</v>
      </c>
      <c r="I29" s="208">
        <v>1.5999999999999999E-3</v>
      </c>
      <c r="J29" s="208">
        <v>1.5999999999999999E-3</v>
      </c>
      <c r="K29" s="208">
        <v>1.5999999999999999E-3</v>
      </c>
      <c r="L29" s="208">
        <v>1.5999999999999999E-3</v>
      </c>
      <c r="M29" s="208">
        <v>1.5999999999999999E-3</v>
      </c>
      <c r="N29" s="208">
        <v>1.5999999999999999E-3</v>
      </c>
      <c r="O29" s="208">
        <v>1.5999999999999999E-3</v>
      </c>
      <c r="P29" s="208">
        <v>1.5999999999999999E-3</v>
      </c>
      <c r="Q29" s="208">
        <v>1.5999999999999999E-3</v>
      </c>
      <c r="R29" s="208">
        <v>1.5999999999999999E-3</v>
      </c>
      <c r="S29" s="208">
        <v>1.5999999999999999E-3</v>
      </c>
      <c r="T29" s="208">
        <v>1.5999999999999999E-3</v>
      </c>
      <c r="U29" s="208">
        <v>1.5999999999999999E-3</v>
      </c>
      <c r="V29" s="208">
        <v>1.5999999999999999E-3</v>
      </c>
      <c r="W29" s="208">
        <v>1.5999999999999999E-3</v>
      </c>
      <c r="X29" s="208">
        <v>1.5999999999999999E-3</v>
      </c>
      <c r="Y29" s="208">
        <v>1.5999999999999999E-3</v>
      </c>
      <c r="Z29" s="208">
        <v>1.5999999999999999E-3</v>
      </c>
      <c r="AA29" s="208">
        <v>1.5999999999999999E-3</v>
      </c>
      <c r="AB29" s="208">
        <v>1.5999999999999999E-3</v>
      </c>
      <c r="AC29" s="208">
        <v>1.5999999999999999E-3</v>
      </c>
      <c r="AD29" s="208">
        <v>1.5999999999999999E-3</v>
      </c>
      <c r="AE29" s="208">
        <v>1.64E-3</v>
      </c>
      <c r="AF29" s="208">
        <v>1.6799999999999999E-3</v>
      </c>
      <c r="AG29" s="208">
        <v>1.6799999999999999E-3</v>
      </c>
      <c r="AH29" s="208">
        <v>1.6799999999999999E-3</v>
      </c>
    </row>
    <row r="30" spans="1:34">
      <c r="A30" s="204">
        <v>21</v>
      </c>
      <c r="B30" s="205" t="s">
        <v>1098</v>
      </c>
      <c r="C30" s="206" t="s">
        <v>1099</v>
      </c>
      <c r="D30" s="206">
        <v>1</v>
      </c>
      <c r="E30" s="206" t="s">
        <v>1100</v>
      </c>
      <c r="F30" s="207" t="s">
        <v>1078</v>
      </c>
      <c r="G30" s="208">
        <v>2.9999999999999997E-4</v>
      </c>
      <c r="H30" s="208">
        <v>2.0000000000000001E-4</v>
      </c>
      <c r="I30" s="208">
        <v>2.0000000000000001E-4</v>
      </c>
      <c r="J30" s="208">
        <v>2.0000000000000001E-4</v>
      </c>
      <c r="K30" s="208">
        <v>2.0000000000000001E-4</v>
      </c>
      <c r="L30" s="208">
        <v>1.4999999999999999E-4</v>
      </c>
      <c r="M30" s="208">
        <v>1.4999999999999999E-4</v>
      </c>
      <c r="N30" s="208">
        <v>1.4999999999999999E-4</v>
      </c>
      <c r="O30" s="208">
        <v>1E-4</v>
      </c>
      <c r="P30" s="208">
        <v>1E-4</v>
      </c>
      <c r="Q30" s="208">
        <v>1E-4</v>
      </c>
      <c r="R30" s="208">
        <v>1E-4</v>
      </c>
      <c r="S30" s="208">
        <v>1E-4</v>
      </c>
      <c r="T30" s="208">
        <v>1E-4</v>
      </c>
      <c r="U30" s="208">
        <v>1E-4</v>
      </c>
      <c r="V30" s="208">
        <v>1E-4</v>
      </c>
      <c r="W30" s="208">
        <v>1E-4</v>
      </c>
      <c r="X30" s="208">
        <v>2.0000000000000001E-4</v>
      </c>
      <c r="Y30" s="208">
        <v>2.0000000000000001E-4</v>
      </c>
      <c r="Z30" s="208">
        <v>2.0000000000000001E-4</v>
      </c>
      <c r="AA30" s="208">
        <v>5.0000000000000001E-4</v>
      </c>
      <c r="AB30" s="208">
        <v>5.0000000000000001E-4</v>
      </c>
      <c r="AC30" s="208">
        <v>5.0000000000000001E-4</v>
      </c>
      <c r="AD30" s="208">
        <v>2.0999999999999999E-3</v>
      </c>
      <c r="AE30" s="208">
        <v>3.3E-3</v>
      </c>
      <c r="AF30" s="208">
        <v>5.1999999999999998E-3</v>
      </c>
      <c r="AG30" s="208">
        <v>8.3000000000000001E-3</v>
      </c>
      <c r="AH30" s="208">
        <v>1.44E-2</v>
      </c>
    </row>
    <row r="31" spans="1:34">
      <c r="A31" s="204">
        <v>22</v>
      </c>
      <c r="B31" s="205" t="s">
        <v>1101</v>
      </c>
      <c r="C31" s="206" t="s">
        <v>1102</v>
      </c>
      <c r="D31" s="206">
        <v>5</v>
      </c>
      <c r="E31" s="206" t="s">
        <v>762</v>
      </c>
      <c r="F31" s="207" t="s">
        <v>1078</v>
      </c>
      <c r="G31" s="208">
        <v>2.5000000000000001E-4</v>
      </c>
      <c r="H31" s="208">
        <v>2.5000000000000001E-4</v>
      </c>
      <c r="I31" s="208">
        <v>2.5000000000000001E-4</v>
      </c>
      <c r="J31" s="208">
        <v>2.5000000000000001E-4</v>
      </c>
      <c r="K31" s="208">
        <v>2.5000000000000001E-4</v>
      </c>
      <c r="L31" s="208">
        <v>2.5000000000000001E-4</v>
      </c>
      <c r="M31" s="208">
        <v>2.5000000000000001E-4</v>
      </c>
      <c r="N31" s="208">
        <v>2.5000000000000001E-4</v>
      </c>
      <c r="O31" s="208">
        <v>2.5000000000000001E-4</v>
      </c>
      <c r="P31" s="208">
        <v>2.5000000000000001E-4</v>
      </c>
      <c r="Q31" s="208">
        <v>2.5000000000000001E-4</v>
      </c>
      <c r="R31" s="208">
        <v>2.5000000000000001E-4</v>
      </c>
      <c r="S31" s="208">
        <v>2.5000000000000001E-4</v>
      </c>
      <c r="T31" s="208">
        <v>2.5000000000000001E-4</v>
      </c>
      <c r="U31" s="208">
        <v>2.5000000000000001E-4</v>
      </c>
      <c r="V31" s="208">
        <v>2.5000000000000001E-4</v>
      </c>
      <c r="W31" s="208">
        <v>2.5000000000000001E-4</v>
      </c>
      <c r="X31" s="208">
        <v>2.9999999999999997E-4</v>
      </c>
      <c r="Y31" s="208">
        <v>2.9999999999999997E-4</v>
      </c>
      <c r="Z31" s="208">
        <v>2.9999999999999997E-4</v>
      </c>
      <c r="AA31" s="208">
        <v>3.5E-4</v>
      </c>
      <c r="AB31" s="208">
        <v>3.5E-4</v>
      </c>
      <c r="AC31" s="208">
        <v>3.5E-4</v>
      </c>
      <c r="AD31" s="208">
        <v>5.5000000000000003E-4</v>
      </c>
      <c r="AE31" s="208">
        <v>6.9999999999999999E-4</v>
      </c>
      <c r="AF31" s="208">
        <v>1E-3</v>
      </c>
      <c r="AG31" s="208">
        <v>1.4E-3</v>
      </c>
      <c r="AH31" s="208">
        <v>2.2000000000000001E-3</v>
      </c>
    </row>
    <row r="32" spans="1:34">
      <c r="A32" s="200"/>
      <c r="B32" s="201" t="s">
        <v>1103</v>
      </c>
      <c r="C32" s="202"/>
      <c r="D32" s="202"/>
      <c r="E32" s="202" t="s">
        <v>63</v>
      </c>
      <c r="F32" s="202"/>
      <c r="G32" s="203">
        <f>SQRT((G34^2+G35^2+G36^2+G37^2+G38^2+G42^2+G43^2+G44^2))</f>
        <v>9.0826081034028981E-3</v>
      </c>
      <c r="H32" s="202">
        <f t="shared" ref="H32:Z32" si="3">SQRT((H34^2+H35^2+H36^2+H37^2+H38^2+H42^2+H43^2+H44^2))</f>
        <v>8.3102265889685584E-3</v>
      </c>
      <c r="I32" s="202">
        <f t="shared" si="3"/>
        <v>7.6522193486595778E-3</v>
      </c>
      <c r="J32" s="202">
        <f t="shared" si="3"/>
        <v>7.6522193486595778E-3</v>
      </c>
      <c r="K32" s="202">
        <f t="shared" si="3"/>
        <v>7.6522193486595778E-3</v>
      </c>
      <c r="L32" s="202">
        <f t="shared" si="3"/>
        <v>6.1471174512937364E-3</v>
      </c>
      <c r="M32" s="202">
        <f t="shared" si="3"/>
        <v>6.1471174512937364E-3</v>
      </c>
      <c r="N32" s="202">
        <f t="shared" si="3"/>
        <v>6.1471174512937364E-3</v>
      </c>
      <c r="O32" s="202">
        <f t="shared" si="3"/>
        <v>5.2997481034479368E-3</v>
      </c>
      <c r="P32" s="202">
        <f t="shared" si="3"/>
        <v>5.2997481034479368E-3</v>
      </c>
      <c r="Q32" s="202">
        <f t="shared" si="3"/>
        <v>5.2997481034479368E-3</v>
      </c>
      <c r="R32" s="202">
        <f t="shared" si="3"/>
        <v>4.7634685849704097E-3</v>
      </c>
      <c r="S32" s="202">
        <f t="shared" si="3"/>
        <v>4.7634685849704097E-3</v>
      </c>
      <c r="T32" s="202">
        <f t="shared" si="3"/>
        <v>4.7634685849704097E-3</v>
      </c>
      <c r="U32" s="203">
        <f t="shared" si="3"/>
        <v>4.4562936348494812E-3</v>
      </c>
      <c r="V32" s="203">
        <f t="shared" si="3"/>
        <v>4.4562936348494812E-3</v>
      </c>
      <c r="W32" s="203">
        <f t="shared" si="3"/>
        <v>4.4562936348494812E-3</v>
      </c>
      <c r="X32" s="202">
        <f t="shared" si="3"/>
        <v>4.4685641944588869E-3</v>
      </c>
      <c r="Y32" s="202">
        <f t="shared" si="3"/>
        <v>4.4685641944588869E-3</v>
      </c>
      <c r="Z32" s="202">
        <f t="shared" si="3"/>
        <v>4.4685641944588869E-3</v>
      </c>
      <c r="AA32" s="203">
        <f t="shared" ref="AA32:AH32" si="4">SQRT((AA34^2+AA35^2+AA36^2+AA37^2+AA38^2+AA42^2+AA44^2))</f>
        <v>6.255983132969589E-3</v>
      </c>
      <c r="AB32" s="203">
        <f t="shared" si="4"/>
        <v>6.255983132969589E-3</v>
      </c>
      <c r="AC32" s="203">
        <f t="shared" si="4"/>
        <v>6.255983132969589E-3</v>
      </c>
      <c r="AD32" s="202">
        <f t="shared" si="4"/>
        <v>1.7215409201061703E-2</v>
      </c>
      <c r="AE32" s="202">
        <f t="shared" si="4"/>
        <v>2.3116009040489667E-2</v>
      </c>
      <c r="AF32" s="202">
        <f t="shared" si="4"/>
        <v>2.4617194823131249E-2</v>
      </c>
      <c r="AG32" s="202">
        <f t="shared" si="4"/>
        <v>2.8145937628013033E-2</v>
      </c>
      <c r="AH32" s="202">
        <f t="shared" si="4"/>
        <v>5.185932075297555E-2</v>
      </c>
    </row>
    <row r="33" spans="1:34">
      <c r="C33" s="209"/>
    </row>
    <row r="34" spans="1:34">
      <c r="A34" s="204">
        <v>23</v>
      </c>
      <c r="B34" s="205" t="s">
        <v>1104</v>
      </c>
      <c r="C34" s="206" t="s">
        <v>1105</v>
      </c>
      <c r="D34" s="206">
        <v>0.03</v>
      </c>
      <c r="E34" s="206" t="s">
        <v>760</v>
      </c>
      <c r="F34" s="207" t="s">
        <v>1078</v>
      </c>
      <c r="G34" s="208">
        <v>3.0000000000000003E-4</v>
      </c>
      <c r="H34" s="208">
        <v>3.0000000000000003E-4</v>
      </c>
      <c r="I34" s="208">
        <v>3.0000000000000003E-4</v>
      </c>
      <c r="J34" s="208">
        <v>3.0000000000000003E-4</v>
      </c>
      <c r="K34" s="208">
        <v>3.0000000000000003E-4</v>
      </c>
      <c r="L34" s="208">
        <v>3.0000000000000003E-4</v>
      </c>
      <c r="M34" s="208">
        <v>3.0000000000000003E-4</v>
      </c>
      <c r="N34" s="208">
        <v>3.0000000000000003E-4</v>
      </c>
      <c r="O34" s="208">
        <v>3.0000000000000003E-4</v>
      </c>
      <c r="P34" s="208">
        <v>3.0000000000000003E-4</v>
      </c>
      <c r="Q34" s="208">
        <v>3.0000000000000003E-4</v>
      </c>
      <c r="R34" s="208">
        <v>0</v>
      </c>
      <c r="S34" s="208">
        <v>0</v>
      </c>
      <c r="T34" s="208">
        <v>0</v>
      </c>
      <c r="U34" s="208">
        <v>3.0000000000000003E-4</v>
      </c>
      <c r="V34" s="208">
        <v>3.0000000000000003E-4</v>
      </c>
      <c r="W34" s="208">
        <v>3.0000000000000003E-4</v>
      </c>
      <c r="X34" s="208">
        <v>3.0000000000000003E-4</v>
      </c>
      <c r="Y34" s="208">
        <v>3.0000000000000003E-4</v>
      </c>
      <c r="Z34" s="208">
        <v>3.0000000000000003E-4</v>
      </c>
      <c r="AA34" s="208">
        <v>1.5E-3</v>
      </c>
      <c r="AB34" s="208">
        <v>1.5E-3</v>
      </c>
      <c r="AC34" s="208">
        <v>1.5E-3</v>
      </c>
      <c r="AD34" s="208">
        <v>6.3E-3</v>
      </c>
      <c r="AE34" s="208">
        <v>1.0199999999999999E-2</v>
      </c>
      <c r="AF34" s="208">
        <v>1.6199999999999999E-2</v>
      </c>
      <c r="AG34" s="208">
        <v>2.58E-2</v>
      </c>
      <c r="AH34" s="208">
        <v>4.4700000000000004E-2</v>
      </c>
    </row>
    <row r="35" spans="1:34">
      <c r="A35" s="204">
        <v>24</v>
      </c>
      <c r="B35" s="205" t="s">
        <v>1106</v>
      </c>
      <c r="C35" s="206" t="s">
        <v>1107</v>
      </c>
      <c r="D35" s="206">
        <v>3</v>
      </c>
      <c r="E35" s="206" t="s">
        <v>1089</v>
      </c>
      <c r="F35" s="207" t="s">
        <v>1078</v>
      </c>
      <c r="G35" s="208">
        <v>0</v>
      </c>
      <c r="H35" s="208">
        <v>0</v>
      </c>
      <c r="I35" s="208">
        <v>0</v>
      </c>
      <c r="J35" s="208">
        <v>0</v>
      </c>
      <c r="K35" s="208">
        <v>0</v>
      </c>
      <c r="L35" s="208">
        <v>0</v>
      </c>
      <c r="M35" s="208">
        <v>0</v>
      </c>
      <c r="N35" s="208">
        <v>0</v>
      </c>
      <c r="O35" s="208">
        <v>0</v>
      </c>
      <c r="P35" s="208">
        <v>0</v>
      </c>
      <c r="Q35" s="208">
        <v>0</v>
      </c>
      <c r="R35" s="208">
        <v>0</v>
      </c>
      <c r="S35" s="208">
        <v>0</v>
      </c>
      <c r="T35" s="208">
        <v>0</v>
      </c>
      <c r="U35" s="208">
        <v>0</v>
      </c>
      <c r="V35" s="208">
        <v>0</v>
      </c>
      <c r="W35" s="208">
        <v>0</v>
      </c>
      <c r="X35" s="208">
        <v>0</v>
      </c>
      <c r="Y35" s="208">
        <v>0</v>
      </c>
      <c r="Z35" s="208">
        <v>0</v>
      </c>
      <c r="AA35" s="208">
        <v>0</v>
      </c>
      <c r="AB35" s="208">
        <v>0</v>
      </c>
      <c r="AC35" s="208">
        <v>0</v>
      </c>
      <c r="AD35" s="208">
        <v>0</v>
      </c>
      <c r="AE35" s="208">
        <v>0</v>
      </c>
      <c r="AF35" s="208">
        <v>0</v>
      </c>
      <c r="AG35" s="208">
        <v>0</v>
      </c>
      <c r="AH35" s="208">
        <v>0</v>
      </c>
    </row>
    <row r="36" spans="1:34">
      <c r="A36" s="204">
        <v>25</v>
      </c>
      <c r="B36" s="205" t="s">
        <v>1108</v>
      </c>
      <c r="C36" s="206" t="s">
        <v>1109</v>
      </c>
      <c r="D36" s="206">
        <v>3.96</v>
      </c>
      <c r="E36" s="206" t="s">
        <v>1089</v>
      </c>
      <c r="F36" s="207" t="s">
        <v>1078</v>
      </c>
      <c r="G36" s="208">
        <v>2.9699999999999996E-4</v>
      </c>
      <c r="H36" s="208">
        <v>2.9699999999999996E-4</v>
      </c>
      <c r="I36" s="208">
        <v>1.9800000000000002E-4</v>
      </c>
      <c r="J36" s="208">
        <v>1.9800000000000002E-4</v>
      </c>
      <c r="K36" s="208">
        <v>1.9800000000000002E-4</v>
      </c>
      <c r="L36" s="208">
        <v>1.9800000000000002E-4</v>
      </c>
      <c r="M36" s="208">
        <v>1.9800000000000002E-4</v>
      </c>
      <c r="N36" s="208">
        <v>1.9800000000000002E-4</v>
      </c>
      <c r="O36" s="208">
        <v>9.9000000000000008E-5</v>
      </c>
      <c r="P36" s="208">
        <v>9.9000000000000008E-5</v>
      </c>
      <c r="Q36" s="208">
        <v>9.9000000000000008E-5</v>
      </c>
      <c r="R36" s="208">
        <v>0</v>
      </c>
      <c r="S36" s="208">
        <v>0</v>
      </c>
      <c r="T36" s="208">
        <v>0</v>
      </c>
      <c r="U36" s="208">
        <v>0</v>
      </c>
      <c r="V36" s="208">
        <v>0</v>
      </c>
      <c r="W36" s="208">
        <v>0</v>
      </c>
      <c r="X36" s="208">
        <v>9.9000000000000008E-5</v>
      </c>
      <c r="Y36" s="208">
        <v>9.9000000000000008E-5</v>
      </c>
      <c r="Z36" s="208">
        <v>9.9000000000000008E-5</v>
      </c>
      <c r="AA36" s="208">
        <v>5.9399999999999991E-4</v>
      </c>
      <c r="AB36" s="208">
        <v>5.9399999999999991E-4</v>
      </c>
      <c r="AC36" s="208">
        <v>5.9399999999999991E-4</v>
      </c>
      <c r="AD36" s="208">
        <v>2.8709999999999999E-3</v>
      </c>
      <c r="AE36" s="208">
        <v>4.8509999999999994E-3</v>
      </c>
      <c r="AF36" s="208">
        <v>7.5240000000000003E-3</v>
      </c>
      <c r="AG36" s="208">
        <v>8.9099999999999995E-3</v>
      </c>
      <c r="AH36" s="208">
        <v>5.7419999999999997E-3</v>
      </c>
    </row>
    <row r="37" spans="1:34">
      <c r="A37" s="204">
        <v>26</v>
      </c>
      <c r="B37" s="205" t="s">
        <v>1110</v>
      </c>
      <c r="C37" s="206" t="s">
        <v>1111</v>
      </c>
      <c r="D37" s="206">
        <v>550</v>
      </c>
      <c r="E37" s="206" t="s">
        <v>69</v>
      </c>
      <c r="F37" s="207" t="s">
        <v>1078</v>
      </c>
      <c r="G37" s="208">
        <v>0</v>
      </c>
      <c r="H37" s="208">
        <v>0</v>
      </c>
      <c r="I37" s="208">
        <v>0</v>
      </c>
      <c r="J37" s="208">
        <v>0</v>
      </c>
      <c r="K37" s="208">
        <v>0</v>
      </c>
      <c r="L37" s="208">
        <v>0</v>
      </c>
      <c r="M37" s="208">
        <v>0</v>
      </c>
      <c r="N37" s="208">
        <v>0</v>
      </c>
      <c r="O37" s="208">
        <v>0</v>
      </c>
      <c r="P37" s="208">
        <v>0</v>
      </c>
      <c r="Q37" s="208">
        <v>0</v>
      </c>
      <c r="R37" s="208">
        <v>0</v>
      </c>
      <c r="S37" s="208">
        <v>0</v>
      </c>
      <c r="T37" s="208">
        <v>0</v>
      </c>
      <c r="U37" s="208">
        <v>0</v>
      </c>
      <c r="V37" s="208">
        <v>0</v>
      </c>
      <c r="W37" s="208">
        <v>0</v>
      </c>
      <c r="X37" s="208">
        <v>1E-4</v>
      </c>
      <c r="Y37" s="208">
        <v>1E-4</v>
      </c>
      <c r="Z37" s="208">
        <v>1E-4</v>
      </c>
      <c r="AA37" s="208">
        <v>5.0000000000000001E-4</v>
      </c>
      <c r="AB37" s="208">
        <v>5.0000000000000001E-4</v>
      </c>
      <c r="AC37" s="208">
        <v>5.0000000000000001E-4</v>
      </c>
      <c r="AD37" s="208">
        <v>5.4000000000000003E-3</v>
      </c>
      <c r="AE37" s="208">
        <v>1.0500000000000001E-2</v>
      </c>
      <c r="AF37" s="208">
        <v>1.2E-2</v>
      </c>
      <c r="AG37" s="208">
        <v>3.8999999999999998E-3</v>
      </c>
      <c r="AH37" s="208">
        <v>1.2699999999999999E-2</v>
      </c>
    </row>
    <row r="38" spans="1:34">
      <c r="A38" s="204">
        <v>27</v>
      </c>
      <c r="B38" s="205" t="s">
        <v>1112</v>
      </c>
      <c r="C38" s="206" t="s">
        <v>1113</v>
      </c>
      <c r="D38" s="206">
        <v>10</v>
      </c>
      <c r="E38" s="206" t="s">
        <v>762</v>
      </c>
      <c r="F38" s="207" t="s">
        <v>1078</v>
      </c>
      <c r="G38" s="208">
        <v>0</v>
      </c>
      <c r="H38" s="208">
        <v>0</v>
      </c>
      <c r="I38" s="208">
        <v>0</v>
      </c>
      <c r="J38" s="208">
        <v>0</v>
      </c>
      <c r="K38" s="208">
        <v>0</v>
      </c>
      <c r="L38" s="208">
        <v>0</v>
      </c>
      <c r="M38" s="208">
        <v>0</v>
      </c>
      <c r="N38" s="208">
        <v>0</v>
      </c>
      <c r="O38" s="208">
        <v>0</v>
      </c>
      <c r="P38" s="208">
        <v>0</v>
      </c>
      <c r="Q38" s="208">
        <v>0</v>
      </c>
      <c r="R38" s="208">
        <v>0</v>
      </c>
      <c r="S38" s="208">
        <v>0</v>
      </c>
      <c r="T38" s="208">
        <v>0</v>
      </c>
      <c r="U38" s="208">
        <v>2.0000000000000001E-4</v>
      </c>
      <c r="V38" s="208">
        <v>2.0000000000000001E-4</v>
      </c>
      <c r="W38" s="208">
        <v>2.0000000000000001E-4</v>
      </c>
      <c r="X38" s="208">
        <v>1.1000000000000001E-3</v>
      </c>
      <c r="Y38" s="208">
        <v>1.1000000000000001E-3</v>
      </c>
      <c r="Z38" s="208">
        <v>1.1000000000000001E-3</v>
      </c>
      <c r="AA38" s="208">
        <v>4.3E-3</v>
      </c>
      <c r="AB38" s="208">
        <v>4.3E-3</v>
      </c>
      <c r="AC38" s="208">
        <v>4.3E-3</v>
      </c>
      <c r="AD38" s="208">
        <v>1.4200000000000001E-2</v>
      </c>
      <c r="AE38" s="208">
        <v>1.67E-2</v>
      </c>
      <c r="AF38" s="208">
        <v>1.12E-2</v>
      </c>
      <c r="AG38" s="208">
        <v>3.8E-3</v>
      </c>
      <c r="AH38" s="208">
        <v>2.1899999999999999E-2</v>
      </c>
    </row>
    <row r="39" spans="1:34">
      <c r="A39" s="204">
        <v>28</v>
      </c>
      <c r="B39" s="205" t="s">
        <v>1114</v>
      </c>
      <c r="C39" s="206"/>
      <c r="D39" s="206" t="s">
        <v>1115</v>
      </c>
      <c r="E39" s="206" t="s">
        <v>1116</v>
      </c>
      <c r="F39" s="207" t="s">
        <v>1078</v>
      </c>
      <c r="G39" s="208" t="s">
        <v>1071</v>
      </c>
      <c r="H39" s="208" t="s">
        <v>1071</v>
      </c>
      <c r="I39" s="208" t="s">
        <v>1071</v>
      </c>
      <c r="J39" s="208" t="s">
        <v>1071</v>
      </c>
      <c r="K39" s="208" t="s">
        <v>1071</v>
      </c>
      <c r="L39" s="208" t="s">
        <v>1071</v>
      </c>
      <c r="M39" s="208" t="s">
        <v>1071</v>
      </c>
      <c r="N39" s="208" t="s">
        <v>1071</v>
      </c>
      <c r="O39" s="208" t="s">
        <v>1071</v>
      </c>
      <c r="P39" s="208" t="s">
        <v>1071</v>
      </c>
      <c r="Q39" s="208" t="s">
        <v>1071</v>
      </c>
      <c r="R39" s="208" t="s">
        <v>1071</v>
      </c>
      <c r="S39" s="208" t="s">
        <v>1071</v>
      </c>
      <c r="T39" s="208" t="s">
        <v>1071</v>
      </c>
      <c r="U39" s="208" t="s">
        <v>1071</v>
      </c>
      <c r="V39" s="208" t="s">
        <v>1071</v>
      </c>
      <c r="W39" s="208" t="s">
        <v>1071</v>
      </c>
      <c r="X39" s="208" t="s">
        <v>1071</v>
      </c>
      <c r="Y39" s="208" t="s">
        <v>1071</v>
      </c>
      <c r="Z39" s="208" t="s">
        <v>1071</v>
      </c>
      <c r="AA39" s="208" t="s">
        <v>1071</v>
      </c>
      <c r="AB39" s="208" t="s">
        <v>1071</v>
      </c>
      <c r="AC39" s="208" t="s">
        <v>1071</v>
      </c>
      <c r="AD39" s="208" t="s">
        <v>1071</v>
      </c>
      <c r="AE39" s="208" t="s">
        <v>1071</v>
      </c>
      <c r="AF39" s="208" t="s">
        <v>1071</v>
      </c>
      <c r="AG39" s="208" t="s">
        <v>1071</v>
      </c>
      <c r="AH39" s="208" t="s">
        <v>1071</v>
      </c>
    </row>
    <row r="40" spans="1:34">
      <c r="A40" s="204">
        <v>29</v>
      </c>
      <c r="B40" s="205" t="s">
        <v>1117</v>
      </c>
      <c r="C40" s="206"/>
      <c r="D40" s="206" t="s">
        <v>1115</v>
      </c>
      <c r="E40" s="206" t="s">
        <v>1118</v>
      </c>
      <c r="F40" s="207" t="s">
        <v>1078</v>
      </c>
      <c r="G40" s="208" t="s">
        <v>1071</v>
      </c>
      <c r="H40" s="208" t="s">
        <v>1071</v>
      </c>
      <c r="I40" s="208" t="s">
        <v>1071</v>
      </c>
      <c r="J40" s="208" t="s">
        <v>1071</v>
      </c>
      <c r="K40" s="208" t="s">
        <v>1071</v>
      </c>
      <c r="L40" s="208" t="s">
        <v>1071</v>
      </c>
      <c r="M40" s="208" t="s">
        <v>1071</v>
      </c>
      <c r="N40" s="208" t="s">
        <v>1071</v>
      </c>
      <c r="O40" s="208" t="s">
        <v>1071</v>
      </c>
      <c r="P40" s="208" t="s">
        <v>1071</v>
      </c>
      <c r="Q40" s="208" t="s">
        <v>1071</v>
      </c>
      <c r="R40" s="208" t="s">
        <v>1071</v>
      </c>
      <c r="S40" s="208" t="s">
        <v>1071</v>
      </c>
      <c r="T40" s="208" t="s">
        <v>1071</v>
      </c>
      <c r="U40" s="208" t="s">
        <v>1071</v>
      </c>
      <c r="V40" s="208" t="s">
        <v>1071</v>
      </c>
      <c r="W40" s="208" t="s">
        <v>1071</v>
      </c>
      <c r="X40" s="208" t="s">
        <v>1071</v>
      </c>
      <c r="Y40" s="208" t="s">
        <v>1071</v>
      </c>
      <c r="Z40" s="208" t="s">
        <v>1071</v>
      </c>
      <c r="AA40" s="208" t="s">
        <v>1071</v>
      </c>
      <c r="AB40" s="208" t="s">
        <v>1071</v>
      </c>
      <c r="AC40" s="208" t="s">
        <v>1071</v>
      </c>
      <c r="AD40" s="208" t="s">
        <v>1071</v>
      </c>
      <c r="AE40" s="208" t="s">
        <v>1071</v>
      </c>
      <c r="AF40" s="208" t="s">
        <v>1071</v>
      </c>
      <c r="AG40" s="208" t="s">
        <v>1071</v>
      </c>
      <c r="AH40" s="208" t="s">
        <v>1071</v>
      </c>
    </row>
    <row r="41" spans="1:34">
      <c r="A41" s="204">
        <v>30</v>
      </c>
      <c r="B41" s="205" t="s">
        <v>1119</v>
      </c>
      <c r="C41" s="206"/>
      <c r="D41" s="206" t="s">
        <v>1115</v>
      </c>
      <c r="E41" s="206" t="s">
        <v>1120</v>
      </c>
      <c r="F41" s="207" t="s">
        <v>1078</v>
      </c>
      <c r="G41" s="208" t="s">
        <v>1071</v>
      </c>
      <c r="H41" s="208" t="s">
        <v>1071</v>
      </c>
      <c r="I41" s="208" t="s">
        <v>1071</v>
      </c>
      <c r="J41" s="208" t="s">
        <v>1071</v>
      </c>
      <c r="K41" s="208" t="s">
        <v>1071</v>
      </c>
      <c r="L41" s="208" t="s">
        <v>1071</v>
      </c>
      <c r="M41" s="208" t="s">
        <v>1071</v>
      </c>
      <c r="N41" s="208" t="s">
        <v>1071</v>
      </c>
      <c r="O41" s="208" t="s">
        <v>1071</v>
      </c>
      <c r="P41" s="208" t="s">
        <v>1071</v>
      </c>
      <c r="Q41" s="208" t="s">
        <v>1071</v>
      </c>
      <c r="R41" s="208" t="s">
        <v>1071</v>
      </c>
      <c r="S41" s="208" t="s">
        <v>1071</v>
      </c>
      <c r="T41" s="208" t="s">
        <v>1071</v>
      </c>
      <c r="U41" s="208" t="s">
        <v>1071</v>
      </c>
      <c r="V41" s="208" t="s">
        <v>1071</v>
      </c>
      <c r="W41" s="208" t="s">
        <v>1071</v>
      </c>
      <c r="X41" s="208" t="s">
        <v>1071</v>
      </c>
      <c r="Y41" s="208" t="s">
        <v>1071</v>
      </c>
      <c r="Z41" s="208" t="s">
        <v>1071</v>
      </c>
      <c r="AA41" s="208" t="s">
        <v>1071</v>
      </c>
      <c r="AB41" s="208" t="s">
        <v>1071</v>
      </c>
      <c r="AC41" s="208" t="s">
        <v>1071</v>
      </c>
      <c r="AD41" s="208" t="s">
        <v>1071</v>
      </c>
      <c r="AE41" s="208" t="s">
        <v>1071</v>
      </c>
      <c r="AF41" s="208" t="s">
        <v>1071</v>
      </c>
      <c r="AG41" s="208" t="s">
        <v>1071</v>
      </c>
      <c r="AH41" s="208" t="s">
        <v>1071</v>
      </c>
    </row>
    <row r="42" spans="1:34">
      <c r="A42" s="204">
        <v>31</v>
      </c>
      <c r="B42" s="205" t="s">
        <v>1121</v>
      </c>
      <c r="C42" s="206"/>
      <c r="D42" s="206">
        <v>33</v>
      </c>
      <c r="E42" s="206" t="s">
        <v>762</v>
      </c>
      <c r="F42" s="207" t="s">
        <v>1078</v>
      </c>
      <c r="G42" s="208">
        <v>6.8640000000000003E-3</v>
      </c>
      <c r="H42" s="208">
        <v>6.0720000000000001E-3</v>
      </c>
      <c r="I42" s="208">
        <v>5.412000000000001E-3</v>
      </c>
      <c r="J42" s="208">
        <v>5.412000000000001E-3</v>
      </c>
      <c r="K42" s="208">
        <v>5.412000000000001E-3</v>
      </c>
      <c r="L42" s="208">
        <v>3.8279999999999998E-3</v>
      </c>
      <c r="M42" s="208">
        <v>3.8279999999999998E-3</v>
      </c>
      <c r="N42" s="208">
        <v>3.8279999999999998E-3</v>
      </c>
      <c r="O42" s="208">
        <v>2.7720000000000002E-3</v>
      </c>
      <c r="P42" s="208">
        <v>2.7720000000000002E-3</v>
      </c>
      <c r="Q42" s="208">
        <v>2.7720000000000002E-3</v>
      </c>
      <c r="R42" s="208">
        <v>1.98E-3</v>
      </c>
      <c r="S42" s="208">
        <v>1.98E-3</v>
      </c>
      <c r="T42" s="208">
        <v>1.98E-3</v>
      </c>
      <c r="U42" s="208">
        <v>1.32E-3</v>
      </c>
      <c r="V42" s="208">
        <v>1.32E-3</v>
      </c>
      <c r="W42" s="208">
        <v>1.32E-3</v>
      </c>
      <c r="X42" s="208">
        <v>9.2400000000000002E-4</v>
      </c>
      <c r="Y42" s="208">
        <v>9.2400000000000002E-4</v>
      </c>
      <c r="Z42" s="208">
        <v>9.2400000000000002E-4</v>
      </c>
      <c r="AA42" s="208">
        <v>6.6E-4</v>
      </c>
      <c r="AB42" s="208">
        <v>6.6E-4</v>
      </c>
      <c r="AC42" s="208">
        <v>6.6E-4</v>
      </c>
      <c r="AD42" s="208">
        <v>5.2800000000000004E-4</v>
      </c>
      <c r="AE42" s="208">
        <v>5.2800000000000004E-4</v>
      </c>
      <c r="AF42" s="208">
        <v>3.9599999999999998E-4</v>
      </c>
      <c r="AG42" s="208">
        <v>3.9599999999999998E-4</v>
      </c>
      <c r="AH42" s="208">
        <v>2.6400000000000002E-4</v>
      </c>
    </row>
    <row r="43" spans="1:34">
      <c r="A43" s="204">
        <v>32</v>
      </c>
      <c r="B43" s="205" t="s">
        <v>1122</v>
      </c>
      <c r="C43" s="206"/>
      <c r="D43" s="206">
        <v>33</v>
      </c>
      <c r="E43" s="206" t="s">
        <v>762</v>
      </c>
      <c r="F43" s="207" t="s">
        <v>1078</v>
      </c>
      <c r="G43" s="208">
        <v>4.2240000000000003E-3</v>
      </c>
      <c r="H43" s="208">
        <v>3.8279999999999998E-3</v>
      </c>
      <c r="I43" s="208">
        <v>3.4320000000000002E-3</v>
      </c>
      <c r="J43" s="208">
        <v>3.4320000000000002E-3</v>
      </c>
      <c r="K43" s="208">
        <v>3.4320000000000002E-3</v>
      </c>
      <c r="L43" s="208">
        <v>2.3760000000000001E-3</v>
      </c>
      <c r="M43" s="208">
        <v>2.3760000000000001E-3</v>
      </c>
      <c r="N43" s="208">
        <v>2.3760000000000001E-3</v>
      </c>
      <c r="O43" s="208">
        <v>1.7160000000000001E-3</v>
      </c>
      <c r="P43" s="208">
        <v>1.7160000000000001E-3</v>
      </c>
      <c r="Q43" s="208">
        <v>1.7160000000000001E-3</v>
      </c>
      <c r="R43" s="208">
        <v>1.188E-3</v>
      </c>
      <c r="S43" s="208">
        <v>1.188E-3</v>
      </c>
      <c r="T43" s="208">
        <v>1.188E-3</v>
      </c>
      <c r="U43" s="208">
        <v>7.9199999999999995E-4</v>
      </c>
      <c r="V43" s="208">
        <v>7.9199999999999995E-4</v>
      </c>
      <c r="W43" s="208">
        <v>7.9199999999999995E-4</v>
      </c>
      <c r="X43" s="208">
        <v>6.6E-4</v>
      </c>
      <c r="Y43" s="208">
        <v>6.6E-4</v>
      </c>
      <c r="Z43" s="208">
        <v>6.6E-4</v>
      </c>
      <c r="AA43" s="208" t="s">
        <v>1071</v>
      </c>
      <c r="AB43" s="208" t="s">
        <v>1071</v>
      </c>
      <c r="AC43" s="208" t="s">
        <v>1071</v>
      </c>
      <c r="AD43" s="208" t="s">
        <v>1071</v>
      </c>
      <c r="AE43" s="208" t="s">
        <v>1071</v>
      </c>
      <c r="AF43" s="208" t="s">
        <v>1071</v>
      </c>
      <c r="AG43" s="208" t="s">
        <v>1071</v>
      </c>
      <c r="AH43" s="208" t="s">
        <v>1071</v>
      </c>
    </row>
    <row r="44" spans="1:34">
      <c r="A44" s="204">
        <v>33</v>
      </c>
      <c r="B44" s="205" t="s">
        <v>1123</v>
      </c>
      <c r="C44" s="206"/>
      <c r="D44" s="206">
        <v>0.08</v>
      </c>
      <c r="E44" s="206" t="s">
        <v>72</v>
      </c>
      <c r="F44" s="207" t="s">
        <v>1078</v>
      </c>
      <c r="G44" s="208">
        <v>4.1663999999999998E-3</v>
      </c>
      <c r="H44" s="208">
        <v>4.1663999999999998E-3</v>
      </c>
      <c r="I44" s="208">
        <v>4.1663999999999998E-3</v>
      </c>
      <c r="J44" s="208">
        <v>4.1663999999999998E-3</v>
      </c>
      <c r="K44" s="208">
        <v>4.1663999999999998E-3</v>
      </c>
      <c r="L44" s="208">
        <v>4.1663999999999998E-3</v>
      </c>
      <c r="M44" s="208">
        <v>4.1663999999999998E-3</v>
      </c>
      <c r="N44" s="208">
        <v>4.1663999999999998E-3</v>
      </c>
      <c r="O44" s="208">
        <v>4.1663999999999998E-3</v>
      </c>
      <c r="P44" s="208">
        <v>4.1663999999999998E-3</v>
      </c>
      <c r="Q44" s="208">
        <v>4.1663999999999998E-3</v>
      </c>
      <c r="R44" s="208">
        <v>4.1663999999999998E-3</v>
      </c>
      <c r="S44" s="208">
        <v>4.1663999999999998E-3</v>
      </c>
      <c r="T44" s="208">
        <v>4.1663999999999998E-3</v>
      </c>
      <c r="U44" s="208">
        <v>4.1663999999999998E-3</v>
      </c>
      <c r="V44" s="208">
        <v>4.1663999999999998E-3</v>
      </c>
      <c r="W44" s="208">
        <v>4.1663999999999998E-3</v>
      </c>
      <c r="X44" s="208">
        <v>4.1663999999999998E-3</v>
      </c>
      <c r="Y44" s="208">
        <v>4.1663999999999998E-3</v>
      </c>
      <c r="Z44" s="208">
        <v>4.1663999999999998E-3</v>
      </c>
      <c r="AA44" s="208">
        <v>4.1663999999999998E-3</v>
      </c>
      <c r="AB44" s="208">
        <v>4.1663999999999998E-3</v>
      </c>
      <c r="AC44" s="208">
        <v>4.1663999999999998E-3</v>
      </c>
      <c r="AD44" s="208">
        <v>4.1663999999999998E-3</v>
      </c>
      <c r="AE44" s="208">
        <v>4.1663999999999998E-3</v>
      </c>
      <c r="AF44" s="208">
        <v>4.1663999999999998E-3</v>
      </c>
      <c r="AG44" s="208">
        <v>4.1663999999999998E-3</v>
      </c>
      <c r="AH44" s="208">
        <v>4.1663999999999998E-3</v>
      </c>
    </row>
    <row r="45" spans="1:34">
      <c r="A45" s="200"/>
      <c r="B45" s="201" t="s">
        <v>1124</v>
      </c>
      <c r="C45" s="202"/>
      <c r="D45" s="201"/>
      <c r="E45" s="202" t="s">
        <v>63</v>
      </c>
      <c r="F45" s="201"/>
      <c r="G45" s="203">
        <f>SQRT((G47^2+G49^2+G50^2))</f>
        <v>1.5350000000000001E-2</v>
      </c>
      <c r="H45" s="202">
        <f t="shared" ref="H45:AH45" si="5">SQRT((H47^2+H49^2+H50^2))</f>
        <v>1.375E-2</v>
      </c>
      <c r="I45" s="202">
        <f t="shared" si="5"/>
        <v>1.23E-2</v>
      </c>
      <c r="J45" s="202">
        <f t="shared" si="5"/>
        <v>1.23E-2</v>
      </c>
      <c r="K45" s="202">
        <f t="shared" si="5"/>
        <v>1.23E-2</v>
      </c>
      <c r="L45" s="202">
        <f t="shared" si="5"/>
        <v>8.8000000000000005E-3</v>
      </c>
      <c r="M45" s="202">
        <f t="shared" si="5"/>
        <v>8.8000000000000005E-3</v>
      </c>
      <c r="N45" s="202">
        <f t="shared" si="5"/>
        <v>8.8000000000000005E-3</v>
      </c>
      <c r="O45" s="202">
        <f t="shared" si="5"/>
        <v>6.2500000000000003E-3</v>
      </c>
      <c r="P45" s="202">
        <f t="shared" si="5"/>
        <v>6.2500000000000003E-3</v>
      </c>
      <c r="Q45" s="202">
        <f t="shared" si="5"/>
        <v>6.2500000000000003E-3</v>
      </c>
      <c r="R45" s="202">
        <f t="shared" si="5"/>
        <v>4.4000000000000003E-3</v>
      </c>
      <c r="S45" s="202">
        <f t="shared" si="5"/>
        <v>4.4000000000000003E-3</v>
      </c>
      <c r="T45" s="202">
        <f t="shared" si="5"/>
        <v>4.4000000000000003E-3</v>
      </c>
      <c r="U45" s="203">
        <f t="shared" si="5"/>
        <v>3.0504098085339291E-3</v>
      </c>
      <c r="V45" s="203">
        <f t="shared" si="5"/>
        <v>3.0504098085339291E-3</v>
      </c>
      <c r="W45" s="203">
        <f t="shared" si="5"/>
        <v>3.0504098085339291E-3</v>
      </c>
      <c r="X45" s="203">
        <f t="shared" si="5"/>
        <v>1.9659603251337499E-3</v>
      </c>
      <c r="Y45" s="203">
        <f t="shared" si="5"/>
        <v>1.9659603251337499E-3</v>
      </c>
      <c r="Z45" s="203">
        <f t="shared" si="5"/>
        <v>1.9659603251337499E-3</v>
      </c>
      <c r="AA45" s="202">
        <f t="shared" si="5"/>
        <v>1.2103718436910205E-3</v>
      </c>
      <c r="AB45" s="202">
        <f t="shared" si="5"/>
        <v>1.2103718436910205E-3</v>
      </c>
      <c r="AC45" s="202">
        <f t="shared" si="5"/>
        <v>1.2103718436910205E-3</v>
      </c>
      <c r="AD45" s="202">
        <f t="shared" si="5"/>
        <v>4.0162171256046403E-3</v>
      </c>
      <c r="AE45" s="202">
        <f t="shared" si="5"/>
        <v>6.388466169590319E-3</v>
      </c>
      <c r="AF45" s="202">
        <f t="shared" si="5"/>
        <v>9.3489304201068903E-3</v>
      </c>
      <c r="AG45" s="202">
        <f t="shared" si="5"/>
        <v>1.2614773085553303E-2</v>
      </c>
      <c r="AH45" s="202">
        <f t="shared" si="5"/>
        <v>1.849087612851268E-2</v>
      </c>
    </row>
    <row r="46" spans="1:34">
      <c r="C46" s="209"/>
    </row>
    <row r="47" spans="1:34">
      <c r="A47" s="204">
        <v>34</v>
      </c>
      <c r="B47" s="205" t="s">
        <v>1125</v>
      </c>
      <c r="C47" s="206"/>
      <c r="D47" s="206">
        <v>100</v>
      </c>
      <c r="E47" s="206" t="s">
        <v>762</v>
      </c>
      <c r="F47" s="207" t="s">
        <v>1078</v>
      </c>
      <c r="G47" s="208">
        <v>1.5350000000000001E-2</v>
      </c>
      <c r="H47" s="208">
        <v>1.375E-2</v>
      </c>
      <c r="I47" s="208">
        <v>1.23E-2</v>
      </c>
      <c r="J47" s="208">
        <v>1.23E-2</v>
      </c>
      <c r="K47" s="208">
        <v>1.23E-2</v>
      </c>
      <c r="L47" s="208">
        <v>8.8000000000000005E-3</v>
      </c>
      <c r="M47" s="208">
        <v>8.8000000000000005E-3</v>
      </c>
      <c r="N47" s="208">
        <v>8.8000000000000005E-3</v>
      </c>
      <c r="O47" s="208">
        <v>6.2500000000000003E-3</v>
      </c>
      <c r="P47" s="208">
        <v>6.2500000000000003E-3</v>
      </c>
      <c r="Q47" s="208">
        <v>6.2500000000000003E-3</v>
      </c>
      <c r="R47" s="208">
        <v>4.4000000000000003E-3</v>
      </c>
      <c r="S47" s="208">
        <v>4.4000000000000003E-3</v>
      </c>
      <c r="T47" s="208">
        <v>4.4000000000000003E-3</v>
      </c>
      <c r="U47" s="208">
        <v>3.0500000000000002E-3</v>
      </c>
      <c r="V47" s="208">
        <v>3.0500000000000002E-3</v>
      </c>
      <c r="W47" s="208">
        <v>3.0500000000000002E-3</v>
      </c>
      <c r="X47" s="208">
        <v>1.9499999999999999E-3</v>
      </c>
      <c r="Y47" s="208">
        <v>1.9499999999999999E-3</v>
      </c>
      <c r="Z47" s="208">
        <v>1.9499999999999999E-3</v>
      </c>
      <c r="AA47" s="208">
        <v>7.5000000000000002E-4</v>
      </c>
      <c r="AB47" s="208">
        <v>7.5000000000000002E-4</v>
      </c>
      <c r="AC47" s="208">
        <v>7.5000000000000002E-4</v>
      </c>
      <c r="AD47" s="208">
        <v>1.2999999999999999E-3</v>
      </c>
      <c r="AE47" s="208">
        <v>2.4499999999999999E-3</v>
      </c>
      <c r="AF47" s="208">
        <v>4.0000000000000001E-3</v>
      </c>
      <c r="AG47" s="208">
        <v>6.3499999999999997E-3</v>
      </c>
      <c r="AH47" s="208">
        <v>1.095E-2</v>
      </c>
    </row>
    <row r="48" spans="1:34">
      <c r="A48" s="204">
        <v>35</v>
      </c>
      <c r="B48" s="205" t="s">
        <v>1126</v>
      </c>
      <c r="C48" s="206"/>
      <c r="D48" s="206" t="s">
        <v>1071</v>
      </c>
      <c r="E48" s="206" t="s">
        <v>1071</v>
      </c>
      <c r="F48" s="207" t="s">
        <v>1078</v>
      </c>
      <c r="G48" s="208" t="s">
        <v>1071</v>
      </c>
      <c r="H48" s="208" t="s">
        <v>1071</v>
      </c>
      <c r="I48" s="208" t="s">
        <v>1071</v>
      </c>
      <c r="J48" s="208" t="s">
        <v>1071</v>
      </c>
      <c r="K48" s="208" t="s">
        <v>1071</v>
      </c>
      <c r="L48" s="208" t="s">
        <v>1071</v>
      </c>
      <c r="M48" s="208" t="s">
        <v>1071</v>
      </c>
      <c r="N48" s="208" t="s">
        <v>1071</v>
      </c>
      <c r="O48" s="208" t="s">
        <v>1071</v>
      </c>
      <c r="P48" s="208" t="s">
        <v>1071</v>
      </c>
      <c r="Q48" s="208" t="s">
        <v>1071</v>
      </c>
      <c r="R48" s="208" t="s">
        <v>1071</v>
      </c>
      <c r="S48" s="208" t="s">
        <v>1071</v>
      </c>
      <c r="T48" s="208" t="s">
        <v>1071</v>
      </c>
      <c r="U48" s="208" t="s">
        <v>1071</v>
      </c>
      <c r="V48" s="208" t="s">
        <v>1071</v>
      </c>
      <c r="W48" s="208" t="s">
        <v>1071</v>
      </c>
      <c r="X48" s="208" t="s">
        <v>1071</v>
      </c>
      <c r="Y48" s="208" t="s">
        <v>1071</v>
      </c>
      <c r="Z48" s="208" t="s">
        <v>1071</v>
      </c>
      <c r="AA48" s="208" t="s">
        <v>1071</v>
      </c>
      <c r="AB48" s="208" t="s">
        <v>1071</v>
      </c>
      <c r="AC48" s="208" t="s">
        <v>1071</v>
      </c>
      <c r="AD48" s="208" t="s">
        <v>1071</v>
      </c>
      <c r="AE48" s="208" t="s">
        <v>1071</v>
      </c>
      <c r="AF48" s="208" t="s">
        <v>1071</v>
      </c>
      <c r="AG48" s="208" t="s">
        <v>1071</v>
      </c>
      <c r="AH48" s="208" t="s">
        <v>1071</v>
      </c>
    </row>
    <row r="49" spans="1:34">
      <c r="A49" s="204">
        <v>36</v>
      </c>
      <c r="B49" s="205" t="s">
        <v>1127</v>
      </c>
      <c r="C49" s="206"/>
      <c r="D49" s="206">
        <v>1</v>
      </c>
      <c r="E49" s="206" t="s">
        <v>1071</v>
      </c>
      <c r="F49" s="207" t="s">
        <v>1078</v>
      </c>
      <c r="G49" s="208">
        <v>0</v>
      </c>
      <c r="H49" s="208">
        <v>0</v>
      </c>
      <c r="I49" s="208">
        <v>0</v>
      </c>
      <c r="J49" s="208">
        <v>0</v>
      </c>
      <c r="K49" s="208">
        <v>0</v>
      </c>
      <c r="L49" s="208">
        <v>0</v>
      </c>
      <c r="M49" s="208">
        <v>0</v>
      </c>
      <c r="N49" s="208">
        <v>0</v>
      </c>
      <c r="O49" s="208">
        <v>0</v>
      </c>
      <c r="P49" s="208">
        <v>0</v>
      </c>
      <c r="Q49" s="208">
        <v>0</v>
      </c>
      <c r="R49" s="208">
        <v>0</v>
      </c>
      <c r="S49" s="208">
        <v>0</v>
      </c>
      <c r="T49" s="208">
        <v>0</v>
      </c>
      <c r="U49" s="208">
        <v>0</v>
      </c>
      <c r="V49" s="208">
        <v>0</v>
      </c>
      <c r="W49" s="208">
        <v>0</v>
      </c>
      <c r="X49" s="208">
        <v>0</v>
      </c>
      <c r="Y49" s="208">
        <v>0</v>
      </c>
      <c r="Z49" s="208">
        <v>0</v>
      </c>
      <c r="AA49" s="208">
        <v>0</v>
      </c>
      <c r="AB49" s="208">
        <v>0</v>
      </c>
      <c r="AC49" s="208">
        <v>0</v>
      </c>
      <c r="AD49" s="208">
        <v>0</v>
      </c>
      <c r="AE49" s="208">
        <v>0</v>
      </c>
      <c r="AF49" s="208">
        <v>0</v>
      </c>
      <c r="AG49" s="208">
        <v>0</v>
      </c>
      <c r="AH49" s="208">
        <v>0</v>
      </c>
    </row>
    <row r="50" spans="1:34">
      <c r="A50" s="204">
        <v>37</v>
      </c>
      <c r="B50" s="205" t="s">
        <v>1128</v>
      </c>
      <c r="C50" s="206"/>
      <c r="D50" s="206">
        <v>100</v>
      </c>
      <c r="E50" s="206" t="s">
        <v>762</v>
      </c>
      <c r="F50" s="207" t="s">
        <v>1078</v>
      </c>
      <c r="G50" s="208">
        <v>0</v>
      </c>
      <c r="H50" s="208">
        <v>0</v>
      </c>
      <c r="I50" s="208">
        <v>0</v>
      </c>
      <c r="J50" s="208">
        <v>0</v>
      </c>
      <c r="K50" s="208">
        <v>0</v>
      </c>
      <c r="L50" s="208">
        <v>0</v>
      </c>
      <c r="M50" s="208">
        <v>0</v>
      </c>
      <c r="N50" s="208">
        <v>0</v>
      </c>
      <c r="O50" s="208">
        <v>0</v>
      </c>
      <c r="P50" s="208">
        <v>0</v>
      </c>
      <c r="Q50" s="208">
        <v>0</v>
      </c>
      <c r="R50" s="208">
        <v>0</v>
      </c>
      <c r="S50" s="208">
        <v>0</v>
      </c>
      <c r="T50" s="208">
        <v>0</v>
      </c>
      <c r="U50" s="208">
        <v>5.0000000000000002E-5</v>
      </c>
      <c r="V50" s="208">
        <v>5.0000000000000002E-5</v>
      </c>
      <c r="W50" s="208">
        <v>5.0000000000000002E-5</v>
      </c>
      <c r="X50" s="208">
        <v>2.5000000000000001E-4</v>
      </c>
      <c r="Y50" s="208">
        <v>2.5000000000000001E-4</v>
      </c>
      <c r="Z50" s="208">
        <v>2.5000000000000001E-4</v>
      </c>
      <c r="AA50" s="208">
        <v>9.5E-4</v>
      </c>
      <c r="AB50" s="208">
        <v>9.5E-4</v>
      </c>
      <c r="AC50" s="208">
        <v>9.5E-4</v>
      </c>
      <c r="AD50" s="208">
        <v>3.8E-3</v>
      </c>
      <c r="AE50" s="208">
        <v>5.8999999999999999E-3</v>
      </c>
      <c r="AF50" s="208">
        <v>8.4499999999999992E-3</v>
      </c>
      <c r="AG50" s="208">
        <v>1.09E-2</v>
      </c>
      <c r="AH50" s="208">
        <v>1.49E-2</v>
      </c>
    </row>
    <row r="51" spans="1:34">
      <c r="A51" s="202"/>
      <c r="B51" s="201" t="s">
        <v>1129</v>
      </c>
      <c r="C51" s="202"/>
      <c r="D51" s="202"/>
      <c r="E51" s="202" t="s">
        <v>63</v>
      </c>
      <c r="F51" s="202"/>
      <c r="G51" s="203">
        <f t="shared" ref="G51:AH51" si="6">SQRT((G53^2+G54^2+G55^2+G56^2+G57^2+G58^2+G59^2+G60^2+G61^2+G62^2))</f>
        <v>1.1712388267085087E-2</v>
      </c>
      <c r="H51" s="202">
        <f t="shared" si="6"/>
        <v>1.1378447904498318E-2</v>
      </c>
      <c r="I51" s="202">
        <f t="shared" si="6"/>
        <v>1.2890240125401846E-2</v>
      </c>
      <c r="J51" s="202">
        <f t="shared" si="6"/>
        <v>1.2402261514202425E-2</v>
      </c>
      <c r="K51" s="202">
        <f t="shared" si="6"/>
        <v>1.1179717825896442E-2</v>
      </c>
      <c r="L51" s="202">
        <f t="shared" si="6"/>
        <v>1.2558006847622276E-2</v>
      </c>
      <c r="M51" s="202">
        <f t="shared" si="6"/>
        <v>1.1792628658050194E-2</v>
      </c>
      <c r="N51" s="202">
        <f t="shared" si="6"/>
        <v>1.1792628658050194E-2</v>
      </c>
      <c r="O51" s="202">
        <f t="shared" si="6"/>
        <v>1.2255487458946959E-2</v>
      </c>
      <c r="P51" s="202">
        <f t="shared" si="6"/>
        <v>1.2032709198957093E-2</v>
      </c>
      <c r="Q51" s="202">
        <f t="shared" si="6"/>
        <v>1.2073224810850386E-2</v>
      </c>
      <c r="R51" s="202">
        <f t="shared" si="6"/>
        <v>1.2518968764577695E-2</v>
      </c>
      <c r="S51" s="202">
        <f t="shared" si="6"/>
        <v>1.1519378918442898E-2</v>
      </c>
      <c r="T51" s="202">
        <f t="shared" si="6"/>
        <v>1.155794491536738E-2</v>
      </c>
      <c r="U51" s="203">
        <f t="shared" si="6"/>
        <v>1.2277314650965477E-2</v>
      </c>
      <c r="V51" s="203">
        <f t="shared" si="6"/>
        <v>1.1520249765810925E-2</v>
      </c>
      <c r="W51" s="203">
        <f t="shared" si="6"/>
        <v>1.1481847470391398E-2</v>
      </c>
      <c r="X51" s="202">
        <f t="shared" si="6"/>
        <v>1.2298302357073814E-2</v>
      </c>
      <c r="Y51" s="202">
        <f t="shared" si="6"/>
        <v>1.1187195061021031E-2</v>
      </c>
      <c r="Z51" s="202">
        <f t="shared" si="6"/>
        <v>1.075065889453603E-2</v>
      </c>
      <c r="AA51" s="202">
        <f t="shared" si="6"/>
        <v>1.1959146674170421E-2</v>
      </c>
      <c r="AB51" s="202">
        <f t="shared" si="6"/>
        <v>1.0449177320089207E-2</v>
      </c>
      <c r="AC51" s="202">
        <f t="shared" si="6"/>
        <v>1.2241948646627575E-2</v>
      </c>
      <c r="AD51" s="202">
        <f t="shared" si="6"/>
        <v>2.1802288521284043E-2</v>
      </c>
      <c r="AE51" s="202">
        <f t="shared" si="6"/>
        <v>2.599418198052373E-2</v>
      </c>
      <c r="AF51" s="202">
        <f t="shared" si="6"/>
        <v>3.588333591540864E-2</v>
      </c>
      <c r="AG51" s="202">
        <f t="shared" si="6"/>
        <v>3.2065051421399003E-2</v>
      </c>
      <c r="AH51" s="202">
        <f t="shared" si="6"/>
        <v>4.6658295452485364E-2</v>
      </c>
    </row>
    <row r="52" spans="1:34">
      <c r="C52" s="209"/>
      <c r="G52" s="210"/>
    </row>
    <row r="53" spans="1:34">
      <c r="A53" s="204">
        <v>38</v>
      </c>
      <c r="B53" s="205" t="s">
        <v>1130</v>
      </c>
      <c r="C53" s="206"/>
      <c r="D53" s="206">
        <v>3</v>
      </c>
      <c r="E53" s="206" t="s">
        <v>1071</v>
      </c>
      <c r="F53" s="207"/>
      <c r="G53" s="208">
        <v>5.773502691896258E-4</v>
      </c>
      <c r="H53" s="208">
        <v>5.773502691896258E-4</v>
      </c>
      <c r="I53" s="208">
        <v>5.773502691896258E-4</v>
      </c>
      <c r="J53" s="208">
        <v>5.773502691896258E-4</v>
      </c>
      <c r="K53" s="208">
        <v>5.773502691896258E-4</v>
      </c>
      <c r="L53" s="208">
        <v>5.773502691896258E-4</v>
      </c>
      <c r="M53" s="208">
        <v>5.773502691896258E-4</v>
      </c>
      <c r="N53" s="208">
        <v>5.773502691896258E-4</v>
      </c>
      <c r="O53" s="208">
        <v>5.773502691896258E-4</v>
      </c>
      <c r="P53" s="208">
        <v>5.773502691896258E-4</v>
      </c>
      <c r="Q53" s="208">
        <v>5.773502691896258E-4</v>
      </c>
      <c r="R53" s="208">
        <v>5.773502691896258E-4</v>
      </c>
      <c r="S53" s="208">
        <v>5.773502691896258E-4</v>
      </c>
      <c r="T53" s="208">
        <v>5.773502691896258E-4</v>
      </c>
      <c r="U53" s="208">
        <v>5.773502691896258E-4</v>
      </c>
      <c r="V53" s="208">
        <v>5.773502691896258E-4</v>
      </c>
      <c r="W53" s="208">
        <v>5.773502691896258E-4</v>
      </c>
      <c r="X53" s="208">
        <v>5.773502691896258E-4</v>
      </c>
      <c r="Y53" s="208">
        <v>5.773502691896258E-4</v>
      </c>
      <c r="Z53" s="208">
        <v>5.773502691896258E-4</v>
      </c>
      <c r="AA53" s="208">
        <v>5.773502691896258E-4</v>
      </c>
      <c r="AB53" s="208">
        <v>5.773502691896258E-4</v>
      </c>
      <c r="AC53" s="208">
        <v>5.773502691896258E-4</v>
      </c>
      <c r="AD53" s="208">
        <v>5.773502691896258E-4</v>
      </c>
      <c r="AE53" s="208">
        <v>5.773502691896258E-4</v>
      </c>
      <c r="AF53" s="208">
        <v>5.773502691896258E-4</v>
      </c>
      <c r="AG53" s="208">
        <v>5.773502691896258E-4</v>
      </c>
      <c r="AH53" s="208">
        <v>5.773502691896258E-4</v>
      </c>
    </row>
    <row r="54" spans="1:34">
      <c r="A54" s="204">
        <v>39</v>
      </c>
      <c r="B54" s="205" t="s">
        <v>1131</v>
      </c>
      <c r="C54" s="206"/>
      <c r="D54" s="206"/>
      <c r="E54" s="206" t="s">
        <v>1071</v>
      </c>
      <c r="F54" s="207" t="s">
        <v>1132</v>
      </c>
      <c r="G54" s="208">
        <f>0.0137964431922455/(3)^0.5</f>
        <v>7.9653801909023193E-3</v>
      </c>
      <c r="H54" s="208">
        <f>0.0129309302892772/(3)^0.5</f>
        <v>7.4656760833864766E-3</v>
      </c>
      <c r="I54" s="208">
        <f>0.0166516245295034/(3)^0.5</f>
        <v>9.6138199045533636E-3</v>
      </c>
      <c r="J54" s="208">
        <f>0.0155/(3)^0.5</f>
        <v>8.9489291724391996E-3</v>
      </c>
      <c r="K54" s="208">
        <f>0.0124/(3)^0.5</f>
        <v>7.1591433379513594E-3</v>
      </c>
      <c r="L54" s="208">
        <f>0.0158717464683249/(3)^0.5</f>
        <v>9.1635570959968729E-3</v>
      </c>
      <c r="M54" s="208">
        <f>(0.014/(3)^0.5)</f>
        <v>8.082903768654762E-3</v>
      </c>
      <c r="N54" s="208">
        <f>0.014/(3)^0.5</f>
        <v>8.082903768654762E-3</v>
      </c>
      <c r="O54" s="208">
        <f>0.0151457138019051/(3)^0.5</f>
        <v>8.7443819405989397E-3</v>
      </c>
      <c r="P54" s="208">
        <f>0.0146/(3)^0.5</f>
        <v>8.4293139301685367E-3</v>
      </c>
      <c r="Q54" s="208">
        <f>0.0147/(3)^0.5</f>
        <v>8.4870489570874983E-3</v>
      </c>
      <c r="R54" s="208">
        <f>0.0157789563908839/(3)^0.5</f>
        <v>9.1099847198081851E-3</v>
      </c>
      <c r="S54" s="208">
        <f>0.0133/(3)^0.5</f>
        <v>7.6787585802220231E-3</v>
      </c>
      <c r="T54" s="208">
        <f>0.0134/(3)^0.5</f>
        <v>7.7364936071409856E-3</v>
      </c>
      <c r="U54" s="208">
        <f>0.0151966740149427/(3)^0.5</f>
        <v>8.7738038333141592E-3</v>
      </c>
      <c r="V54" s="208">
        <f>0.0133/(3)^0.5</f>
        <v>7.6787585802220231E-3</v>
      </c>
      <c r="W54" s="208">
        <f>0.0132/(3)^0.5</f>
        <v>7.6210235533030607E-3</v>
      </c>
      <c r="X54" s="208">
        <f>0.0146688350797881/(3)^0.5</f>
        <v>8.4690558820138852E-3</v>
      </c>
      <c r="Y54" s="208">
        <f>0.0117/(3)^0.5</f>
        <v>6.7549981495186222E-3</v>
      </c>
      <c r="Z54" s="208">
        <f>0.0104/(3)^0.5</f>
        <v>6.0044427995721078E-3</v>
      </c>
      <c r="AA54" s="208">
        <f>0.0132464201776542/(3)^0.5</f>
        <v>7.6478242553675432E-3</v>
      </c>
      <c r="AB54" s="208">
        <f>0.0086/(3)^0.5</f>
        <v>4.9652123150307819E-3</v>
      </c>
      <c r="AC54" s="208">
        <f>0.014/(3)^0.5</f>
        <v>8.082903768654762E-3</v>
      </c>
      <c r="AD54" s="208">
        <f>0.0304782678362131/(3)^0.5</f>
        <v>1.7596636139671145E-2</v>
      </c>
      <c r="AE54" s="208">
        <f>0.0360353494573003/(3)^0.5</f>
        <v>2.0805018709514567E-2</v>
      </c>
      <c r="AF54" s="208">
        <f>0.0550549916833539/(3)^0.5</f>
        <v>3.1786014268616984E-2</v>
      </c>
      <c r="AG54" s="208">
        <f>0.0337643010289105/(3)^0.5</f>
        <v>1.9493828288041037E-2</v>
      </c>
      <c r="AH54" s="208">
        <f>0.0478880254301036/(3)^0.5</f>
        <v>2.764816437302996E-2</v>
      </c>
    </row>
    <row r="55" spans="1:34">
      <c r="A55" s="204">
        <v>40</v>
      </c>
      <c r="B55" s="205" t="s">
        <v>1133</v>
      </c>
      <c r="C55" s="206"/>
      <c r="D55" s="206">
        <v>0.04</v>
      </c>
      <c r="E55" s="206" t="s">
        <v>761</v>
      </c>
      <c r="F55" s="207" t="s">
        <v>1078</v>
      </c>
      <c r="G55" s="208">
        <v>6.3200000000000007E-4</v>
      </c>
      <c r="H55" s="208">
        <v>6.3200000000000007E-4</v>
      </c>
      <c r="I55" s="208">
        <v>6.3200000000000007E-4</v>
      </c>
      <c r="J55" s="208">
        <v>6.3200000000000007E-4</v>
      </c>
      <c r="K55" s="208">
        <v>6.3200000000000007E-4</v>
      </c>
      <c r="L55" s="208">
        <v>6.3200000000000007E-4</v>
      </c>
      <c r="M55" s="208">
        <v>6.3200000000000007E-4</v>
      </c>
      <c r="N55" s="208">
        <v>6.3200000000000007E-4</v>
      </c>
      <c r="O55" s="208">
        <v>6.3200000000000007E-4</v>
      </c>
      <c r="P55" s="208">
        <v>6.3200000000000007E-4</v>
      </c>
      <c r="Q55" s="208">
        <v>6.3200000000000007E-4</v>
      </c>
      <c r="R55" s="208">
        <v>6.3200000000000007E-4</v>
      </c>
      <c r="S55" s="208">
        <v>6.3200000000000007E-4</v>
      </c>
      <c r="T55" s="208">
        <v>6.3200000000000007E-4</v>
      </c>
      <c r="U55" s="208">
        <v>6.3200000000000007E-4</v>
      </c>
      <c r="V55" s="208">
        <v>6.3200000000000007E-4</v>
      </c>
      <c r="W55" s="208">
        <v>6.3200000000000007E-4</v>
      </c>
      <c r="X55" s="208">
        <v>6.3200000000000007E-4</v>
      </c>
      <c r="Y55" s="208">
        <v>6.3200000000000007E-4</v>
      </c>
      <c r="Z55" s="208">
        <v>6.3200000000000007E-4</v>
      </c>
      <c r="AA55" s="208">
        <v>6.3200000000000007E-4</v>
      </c>
      <c r="AB55" s="208">
        <v>6.3200000000000007E-4</v>
      </c>
      <c r="AC55" s="208">
        <v>6.3200000000000007E-4</v>
      </c>
      <c r="AD55" s="208">
        <v>6.3200000000000007E-4</v>
      </c>
      <c r="AE55" s="208">
        <v>6.3200000000000007E-4</v>
      </c>
      <c r="AF55" s="208">
        <v>6.3200000000000007E-4</v>
      </c>
      <c r="AG55" s="208">
        <v>6.3200000000000007E-4</v>
      </c>
      <c r="AH55" s="208">
        <v>6.3200000000000007E-4</v>
      </c>
    </row>
    <row r="56" spans="1:34">
      <c r="A56" s="204">
        <v>41</v>
      </c>
      <c r="B56" s="205" t="s">
        <v>1134</v>
      </c>
      <c r="C56" s="206"/>
      <c r="D56" s="206">
        <v>5</v>
      </c>
      <c r="E56" s="206" t="s">
        <v>761</v>
      </c>
      <c r="F56" s="207" t="s">
        <v>1078</v>
      </c>
      <c r="G56" s="208">
        <v>8.0000000000000002E-3</v>
      </c>
      <c r="H56" s="208">
        <v>8.0000000000000002E-3</v>
      </c>
      <c r="I56" s="208">
        <v>8.0000000000000002E-3</v>
      </c>
      <c r="J56" s="208">
        <v>8.0000000000000002E-3</v>
      </c>
      <c r="K56" s="208">
        <v>8.0000000000000002E-3</v>
      </c>
      <c r="L56" s="208">
        <v>8.0000000000000002E-3</v>
      </c>
      <c r="M56" s="208">
        <v>8.0000000000000002E-3</v>
      </c>
      <c r="N56" s="208">
        <v>8.0000000000000002E-3</v>
      </c>
      <c r="O56" s="208">
        <v>8.0000000000000002E-3</v>
      </c>
      <c r="P56" s="208">
        <v>8.0000000000000002E-3</v>
      </c>
      <c r="Q56" s="208">
        <v>8.0000000000000002E-3</v>
      </c>
      <c r="R56" s="208">
        <v>8.0000000000000002E-3</v>
      </c>
      <c r="S56" s="208">
        <v>8.0000000000000002E-3</v>
      </c>
      <c r="T56" s="208">
        <v>8.0000000000000002E-3</v>
      </c>
      <c r="U56" s="208">
        <v>8.0000000000000002E-3</v>
      </c>
      <c r="V56" s="208">
        <v>8.0000000000000002E-3</v>
      </c>
      <c r="W56" s="208">
        <v>8.0000000000000002E-3</v>
      </c>
      <c r="X56" s="208">
        <v>8.0000000000000002E-3</v>
      </c>
      <c r="Y56" s="208">
        <v>8.0000000000000002E-3</v>
      </c>
      <c r="Z56" s="208">
        <v>8.0000000000000002E-3</v>
      </c>
      <c r="AA56" s="208">
        <v>8.0000000000000002E-3</v>
      </c>
      <c r="AB56" s="208">
        <v>8.0000000000000002E-3</v>
      </c>
      <c r="AC56" s="208">
        <v>8.0000000000000002E-3</v>
      </c>
      <c r="AD56" s="208">
        <v>8.0000000000000002E-3</v>
      </c>
      <c r="AE56" s="208">
        <v>8.0000000000000002E-3</v>
      </c>
      <c r="AF56" s="208">
        <v>8.0000000000000002E-3</v>
      </c>
      <c r="AG56" s="208">
        <v>8.0000000000000002E-3</v>
      </c>
      <c r="AH56" s="208">
        <v>8.0000000000000002E-3</v>
      </c>
    </row>
    <row r="57" spans="1:34">
      <c r="A57" s="204">
        <v>42</v>
      </c>
      <c r="B57" s="205" t="s">
        <v>1135</v>
      </c>
      <c r="C57" s="206"/>
      <c r="D57" s="206">
        <f>D55</f>
        <v>0.04</v>
      </c>
      <c r="E57" s="206" t="s">
        <v>761</v>
      </c>
      <c r="F57" s="207" t="s">
        <v>1078</v>
      </c>
      <c r="G57" s="208">
        <v>0</v>
      </c>
      <c r="H57" s="208">
        <v>0</v>
      </c>
      <c r="I57" s="208">
        <v>0</v>
      </c>
      <c r="J57" s="208">
        <v>0</v>
      </c>
      <c r="K57" s="208">
        <v>0</v>
      </c>
      <c r="L57" s="208">
        <v>0</v>
      </c>
      <c r="M57" s="208">
        <v>0</v>
      </c>
      <c r="N57" s="208">
        <v>0</v>
      </c>
      <c r="O57" s="208">
        <v>0</v>
      </c>
      <c r="P57" s="208">
        <v>0</v>
      </c>
      <c r="Q57" s="208">
        <v>0</v>
      </c>
      <c r="R57" s="208">
        <v>0</v>
      </c>
      <c r="S57" s="208">
        <v>0</v>
      </c>
      <c r="T57" s="208">
        <v>0</v>
      </c>
      <c r="U57" s="208">
        <v>8.0000000000000013E-6</v>
      </c>
      <c r="V57" s="208">
        <v>8.0000000000000013E-6</v>
      </c>
      <c r="W57" s="208">
        <v>8.0000000000000013E-6</v>
      </c>
      <c r="X57" s="208">
        <v>2.3999999999999997E-5</v>
      </c>
      <c r="Y57" s="208">
        <v>2.3999999999999997E-5</v>
      </c>
      <c r="Z57" s="208">
        <v>2.3999999999999997E-5</v>
      </c>
      <c r="AA57" s="208">
        <v>9.5999999999999989E-5</v>
      </c>
      <c r="AB57" s="208">
        <v>9.5999999999999989E-5</v>
      </c>
      <c r="AC57" s="208">
        <v>9.5999999999999989E-5</v>
      </c>
      <c r="AD57" s="208">
        <v>3.68E-4</v>
      </c>
      <c r="AE57" s="208">
        <v>5.44E-4</v>
      </c>
      <c r="AF57" s="208">
        <v>6.5600000000000012E-4</v>
      </c>
      <c r="AG57" s="208">
        <v>3.68E-4</v>
      </c>
      <c r="AH57" s="208">
        <v>4.7199999999999993E-4</v>
      </c>
    </row>
    <row r="58" spans="1:34">
      <c r="A58" s="204">
        <v>43</v>
      </c>
      <c r="B58" s="205" t="s">
        <v>1136</v>
      </c>
      <c r="C58" s="206"/>
      <c r="D58" s="206">
        <f>D56</f>
        <v>5</v>
      </c>
      <c r="E58" s="206" t="s">
        <v>761</v>
      </c>
      <c r="F58" s="207" t="s">
        <v>1078</v>
      </c>
      <c r="G58" s="208">
        <v>0</v>
      </c>
      <c r="H58" s="208">
        <v>0</v>
      </c>
      <c r="I58" s="208">
        <v>0</v>
      </c>
      <c r="J58" s="208">
        <v>0</v>
      </c>
      <c r="K58" s="208">
        <v>0</v>
      </c>
      <c r="L58" s="208">
        <v>0</v>
      </c>
      <c r="M58" s="208">
        <v>0</v>
      </c>
      <c r="N58" s="208">
        <v>0</v>
      </c>
      <c r="O58" s="208">
        <v>0</v>
      </c>
      <c r="P58" s="208">
        <v>0</v>
      </c>
      <c r="Q58" s="208">
        <v>0</v>
      </c>
      <c r="R58" s="208">
        <v>0</v>
      </c>
      <c r="S58" s="208">
        <v>0</v>
      </c>
      <c r="T58" s="208">
        <v>0</v>
      </c>
      <c r="U58" s="208">
        <v>0</v>
      </c>
      <c r="V58" s="208">
        <v>0</v>
      </c>
      <c r="W58" s="208">
        <v>0</v>
      </c>
      <c r="X58" s="208">
        <v>5.0000000000000001E-4</v>
      </c>
      <c r="Y58" s="208">
        <v>5.0000000000000001E-4</v>
      </c>
      <c r="Z58" s="208">
        <v>5.0000000000000001E-4</v>
      </c>
      <c r="AA58" s="208">
        <v>1.4999999999999998E-3</v>
      </c>
      <c r="AB58" s="208">
        <v>1.4999999999999998E-3</v>
      </c>
      <c r="AC58" s="208">
        <v>1.4999999999999998E-3</v>
      </c>
      <c r="AD58" s="208">
        <v>5.5000000000000005E-3</v>
      </c>
      <c r="AE58" s="208">
        <v>5.9999999999999993E-3</v>
      </c>
      <c r="AF58" s="208">
        <v>1E-3</v>
      </c>
      <c r="AG58" s="208">
        <v>0.02</v>
      </c>
      <c r="AH58" s="208">
        <v>3.3000000000000002E-2</v>
      </c>
    </row>
    <row r="59" spans="1:34">
      <c r="A59" s="204">
        <v>44</v>
      </c>
      <c r="B59" s="205" t="s">
        <v>1137</v>
      </c>
      <c r="C59" s="206"/>
      <c r="D59" s="206">
        <v>1</v>
      </c>
      <c r="E59" s="206" t="s">
        <v>479</v>
      </c>
      <c r="F59" s="207" t="s">
        <v>1078</v>
      </c>
      <c r="G59" s="208">
        <v>0</v>
      </c>
      <c r="H59" s="208">
        <v>0</v>
      </c>
      <c r="I59" s="208">
        <v>0</v>
      </c>
      <c r="J59" s="208">
        <v>0</v>
      </c>
      <c r="K59" s="208">
        <v>0</v>
      </c>
      <c r="L59" s="208">
        <v>0</v>
      </c>
      <c r="M59" s="208">
        <v>0</v>
      </c>
      <c r="N59" s="208">
        <v>0</v>
      </c>
      <c r="O59" s="208">
        <v>0</v>
      </c>
      <c r="P59" s="208">
        <v>0</v>
      </c>
      <c r="Q59" s="208">
        <v>0</v>
      </c>
      <c r="R59" s="208">
        <v>0</v>
      </c>
      <c r="S59" s="208">
        <v>0</v>
      </c>
      <c r="T59" s="208">
        <v>0</v>
      </c>
      <c r="U59" s="208">
        <v>1E-4</v>
      </c>
      <c r="V59" s="208">
        <v>1E-4</v>
      </c>
      <c r="W59" s="208">
        <v>1E-4</v>
      </c>
      <c r="X59" s="208">
        <v>2.3E-3</v>
      </c>
      <c r="Y59" s="208">
        <v>2.3E-3</v>
      </c>
      <c r="Z59" s="208">
        <v>2.3E-3</v>
      </c>
      <c r="AA59" s="208">
        <v>2.3E-3</v>
      </c>
      <c r="AB59" s="208">
        <v>2.3E-3</v>
      </c>
      <c r="AC59" s="208">
        <v>2.3E-3</v>
      </c>
      <c r="AD59" s="208">
        <v>2.3E-3</v>
      </c>
      <c r="AE59" s="208">
        <v>2.3E-3</v>
      </c>
      <c r="AF59" s="208">
        <v>2.3E-3</v>
      </c>
      <c r="AG59" s="208">
        <v>2.3E-3</v>
      </c>
      <c r="AH59" s="208">
        <v>2.3E-3</v>
      </c>
    </row>
    <row r="60" spans="1:34">
      <c r="A60" s="204">
        <v>45</v>
      </c>
      <c r="B60" s="205" t="s">
        <v>1138</v>
      </c>
      <c r="C60" s="206"/>
      <c r="D60" s="206">
        <v>3</v>
      </c>
      <c r="E60" s="206" t="s">
        <v>479</v>
      </c>
      <c r="F60" s="207" t="s">
        <v>1078</v>
      </c>
      <c r="G60" s="208">
        <v>3.0000000000000001E-3</v>
      </c>
      <c r="H60" s="208">
        <v>3.0000000000000001E-3</v>
      </c>
      <c r="I60" s="208">
        <v>3.0000000000000001E-3</v>
      </c>
      <c r="J60" s="208">
        <v>3.0000000000000001E-3</v>
      </c>
      <c r="K60" s="208">
        <v>3.0000000000000001E-3</v>
      </c>
      <c r="L60" s="208">
        <v>3.0000000000000001E-3</v>
      </c>
      <c r="M60" s="208">
        <v>3.0000000000000001E-3</v>
      </c>
      <c r="N60" s="208">
        <v>3.0000000000000001E-3</v>
      </c>
      <c r="O60" s="208">
        <v>3.0000000000000001E-3</v>
      </c>
      <c r="P60" s="208">
        <v>3.0000000000000001E-3</v>
      </c>
      <c r="Q60" s="208">
        <v>3.0000000000000001E-3</v>
      </c>
      <c r="R60" s="208">
        <v>3.0000000000000001E-3</v>
      </c>
      <c r="S60" s="208">
        <v>3.0000000000000001E-3</v>
      </c>
      <c r="T60" s="208">
        <v>3.0000000000000001E-3</v>
      </c>
      <c r="U60" s="208">
        <v>3.0000000000000001E-3</v>
      </c>
      <c r="V60" s="208">
        <v>3.0000000000000001E-3</v>
      </c>
      <c r="W60" s="208">
        <v>3.0000000000000001E-3</v>
      </c>
      <c r="X60" s="208">
        <v>3.0000000000000001E-3</v>
      </c>
      <c r="Y60" s="208">
        <v>3.0000000000000001E-3</v>
      </c>
      <c r="Z60" s="208">
        <v>3.0000000000000001E-3</v>
      </c>
      <c r="AA60" s="208">
        <v>3.0000000000000001E-3</v>
      </c>
      <c r="AB60" s="208">
        <v>3.0000000000000001E-3</v>
      </c>
      <c r="AC60" s="208">
        <v>3.0000000000000001E-3</v>
      </c>
      <c r="AD60" s="208">
        <v>3.0000000000000001E-3</v>
      </c>
      <c r="AE60" s="208">
        <v>3.0000000000000001E-3</v>
      </c>
      <c r="AF60" s="208">
        <v>3.0000000000000001E-3</v>
      </c>
      <c r="AG60" s="208">
        <v>3.0000000000000001E-3</v>
      </c>
      <c r="AH60" s="208">
        <v>3.0000000000000001E-3</v>
      </c>
    </row>
    <row r="61" spans="1:34">
      <c r="A61" s="204">
        <v>46</v>
      </c>
      <c r="B61" s="205" t="s">
        <v>1139</v>
      </c>
      <c r="C61" s="206"/>
      <c r="D61" s="206">
        <f>D59</f>
        <v>1</v>
      </c>
      <c r="E61" s="206" t="s">
        <v>479</v>
      </c>
      <c r="F61" s="207" t="s">
        <v>1078</v>
      </c>
      <c r="G61" s="208">
        <v>0</v>
      </c>
      <c r="H61" s="208">
        <v>0</v>
      </c>
      <c r="I61" s="208">
        <v>0</v>
      </c>
      <c r="J61" s="208">
        <v>0</v>
      </c>
      <c r="K61" s="208">
        <v>0</v>
      </c>
      <c r="L61" s="208">
        <v>0</v>
      </c>
      <c r="M61" s="208">
        <v>0</v>
      </c>
      <c r="N61" s="208">
        <v>0</v>
      </c>
      <c r="O61" s="208">
        <v>0</v>
      </c>
      <c r="P61" s="208">
        <v>0</v>
      </c>
      <c r="Q61" s="208">
        <v>0</v>
      </c>
      <c r="R61" s="208">
        <v>0</v>
      </c>
      <c r="S61" s="208">
        <v>0</v>
      </c>
      <c r="T61" s="208">
        <v>0</v>
      </c>
      <c r="U61" s="208">
        <v>1E-4</v>
      </c>
      <c r="V61" s="208">
        <v>1E-4</v>
      </c>
      <c r="W61" s="208">
        <v>1E-4</v>
      </c>
      <c r="X61" s="208">
        <v>4.0000000000000002E-4</v>
      </c>
      <c r="Y61" s="208">
        <v>4.0000000000000002E-4</v>
      </c>
      <c r="Z61" s="208">
        <v>4.0000000000000002E-4</v>
      </c>
      <c r="AA61" s="208">
        <v>1.6999999999999999E-3</v>
      </c>
      <c r="AB61" s="208">
        <v>1.6999999999999999E-3</v>
      </c>
      <c r="AC61" s="208">
        <v>1.6999999999999999E-3</v>
      </c>
      <c r="AD61" s="208">
        <v>7.0000000000000001E-3</v>
      </c>
      <c r="AE61" s="208">
        <v>1.0800000000000001E-2</v>
      </c>
      <c r="AF61" s="208">
        <v>1.4E-2</v>
      </c>
      <c r="AG61" s="208">
        <v>1.12E-2</v>
      </c>
      <c r="AH61" s="208">
        <v>3.2000000000000002E-3</v>
      </c>
    </row>
    <row r="62" spans="1:34">
      <c r="A62" s="204">
        <v>47</v>
      </c>
      <c r="B62" s="205" t="s">
        <v>1140</v>
      </c>
      <c r="C62" s="206"/>
      <c r="D62" s="206">
        <f>D60</f>
        <v>3</v>
      </c>
      <c r="E62" s="206" t="s">
        <v>479</v>
      </c>
      <c r="F62" s="207" t="s">
        <v>1078</v>
      </c>
      <c r="G62" s="208">
        <v>0</v>
      </c>
      <c r="H62" s="208">
        <v>0</v>
      </c>
      <c r="I62" s="208">
        <v>0</v>
      </c>
      <c r="J62" s="208">
        <v>0</v>
      </c>
      <c r="K62" s="208">
        <v>0</v>
      </c>
      <c r="L62" s="208">
        <v>0</v>
      </c>
      <c r="M62" s="208">
        <v>0</v>
      </c>
      <c r="N62" s="208">
        <v>0</v>
      </c>
      <c r="O62" s="208">
        <v>0</v>
      </c>
      <c r="P62" s="208">
        <v>0</v>
      </c>
      <c r="Q62" s="208">
        <v>0</v>
      </c>
      <c r="R62" s="208">
        <v>0</v>
      </c>
      <c r="S62" s="208">
        <v>0</v>
      </c>
      <c r="T62" s="208">
        <v>0</v>
      </c>
      <c r="U62" s="208">
        <v>0</v>
      </c>
      <c r="V62" s="208">
        <v>0</v>
      </c>
      <c r="W62" s="208">
        <v>0</v>
      </c>
      <c r="X62" s="208">
        <v>3.0000000000000003E-4</v>
      </c>
      <c r="Y62" s="208">
        <v>3.0000000000000003E-4</v>
      </c>
      <c r="Z62" s="208">
        <v>3.0000000000000003E-4</v>
      </c>
      <c r="AA62" s="208">
        <v>6.0000000000000006E-4</v>
      </c>
      <c r="AB62" s="208">
        <v>6.0000000000000006E-4</v>
      </c>
      <c r="AC62" s="208">
        <v>6.0000000000000006E-4</v>
      </c>
      <c r="AD62" s="208">
        <v>2.7000000000000001E-3</v>
      </c>
      <c r="AE62" s="208">
        <v>3.3E-3</v>
      </c>
      <c r="AF62" s="208">
        <v>8.9999999999999998E-4</v>
      </c>
      <c r="AG62" s="208">
        <v>6.6E-3</v>
      </c>
      <c r="AH62" s="208">
        <v>1.5300000000000001E-2</v>
      </c>
    </row>
    <row r="63" spans="1:34">
      <c r="A63" s="204"/>
      <c r="B63" s="204"/>
      <c r="C63" s="204"/>
      <c r="D63" s="204"/>
      <c r="E63" s="204"/>
      <c r="F63" s="204"/>
      <c r="G63" s="211"/>
      <c r="H63" s="211"/>
      <c r="I63" s="211"/>
      <c r="J63" s="211"/>
      <c r="K63" s="211"/>
      <c r="L63" s="211"/>
      <c r="M63" s="211"/>
      <c r="N63" s="211"/>
      <c r="O63" s="211"/>
      <c r="P63" s="211"/>
      <c r="Q63" s="211"/>
      <c r="R63" s="211"/>
      <c r="S63" s="211"/>
      <c r="T63" s="211"/>
      <c r="U63" s="211"/>
      <c r="V63" s="211"/>
      <c r="W63" s="211"/>
      <c r="X63" s="211"/>
      <c r="Y63" s="211"/>
      <c r="Z63" s="211"/>
      <c r="AA63" s="211"/>
      <c r="AB63" s="211"/>
      <c r="AC63" s="211"/>
      <c r="AD63" s="211"/>
      <c r="AE63" s="211"/>
      <c r="AF63" s="211"/>
      <c r="AG63" s="211"/>
      <c r="AH63" s="211"/>
    </row>
    <row r="64" spans="1:34">
      <c r="A64" s="204"/>
      <c r="B64" s="204"/>
      <c r="C64" s="204"/>
      <c r="D64" s="204"/>
      <c r="E64" s="204"/>
      <c r="F64" s="204"/>
      <c r="G64" s="211"/>
      <c r="H64" s="211"/>
      <c r="I64" s="211"/>
      <c r="J64" s="211"/>
      <c r="K64" s="211"/>
      <c r="L64" s="211"/>
      <c r="M64" s="211"/>
      <c r="N64" s="211"/>
      <c r="O64" s="211"/>
      <c r="P64" s="211"/>
      <c r="Q64" s="211"/>
      <c r="R64" s="211"/>
      <c r="S64" s="211"/>
      <c r="T64" s="211"/>
      <c r="U64" s="211"/>
      <c r="V64" s="211"/>
      <c r="W64" s="211"/>
      <c r="X64" s="211"/>
      <c r="Y64" s="211"/>
      <c r="Z64" s="211"/>
      <c r="AA64" s="211"/>
      <c r="AB64" s="211"/>
      <c r="AC64" s="211"/>
      <c r="AD64" s="211"/>
      <c r="AE64" s="211"/>
      <c r="AF64" s="211"/>
      <c r="AG64" s="211"/>
      <c r="AH64" s="211"/>
    </row>
    <row r="65" spans="1:34">
      <c r="A65" s="204"/>
      <c r="B65" s="204" t="s">
        <v>1141</v>
      </c>
      <c r="C65" s="204"/>
      <c r="D65" s="204"/>
      <c r="E65" s="204"/>
      <c r="F65" s="204" t="s">
        <v>1142</v>
      </c>
      <c r="G65" s="203">
        <f>SQRT((G51^2+G45^2+G32^2+G18^2+G7^2))</f>
        <v>3.2010272299286831E-2</v>
      </c>
      <c r="H65" s="203">
        <f t="shared" ref="H65:AH65" si="7">SQRT((H51^2+H45^2+H32^2+H18^2+H7^2))</f>
        <v>2.978390972546344E-2</v>
      </c>
      <c r="I65" s="203">
        <f t="shared" si="7"/>
        <v>2.9051478021712724E-2</v>
      </c>
      <c r="J65" s="203">
        <f t="shared" si="7"/>
        <v>2.8838276221407624E-2</v>
      </c>
      <c r="K65" s="203">
        <f t="shared" si="7"/>
        <v>2.8334010930720775E-2</v>
      </c>
      <c r="L65" s="203">
        <f t="shared" si="7"/>
        <v>2.6881784031951184E-2</v>
      </c>
      <c r="M65" s="203">
        <f t="shared" si="7"/>
        <v>2.6532863912932664E-2</v>
      </c>
      <c r="N65" s="203">
        <f t="shared" si="7"/>
        <v>2.6532863912932664E-2</v>
      </c>
      <c r="O65" s="203">
        <f t="shared" si="7"/>
        <v>2.5768764553465575E-2</v>
      </c>
      <c r="P65" s="203">
        <f t="shared" si="7"/>
        <v>2.5663560634140468E-2</v>
      </c>
      <c r="Q65" s="203">
        <f t="shared" si="7"/>
        <v>2.5682581861815823E-2</v>
      </c>
      <c r="R65" s="203">
        <f t="shared" si="7"/>
        <v>2.5368792554711972E-2</v>
      </c>
      <c r="S65" s="203">
        <f t="shared" si="7"/>
        <v>2.4890704036290422E-2</v>
      </c>
      <c r="T65" s="203">
        <f t="shared" si="7"/>
        <v>2.4908575780686545E-2</v>
      </c>
      <c r="U65" s="203">
        <f t="shared" si="7"/>
        <v>2.5011478000996845E-2</v>
      </c>
      <c r="V65" s="203">
        <f t="shared" si="7"/>
        <v>2.4648686200732978E-2</v>
      </c>
      <c r="W65" s="203">
        <f t="shared" si="7"/>
        <v>2.4630761216187999E-2</v>
      </c>
      <c r="X65" s="203">
        <f t="shared" si="7"/>
        <v>2.4934651203125838E-2</v>
      </c>
      <c r="Y65" s="203">
        <f t="shared" si="7"/>
        <v>2.4405776428724223E-2</v>
      </c>
      <c r="Z65" s="203">
        <f t="shared" si="7"/>
        <v>2.4208784695275477E-2</v>
      </c>
      <c r="AA65" s="203">
        <f t="shared" si="7"/>
        <v>2.5130283283915821E-2</v>
      </c>
      <c r="AB65" s="203">
        <f t="shared" si="7"/>
        <v>2.4447806760979691E-2</v>
      </c>
      <c r="AC65" s="203">
        <f t="shared" si="7"/>
        <v>2.5266089040890446E-2</v>
      </c>
      <c r="AD65" s="203">
        <f t="shared" si="7"/>
        <v>3.5241414876829955E-2</v>
      </c>
      <c r="AE65" s="203">
        <f t="shared" si="7"/>
        <v>4.1392441273644665E-2</v>
      </c>
      <c r="AF65" s="203">
        <f t="shared" si="7"/>
        <v>4.9648561924527011E-2</v>
      </c>
      <c r="AG65" s="203">
        <f t="shared" si="7"/>
        <v>5.016972146038385E-2</v>
      </c>
      <c r="AH65" s="203">
        <f t="shared" si="7"/>
        <v>7.6970418391008849E-2</v>
      </c>
    </row>
    <row r="66" spans="1:34">
      <c r="A66" s="204"/>
      <c r="B66" s="204" t="s">
        <v>1143</v>
      </c>
      <c r="C66" s="204"/>
      <c r="D66" s="204"/>
      <c r="E66" s="204"/>
      <c r="F66" s="204"/>
      <c r="G66" s="203">
        <f>2*G65</f>
        <v>6.4020544598573662E-2</v>
      </c>
      <c r="H66" s="203">
        <f t="shared" ref="H66:AH66" si="8">2*H65</f>
        <v>5.956781945092688E-2</v>
      </c>
      <c r="I66" s="203">
        <f t="shared" si="8"/>
        <v>5.8102956043425448E-2</v>
      </c>
      <c r="J66" s="203">
        <f>2*J65</f>
        <v>5.7676552442815249E-2</v>
      </c>
      <c r="K66" s="203">
        <f>2*K65</f>
        <v>5.6668021861441549E-2</v>
      </c>
      <c r="L66" s="203">
        <f t="shared" si="8"/>
        <v>5.3763568063902367E-2</v>
      </c>
      <c r="M66" s="203">
        <f t="shared" si="8"/>
        <v>5.3065727825865328E-2</v>
      </c>
      <c r="N66" s="203">
        <f t="shared" si="8"/>
        <v>5.3065727825865328E-2</v>
      </c>
      <c r="O66" s="203">
        <f t="shared" si="8"/>
        <v>5.153752910693115E-2</v>
      </c>
      <c r="P66" s="203">
        <f t="shared" si="8"/>
        <v>5.1327121268280936E-2</v>
      </c>
      <c r="Q66" s="203">
        <f t="shared" si="8"/>
        <v>5.1365163723631646E-2</v>
      </c>
      <c r="R66" s="203">
        <f t="shared" si="8"/>
        <v>5.0737585109423944E-2</v>
      </c>
      <c r="S66" s="203">
        <f t="shared" si="8"/>
        <v>4.9781408072580843E-2</v>
      </c>
      <c r="T66" s="203">
        <f t="shared" si="8"/>
        <v>4.9817151561373091E-2</v>
      </c>
      <c r="U66" s="203">
        <f t="shared" si="8"/>
        <v>5.002295600199369E-2</v>
      </c>
      <c r="V66" s="203">
        <f t="shared" si="8"/>
        <v>4.9297372401465957E-2</v>
      </c>
      <c r="W66" s="203">
        <f t="shared" si="8"/>
        <v>4.9261522432375998E-2</v>
      </c>
      <c r="X66" s="203">
        <f t="shared" si="8"/>
        <v>4.9869302406251675E-2</v>
      </c>
      <c r="Y66" s="203">
        <f t="shared" si="8"/>
        <v>4.8811552857448447E-2</v>
      </c>
      <c r="Z66" s="203">
        <f t="shared" si="8"/>
        <v>4.8417569390550953E-2</v>
      </c>
      <c r="AA66" s="203">
        <f t="shared" si="8"/>
        <v>5.0260566567831642E-2</v>
      </c>
      <c r="AB66" s="203">
        <f t="shared" si="8"/>
        <v>4.8895613521959383E-2</v>
      </c>
      <c r="AC66" s="203">
        <f t="shared" si="8"/>
        <v>5.0532178081780892E-2</v>
      </c>
      <c r="AD66" s="203">
        <f t="shared" si="8"/>
        <v>7.0482829753659909E-2</v>
      </c>
      <c r="AE66" s="203">
        <f t="shared" si="8"/>
        <v>8.2784882547289329E-2</v>
      </c>
      <c r="AF66" s="203">
        <f t="shared" si="8"/>
        <v>9.9297123849054023E-2</v>
      </c>
      <c r="AG66" s="203">
        <f t="shared" si="8"/>
        <v>0.1003394429207677</v>
      </c>
      <c r="AH66" s="203">
        <f t="shared" si="8"/>
        <v>0.1539408367820177</v>
      </c>
    </row>
    <row r="69" spans="1:34">
      <c r="E69" s="197" t="s">
        <v>1144</v>
      </c>
    </row>
    <row r="70" spans="1:34">
      <c r="E70" s="197" t="s">
        <v>1054</v>
      </c>
      <c r="F70" s="198"/>
      <c r="G70" s="198"/>
      <c r="H70" s="198"/>
      <c r="I70" s="198"/>
      <c r="J70" s="198"/>
      <c r="K70" s="198"/>
      <c r="L70" s="198"/>
      <c r="M70" s="198"/>
      <c r="N70" s="198"/>
      <c r="O70" s="198"/>
      <c r="P70" s="198"/>
      <c r="Q70" s="198"/>
      <c r="X70" s="198"/>
      <c r="Y70" s="198"/>
      <c r="Z70" s="198"/>
    </row>
    <row r="71" spans="1:34">
      <c r="A71" s="199" t="s">
        <v>1145</v>
      </c>
      <c r="B71" s="197" t="s">
        <v>1055</v>
      </c>
      <c r="C71" s="197" t="s">
        <v>1056</v>
      </c>
      <c r="D71" s="197" t="s">
        <v>781</v>
      </c>
      <c r="E71" s="197" t="s">
        <v>62</v>
      </c>
      <c r="F71" s="197" t="s">
        <v>1057</v>
      </c>
      <c r="G71" s="200"/>
      <c r="H71" s="200"/>
      <c r="I71" s="200"/>
      <c r="J71" s="200"/>
      <c r="K71" s="200"/>
      <c r="L71" s="200"/>
      <c r="M71" s="200"/>
      <c r="N71" s="200"/>
      <c r="O71" s="200"/>
      <c r="P71" s="200"/>
      <c r="Q71" s="200"/>
      <c r="R71" s="200"/>
      <c r="S71" s="200"/>
      <c r="T71" s="200"/>
      <c r="U71" s="199" t="s">
        <v>3</v>
      </c>
      <c r="V71" s="199"/>
      <c r="W71" s="199"/>
      <c r="X71" s="200"/>
      <c r="Y71" s="200"/>
      <c r="Z71" s="200"/>
      <c r="AA71" s="200"/>
      <c r="AB71" s="200"/>
      <c r="AC71" s="200"/>
      <c r="AD71" s="200"/>
      <c r="AE71" s="200"/>
      <c r="AF71" s="200"/>
      <c r="AG71" s="200"/>
      <c r="AH71" s="200"/>
    </row>
    <row r="72" spans="1:34">
      <c r="A72" s="200"/>
      <c r="B72" s="201"/>
      <c r="C72" s="200"/>
      <c r="D72" s="200"/>
      <c r="E72" s="197"/>
      <c r="F72" s="197"/>
      <c r="G72" s="200"/>
      <c r="H72" s="200"/>
      <c r="I72" s="200"/>
      <c r="J72" s="200"/>
      <c r="K72" s="200"/>
      <c r="L72" s="200"/>
      <c r="M72" s="200"/>
      <c r="N72" s="200"/>
      <c r="O72" s="200"/>
      <c r="P72" s="200"/>
      <c r="Q72" s="200"/>
      <c r="R72" s="200"/>
      <c r="S72" s="200"/>
      <c r="T72" s="200"/>
      <c r="U72" s="200"/>
      <c r="V72" s="200"/>
      <c r="W72" s="200"/>
      <c r="X72" s="200"/>
      <c r="Y72" s="200"/>
      <c r="Z72" s="200"/>
      <c r="AA72" s="200"/>
      <c r="AB72" s="200"/>
      <c r="AC72" s="200"/>
      <c r="AD72" s="200"/>
      <c r="AE72" s="200"/>
      <c r="AF72" s="200"/>
      <c r="AG72" s="200"/>
      <c r="AH72" s="200"/>
    </row>
    <row r="73" spans="1:34">
      <c r="A73" s="200"/>
      <c r="B73" s="201"/>
      <c r="C73" s="200"/>
      <c r="D73" s="200"/>
      <c r="E73" s="197"/>
      <c r="F73" s="197"/>
      <c r="G73" s="200"/>
      <c r="H73" s="200"/>
      <c r="I73" s="200"/>
      <c r="J73" s="200"/>
      <c r="K73" s="200"/>
      <c r="L73" s="200"/>
      <c r="M73" s="200"/>
      <c r="N73" s="200"/>
      <c r="O73" s="200"/>
      <c r="P73" s="200"/>
      <c r="Q73" s="200"/>
      <c r="R73" s="200"/>
      <c r="S73" s="200"/>
      <c r="T73" s="200"/>
      <c r="U73" s="200"/>
      <c r="V73" s="200"/>
      <c r="W73" s="200"/>
      <c r="X73" s="200"/>
      <c r="Y73" s="200"/>
      <c r="Z73" s="200"/>
      <c r="AA73" s="200"/>
      <c r="AB73" s="200"/>
      <c r="AC73" s="200"/>
      <c r="AD73" s="200"/>
      <c r="AE73" s="200"/>
      <c r="AF73" s="200"/>
      <c r="AG73" s="200"/>
      <c r="AH73" s="200"/>
    </row>
    <row r="74" spans="1:34">
      <c r="A74" s="200"/>
      <c r="B74" s="201"/>
      <c r="C74" s="200"/>
      <c r="D74" s="200"/>
      <c r="E74" s="197"/>
      <c r="F74" s="197"/>
      <c r="G74" s="199" t="s">
        <v>871</v>
      </c>
      <c r="H74" s="199" t="s">
        <v>872</v>
      </c>
      <c r="I74" s="199" t="s">
        <v>1058</v>
      </c>
      <c r="J74" s="199" t="s">
        <v>874</v>
      </c>
      <c r="K74" s="199" t="s">
        <v>875</v>
      </c>
      <c r="L74" s="199" t="s">
        <v>876</v>
      </c>
      <c r="M74" s="199" t="s">
        <v>877</v>
      </c>
      <c r="N74" s="199" t="s">
        <v>878</v>
      </c>
      <c r="O74" s="199" t="s">
        <v>879</v>
      </c>
      <c r="P74" s="199" t="s">
        <v>880</v>
      </c>
      <c r="Q74" s="199" t="s">
        <v>881</v>
      </c>
      <c r="R74" s="199" t="s">
        <v>882</v>
      </c>
      <c r="S74" s="199" t="s">
        <v>1059</v>
      </c>
      <c r="T74" s="199" t="s">
        <v>884</v>
      </c>
      <c r="U74" s="199" t="s">
        <v>885</v>
      </c>
      <c r="V74" s="199" t="s">
        <v>886</v>
      </c>
      <c r="W74" s="199" t="s">
        <v>887</v>
      </c>
      <c r="X74" s="199" t="s">
        <v>888</v>
      </c>
      <c r="Y74" s="199" t="s">
        <v>889</v>
      </c>
      <c r="Z74" s="199" t="s">
        <v>890</v>
      </c>
      <c r="AA74" s="199" t="s">
        <v>891</v>
      </c>
      <c r="AB74" s="199" t="s">
        <v>892</v>
      </c>
      <c r="AC74" s="199" t="s">
        <v>1062</v>
      </c>
      <c r="AD74" s="199" t="s">
        <v>894</v>
      </c>
      <c r="AE74" s="199" t="s">
        <v>895</v>
      </c>
      <c r="AF74" s="199" t="s">
        <v>896</v>
      </c>
      <c r="AG74" s="199" t="s">
        <v>897</v>
      </c>
      <c r="AH74" s="199" t="s">
        <v>898</v>
      </c>
    </row>
    <row r="75" spans="1:34">
      <c r="A75" s="200"/>
      <c r="B75" s="201" t="s">
        <v>1063</v>
      </c>
      <c r="C75" s="201"/>
      <c r="D75" s="200" t="s">
        <v>1064</v>
      </c>
      <c r="E75" s="202" t="s">
        <v>63</v>
      </c>
      <c r="F75" s="200"/>
      <c r="G75" s="203">
        <f>SQRT((G76^2+G77^2+G78^2+G79^2+G80^2+G81^2+G82^2+G83^2+G84^2+G85^2))</f>
        <v>1.1020649880816363E-2</v>
      </c>
      <c r="H75" s="202">
        <f t="shared" ref="H75:AH75" si="9">SQRT((H76^2+H77^2+H78^2+H79^2+H80^2+H81^2+H82^2+H83^2+H84^2+H85^2))</f>
        <v>1.102056876296199E-2</v>
      </c>
      <c r="I75" s="202">
        <f t="shared" si="9"/>
        <v>1.0975642295352819E-2</v>
      </c>
      <c r="J75" s="202">
        <f t="shared" si="9"/>
        <v>1.0975642295352819E-2</v>
      </c>
      <c r="K75" s="202">
        <f t="shared" si="9"/>
        <v>1.0975642295352819E-2</v>
      </c>
      <c r="L75" s="202">
        <f t="shared" si="9"/>
        <v>1.0931364223898942E-2</v>
      </c>
      <c r="M75" s="202">
        <f t="shared" si="9"/>
        <v>1.0931364223898942E-2</v>
      </c>
      <c r="N75" s="202">
        <f t="shared" si="9"/>
        <v>1.0931364223898942E-2</v>
      </c>
      <c r="O75" s="202">
        <f t="shared" si="9"/>
        <v>1.0845032217358217E-2</v>
      </c>
      <c r="P75" s="202">
        <f t="shared" si="9"/>
        <v>1.0845032217358217E-2</v>
      </c>
      <c r="Q75" s="202">
        <f t="shared" si="9"/>
        <v>1.0845032217358217E-2</v>
      </c>
      <c r="R75" s="202">
        <f t="shared" si="9"/>
        <v>1.0761724945172021E-2</v>
      </c>
      <c r="S75" s="202">
        <f t="shared" si="9"/>
        <v>1.0761724945172021E-2</v>
      </c>
      <c r="T75" s="202">
        <f t="shared" si="9"/>
        <v>1.0761724945172021E-2</v>
      </c>
      <c r="U75" s="203">
        <f t="shared" si="9"/>
        <v>1.080299605644368E-2</v>
      </c>
      <c r="V75" s="203">
        <f t="shared" si="9"/>
        <v>1.080299605644368E-2</v>
      </c>
      <c r="W75" s="203">
        <f t="shared" si="9"/>
        <v>1.080299605644368E-2</v>
      </c>
      <c r="X75" s="202">
        <f t="shared" si="9"/>
        <v>1.0845032217358217E-2</v>
      </c>
      <c r="Y75" s="202">
        <f t="shared" si="9"/>
        <v>1.0845032217358217E-2</v>
      </c>
      <c r="Z75" s="202">
        <f t="shared" si="9"/>
        <v>1.0845032217358217E-2</v>
      </c>
      <c r="AA75" s="202">
        <f t="shared" si="9"/>
        <v>1.0887824566713854E-2</v>
      </c>
      <c r="AB75" s="202">
        <f t="shared" si="9"/>
        <v>1.0887824566713854E-2</v>
      </c>
      <c r="AC75" s="202">
        <f t="shared" si="9"/>
        <v>1.0887824566713854E-2</v>
      </c>
      <c r="AD75" s="202">
        <f t="shared" si="9"/>
        <v>1.0931364223898942E-2</v>
      </c>
      <c r="AE75" s="202">
        <f t="shared" si="9"/>
        <v>1.0931364223898942E-2</v>
      </c>
      <c r="AF75" s="203">
        <f t="shared" si="9"/>
        <v>1.0975642295352819E-2</v>
      </c>
      <c r="AG75" s="203">
        <f t="shared" si="9"/>
        <v>1.1020649880816363E-2</v>
      </c>
      <c r="AH75" s="203">
        <f t="shared" si="9"/>
        <v>1.1020649880816363E-2</v>
      </c>
    </row>
    <row r="76" spans="1:34">
      <c r="A76" s="204">
        <v>1</v>
      </c>
      <c r="B76" s="205" t="s">
        <v>1065</v>
      </c>
      <c r="C76" s="206" t="s">
        <v>1066</v>
      </c>
      <c r="D76" s="206">
        <v>1</v>
      </c>
      <c r="E76" s="206" t="s">
        <v>1067</v>
      </c>
      <c r="F76" s="207" t="s">
        <v>1068</v>
      </c>
      <c r="G76" s="211">
        <v>5.0000000000000001E-3</v>
      </c>
      <c r="H76" s="211">
        <v>5.0000000000000001E-3</v>
      </c>
      <c r="I76" s="211">
        <v>4.8999999999999998E-3</v>
      </c>
      <c r="J76" s="211">
        <v>4.8999999999999998E-3</v>
      </c>
      <c r="K76" s="211">
        <v>4.8999999999999998E-3</v>
      </c>
      <c r="L76" s="211">
        <v>4.7999999999999996E-3</v>
      </c>
      <c r="M76" s="211">
        <v>4.7999999999999996E-3</v>
      </c>
      <c r="N76" s="211">
        <v>4.7999999999999996E-3</v>
      </c>
      <c r="O76" s="211">
        <v>4.5999999999999999E-3</v>
      </c>
      <c r="P76" s="211">
        <v>4.5999999999999999E-3</v>
      </c>
      <c r="Q76" s="211">
        <v>4.5999999999999999E-3</v>
      </c>
      <c r="R76" s="211">
        <v>4.4000000000000003E-3</v>
      </c>
      <c r="S76" s="211">
        <v>4.4000000000000003E-3</v>
      </c>
      <c r="T76" s="211">
        <v>4.4000000000000003E-3</v>
      </c>
      <c r="U76" s="211">
        <v>4.4999999999999997E-3</v>
      </c>
      <c r="V76" s="211">
        <v>4.4999999999999997E-3</v>
      </c>
      <c r="W76" s="211">
        <v>4.4999999999999997E-3</v>
      </c>
      <c r="X76" s="211">
        <v>4.5999999999999999E-3</v>
      </c>
      <c r="Y76" s="211">
        <v>4.5999999999999999E-3</v>
      </c>
      <c r="Z76" s="211">
        <v>4.5999999999999999E-3</v>
      </c>
      <c r="AA76" s="211">
        <v>4.7000000000000002E-3</v>
      </c>
      <c r="AB76" s="211">
        <v>4.7000000000000002E-3</v>
      </c>
      <c r="AC76" s="211">
        <v>4.7000000000000002E-3</v>
      </c>
      <c r="AD76" s="211">
        <v>4.7999999999999996E-3</v>
      </c>
      <c r="AE76" s="211">
        <v>4.7999999999999996E-3</v>
      </c>
      <c r="AF76" s="211">
        <v>4.8999999999999998E-3</v>
      </c>
      <c r="AG76" s="211">
        <v>5.0000000000000001E-3</v>
      </c>
      <c r="AH76" s="211">
        <v>5.0000000000000001E-3</v>
      </c>
    </row>
    <row r="77" spans="1:34">
      <c r="A77" s="204">
        <v>2</v>
      </c>
      <c r="B77" s="205" t="s">
        <v>1069</v>
      </c>
      <c r="C77" s="206" t="s">
        <v>1070</v>
      </c>
      <c r="D77" s="206">
        <v>1</v>
      </c>
      <c r="E77" s="206" t="s">
        <v>1071</v>
      </c>
      <c r="F77" s="207" t="s">
        <v>1072</v>
      </c>
      <c r="G77" s="211">
        <v>7.1000000000000004E-3</v>
      </c>
      <c r="H77" s="211">
        <v>7.1000000000000004E-3</v>
      </c>
      <c r="I77" s="211">
        <v>7.1000000000000004E-3</v>
      </c>
      <c r="J77" s="211">
        <v>7.1000000000000004E-3</v>
      </c>
      <c r="K77" s="211">
        <v>7.1000000000000004E-3</v>
      </c>
      <c r="L77" s="211">
        <v>7.1000000000000004E-3</v>
      </c>
      <c r="M77" s="211">
        <v>7.1000000000000004E-3</v>
      </c>
      <c r="N77" s="211">
        <v>7.1000000000000004E-3</v>
      </c>
      <c r="O77" s="211">
        <v>7.1000000000000004E-3</v>
      </c>
      <c r="P77" s="211">
        <v>7.1000000000000004E-3</v>
      </c>
      <c r="Q77" s="211">
        <v>7.1000000000000004E-3</v>
      </c>
      <c r="R77" s="211">
        <v>7.1000000000000004E-3</v>
      </c>
      <c r="S77" s="211">
        <v>7.1000000000000004E-3</v>
      </c>
      <c r="T77" s="211">
        <v>7.1000000000000004E-3</v>
      </c>
      <c r="U77" s="211">
        <v>7.1000000000000004E-3</v>
      </c>
      <c r="V77" s="211">
        <v>7.1000000000000004E-3</v>
      </c>
      <c r="W77" s="211">
        <v>7.1000000000000004E-3</v>
      </c>
      <c r="X77" s="211">
        <v>7.1000000000000004E-3</v>
      </c>
      <c r="Y77" s="211">
        <v>7.1000000000000004E-3</v>
      </c>
      <c r="Z77" s="211">
        <v>7.1000000000000004E-3</v>
      </c>
      <c r="AA77" s="211">
        <v>7.1000000000000004E-3</v>
      </c>
      <c r="AB77" s="211">
        <v>7.1000000000000004E-3</v>
      </c>
      <c r="AC77" s="211">
        <v>7.1000000000000004E-3</v>
      </c>
      <c r="AD77" s="211">
        <v>7.1000000000000004E-3</v>
      </c>
      <c r="AE77" s="211">
        <v>7.1000000000000004E-3</v>
      </c>
      <c r="AF77" s="211">
        <v>7.1000000000000004E-3</v>
      </c>
      <c r="AG77" s="211">
        <v>7.1000000000000004E-3</v>
      </c>
      <c r="AH77" s="211">
        <v>7.1000000000000004E-3</v>
      </c>
    </row>
    <row r="78" spans="1:34">
      <c r="A78" s="204">
        <v>3</v>
      </c>
      <c r="B78" s="205" t="s">
        <v>1073</v>
      </c>
      <c r="C78" s="206"/>
      <c r="D78" s="206">
        <v>1</v>
      </c>
      <c r="E78" s="206" t="s">
        <v>1071</v>
      </c>
      <c r="F78" s="207"/>
      <c r="G78" s="211">
        <v>2.1709297223018436E-3</v>
      </c>
      <c r="H78" s="211">
        <v>2.1709297223018436E-3</v>
      </c>
      <c r="I78" s="211">
        <v>2.1709297223018436E-3</v>
      </c>
      <c r="J78" s="211">
        <v>2.1709297223018436E-3</v>
      </c>
      <c r="K78" s="211">
        <v>2.1709297223018436E-3</v>
      </c>
      <c r="L78" s="211">
        <v>2.1709297223018436E-3</v>
      </c>
      <c r="M78" s="211">
        <v>2.1709297223018436E-3</v>
      </c>
      <c r="N78" s="211">
        <v>2.1709297223018436E-3</v>
      </c>
      <c r="O78" s="211">
        <v>2.1709297223018436E-3</v>
      </c>
      <c r="P78" s="211">
        <v>2.1709297223018436E-3</v>
      </c>
      <c r="Q78" s="211">
        <v>2.1709297223018436E-3</v>
      </c>
      <c r="R78" s="211">
        <v>2.1709297223018436E-3</v>
      </c>
      <c r="S78" s="211">
        <v>2.1709297223018436E-3</v>
      </c>
      <c r="T78" s="211">
        <v>2.1709297223018436E-3</v>
      </c>
      <c r="U78" s="211">
        <v>2.1709297223018436E-3</v>
      </c>
      <c r="V78" s="211">
        <v>2.1709297223018436E-3</v>
      </c>
      <c r="W78" s="211">
        <v>2.1709297223018436E-3</v>
      </c>
      <c r="X78" s="211">
        <v>2.1709297223018436E-3</v>
      </c>
      <c r="Y78" s="211">
        <v>2.1709297223018436E-3</v>
      </c>
      <c r="Z78" s="211">
        <v>2.1709297223018436E-3</v>
      </c>
      <c r="AA78" s="211">
        <v>2.1709297223018436E-3</v>
      </c>
      <c r="AB78" s="211">
        <v>2.1709297223018436E-3</v>
      </c>
      <c r="AC78" s="211">
        <v>2.1709297223018436E-3</v>
      </c>
      <c r="AD78" s="211">
        <v>2.1709297223018436E-3</v>
      </c>
      <c r="AE78" s="211">
        <v>2.1709297223018436E-3</v>
      </c>
      <c r="AF78" s="211">
        <v>2.1709297223018436E-3</v>
      </c>
      <c r="AG78" s="211">
        <v>2.1709297223018436E-3</v>
      </c>
      <c r="AH78" s="211">
        <v>2.1709297223018436E-3</v>
      </c>
    </row>
    <row r="79" spans="1:34">
      <c r="A79" s="204">
        <v>4</v>
      </c>
      <c r="B79" s="205" t="s">
        <v>1074</v>
      </c>
      <c r="C79" s="206"/>
      <c r="D79" s="206">
        <v>1</v>
      </c>
      <c r="E79" s="206" t="s">
        <v>1071</v>
      </c>
      <c r="F79" s="207"/>
      <c r="G79" s="211">
        <v>1.0857226332792306E-4</v>
      </c>
      <c r="H79" s="211">
        <v>1E-4</v>
      </c>
      <c r="I79" s="211">
        <v>1.0857226332792306E-4</v>
      </c>
      <c r="J79" s="211">
        <v>1.0857226332792306E-4</v>
      </c>
      <c r="K79" s="211">
        <v>1.0857226332792306E-4</v>
      </c>
      <c r="L79" s="211">
        <v>1.0857226332792306E-4</v>
      </c>
      <c r="M79" s="211">
        <v>1.0857226332792306E-4</v>
      </c>
      <c r="N79" s="211">
        <v>1.0857226332792306E-4</v>
      </c>
      <c r="O79" s="211">
        <v>1.0857226332792306E-4</v>
      </c>
      <c r="P79" s="211">
        <v>1.0857226332792306E-4</v>
      </c>
      <c r="Q79" s="211">
        <v>1.0857226332792306E-4</v>
      </c>
      <c r="R79" s="211">
        <v>1.0857226332792306E-4</v>
      </c>
      <c r="S79" s="211">
        <v>1.0857226332792306E-4</v>
      </c>
      <c r="T79" s="211">
        <v>1.0857226332792306E-4</v>
      </c>
      <c r="U79" s="211">
        <v>1.0857226332792306E-4</v>
      </c>
      <c r="V79" s="211">
        <v>1.0857226332792306E-4</v>
      </c>
      <c r="W79" s="211">
        <v>1.0857226332792306E-4</v>
      </c>
      <c r="X79" s="211">
        <v>1.0857226332792306E-4</v>
      </c>
      <c r="Y79" s="211">
        <v>1.0857226332792306E-4</v>
      </c>
      <c r="Z79" s="211">
        <v>1.0857226332792306E-4</v>
      </c>
      <c r="AA79" s="211">
        <v>1.0857226332792306E-4</v>
      </c>
      <c r="AB79" s="211">
        <v>1.0857226332792306E-4</v>
      </c>
      <c r="AC79" s="211">
        <v>1.0857226332792306E-4</v>
      </c>
      <c r="AD79" s="211">
        <v>1.0857226332792306E-4</v>
      </c>
      <c r="AE79" s="211">
        <v>1.0857226332792306E-4</v>
      </c>
      <c r="AF79" s="211">
        <v>1.0857226332792306E-4</v>
      </c>
      <c r="AG79" s="211">
        <v>1.0857226332792306E-4</v>
      </c>
      <c r="AH79" s="211">
        <v>1.0857226332792306E-4</v>
      </c>
    </row>
    <row r="80" spans="1:34">
      <c r="A80" s="204">
        <v>5</v>
      </c>
      <c r="B80" s="205" t="s">
        <v>1075</v>
      </c>
      <c r="C80" s="206"/>
      <c r="D80" s="206">
        <v>1</v>
      </c>
      <c r="E80" s="206" t="s">
        <v>1071</v>
      </c>
      <c r="F80" s="207"/>
      <c r="G80" s="211">
        <v>2.0000000000000001E-4</v>
      </c>
      <c r="H80" s="211">
        <v>2.0000000000000001E-4</v>
      </c>
      <c r="I80" s="211">
        <v>2.0000000000000001E-4</v>
      </c>
      <c r="J80" s="211">
        <v>2.0000000000000001E-4</v>
      </c>
      <c r="K80" s="211">
        <v>2.0000000000000001E-4</v>
      </c>
      <c r="L80" s="211">
        <v>2.0000000000000001E-4</v>
      </c>
      <c r="M80" s="211">
        <v>2.0000000000000001E-4</v>
      </c>
      <c r="N80" s="211">
        <v>2.0000000000000001E-4</v>
      </c>
      <c r="O80" s="211">
        <v>2.0000000000000001E-4</v>
      </c>
      <c r="P80" s="211">
        <v>2.0000000000000001E-4</v>
      </c>
      <c r="Q80" s="211">
        <v>2.0000000000000001E-4</v>
      </c>
      <c r="R80" s="211">
        <v>2.0000000000000001E-4</v>
      </c>
      <c r="S80" s="211">
        <v>2.0000000000000001E-4</v>
      </c>
      <c r="T80" s="211">
        <v>2.0000000000000001E-4</v>
      </c>
      <c r="U80" s="211">
        <v>2.0000000000000001E-4</v>
      </c>
      <c r="V80" s="211">
        <v>2.0000000000000001E-4</v>
      </c>
      <c r="W80" s="211">
        <v>2.0000000000000001E-4</v>
      </c>
      <c r="X80" s="211">
        <v>2.0000000000000001E-4</v>
      </c>
      <c r="Y80" s="211">
        <v>2.0000000000000001E-4</v>
      </c>
      <c r="Z80" s="211">
        <v>2.0000000000000001E-4</v>
      </c>
      <c r="AA80" s="211">
        <v>2.0000000000000001E-4</v>
      </c>
      <c r="AB80" s="211">
        <v>2.0000000000000001E-4</v>
      </c>
      <c r="AC80" s="211">
        <v>2.0000000000000001E-4</v>
      </c>
      <c r="AD80" s="211">
        <v>2.0000000000000001E-4</v>
      </c>
      <c r="AE80" s="211">
        <v>2.0000000000000001E-4</v>
      </c>
      <c r="AF80" s="211">
        <v>2.0000000000000001E-4</v>
      </c>
      <c r="AG80" s="211">
        <v>2.0000000000000001E-4</v>
      </c>
      <c r="AH80" s="211">
        <v>2.0000000000000001E-4</v>
      </c>
    </row>
    <row r="81" spans="1:34">
      <c r="A81" s="204">
        <v>6</v>
      </c>
      <c r="B81" s="205" t="s">
        <v>44</v>
      </c>
      <c r="C81" s="206" t="s">
        <v>1076</v>
      </c>
      <c r="D81" s="206">
        <v>1</v>
      </c>
      <c r="E81" s="206" t="s">
        <v>69</v>
      </c>
      <c r="F81" s="207"/>
      <c r="G81" s="211">
        <v>0</v>
      </c>
      <c r="H81" s="211">
        <v>0</v>
      </c>
      <c r="I81" s="211">
        <v>0</v>
      </c>
      <c r="J81" s="211">
        <v>0</v>
      </c>
      <c r="K81" s="211">
        <v>0</v>
      </c>
      <c r="L81" s="211">
        <v>0</v>
      </c>
      <c r="M81" s="211">
        <v>0</v>
      </c>
      <c r="N81" s="211">
        <v>0</v>
      </c>
      <c r="O81" s="211">
        <v>0</v>
      </c>
      <c r="P81" s="211">
        <v>0</v>
      </c>
      <c r="Q81" s="211">
        <v>0</v>
      </c>
      <c r="R81" s="211">
        <v>0</v>
      </c>
      <c r="S81" s="211">
        <v>0</v>
      </c>
      <c r="T81" s="211">
        <v>0</v>
      </c>
      <c r="U81" s="211">
        <v>0</v>
      </c>
      <c r="V81" s="211">
        <v>0</v>
      </c>
      <c r="W81" s="211">
        <v>0</v>
      </c>
      <c r="X81" s="211">
        <v>0</v>
      </c>
      <c r="Y81" s="211">
        <v>0</v>
      </c>
      <c r="Z81" s="211">
        <v>0</v>
      </c>
      <c r="AA81" s="211">
        <v>0</v>
      </c>
      <c r="AB81" s="211">
        <v>0</v>
      </c>
      <c r="AC81" s="211">
        <v>0</v>
      </c>
      <c r="AD81" s="211">
        <v>0</v>
      </c>
      <c r="AE81" s="211">
        <v>0</v>
      </c>
      <c r="AF81" s="211">
        <v>0</v>
      </c>
      <c r="AG81" s="211">
        <v>0</v>
      </c>
      <c r="AH81" s="211">
        <v>0</v>
      </c>
    </row>
    <row r="82" spans="1:34">
      <c r="A82" s="204">
        <v>7</v>
      </c>
      <c r="B82" s="205" t="s">
        <v>1077</v>
      </c>
      <c r="C82" s="206"/>
      <c r="D82" s="206">
        <v>1</v>
      </c>
      <c r="E82" s="206" t="s">
        <v>1071</v>
      </c>
      <c r="F82" s="207" t="s">
        <v>1078</v>
      </c>
      <c r="G82" s="211">
        <v>6.0000000000000001E-3</v>
      </c>
      <c r="H82" s="211">
        <v>6.0000000000000001E-3</v>
      </c>
      <c r="I82" s="211">
        <v>6.0000000000000001E-3</v>
      </c>
      <c r="J82" s="211">
        <v>6.0000000000000001E-3</v>
      </c>
      <c r="K82" s="211">
        <v>6.0000000000000001E-3</v>
      </c>
      <c r="L82" s="211">
        <v>6.0000000000000001E-3</v>
      </c>
      <c r="M82" s="211">
        <v>6.0000000000000001E-3</v>
      </c>
      <c r="N82" s="211">
        <v>6.0000000000000001E-3</v>
      </c>
      <c r="O82" s="211">
        <v>6.0000000000000001E-3</v>
      </c>
      <c r="P82" s="211">
        <v>6.0000000000000001E-3</v>
      </c>
      <c r="Q82" s="211">
        <v>6.0000000000000001E-3</v>
      </c>
      <c r="R82" s="211">
        <v>6.0000000000000001E-3</v>
      </c>
      <c r="S82" s="211">
        <v>6.0000000000000001E-3</v>
      </c>
      <c r="T82" s="211">
        <v>6.0000000000000001E-3</v>
      </c>
      <c r="U82" s="211">
        <v>6.0000000000000001E-3</v>
      </c>
      <c r="V82" s="211">
        <v>6.0000000000000001E-3</v>
      </c>
      <c r="W82" s="211">
        <v>6.0000000000000001E-3</v>
      </c>
      <c r="X82" s="211">
        <v>6.0000000000000001E-3</v>
      </c>
      <c r="Y82" s="211">
        <v>6.0000000000000001E-3</v>
      </c>
      <c r="Z82" s="211">
        <v>6.0000000000000001E-3</v>
      </c>
      <c r="AA82" s="211">
        <v>6.0000000000000001E-3</v>
      </c>
      <c r="AB82" s="211">
        <v>6.0000000000000001E-3</v>
      </c>
      <c r="AC82" s="211">
        <v>6.0000000000000001E-3</v>
      </c>
      <c r="AD82" s="211">
        <v>6.0000000000000001E-3</v>
      </c>
      <c r="AE82" s="211">
        <v>6.0000000000000001E-3</v>
      </c>
      <c r="AF82" s="211">
        <v>6.0000000000000001E-3</v>
      </c>
      <c r="AG82" s="211">
        <v>6.0000000000000001E-3</v>
      </c>
      <c r="AH82" s="211">
        <v>6.0000000000000001E-3</v>
      </c>
    </row>
    <row r="83" spans="1:34">
      <c r="A83" s="204">
        <v>8</v>
      </c>
      <c r="B83" s="205" t="s">
        <v>1079</v>
      </c>
      <c r="C83" s="206"/>
      <c r="D83" s="206">
        <v>0.15</v>
      </c>
      <c r="E83" s="206" t="s">
        <v>760</v>
      </c>
      <c r="F83" s="207" t="s">
        <v>1078</v>
      </c>
      <c r="G83" s="211">
        <v>1.6000000000000001E-3</v>
      </c>
      <c r="H83" s="211">
        <v>1.6000000000000001E-3</v>
      </c>
      <c r="I83" s="211">
        <v>1.6000000000000001E-3</v>
      </c>
      <c r="J83" s="211">
        <v>1.6000000000000001E-3</v>
      </c>
      <c r="K83" s="211">
        <v>1.6000000000000001E-3</v>
      </c>
      <c r="L83" s="211">
        <v>1.6000000000000001E-3</v>
      </c>
      <c r="M83" s="211">
        <v>1.6000000000000001E-3</v>
      </c>
      <c r="N83" s="211">
        <v>1.6000000000000001E-3</v>
      </c>
      <c r="O83" s="211">
        <v>1.6000000000000001E-3</v>
      </c>
      <c r="P83" s="211">
        <v>1.6000000000000001E-3</v>
      </c>
      <c r="Q83" s="211">
        <v>1.6000000000000001E-3</v>
      </c>
      <c r="R83" s="211">
        <v>1.6000000000000001E-3</v>
      </c>
      <c r="S83" s="211">
        <v>1.6000000000000001E-3</v>
      </c>
      <c r="T83" s="211">
        <v>1.6000000000000001E-3</v>
      </c>
      <c r="U83" s="211">
        <v>1.6000000000000001E-3</v>
      </c>
      <c r="V83" s="211">
        <v>1.6000000000000001E-3</v>
      </c>
      <c r="W83" s="211">
        <v>1.6000000000000001E-3</v>
      </c>
      <c r="X83" s="211">
        <v>1.6000000000000001E-3</v>
      </c>
      <c r="Y83" s="211">
        <v>1.6000000000000001E-3</v>
      </c>
      <c r="Z83" s="211">
        <v>1.6000000000000001E-3</v>
      </c>
      <c r="AA83" s="211">
        <v>1.6000000000000001E-3</v>
      </c>
      <c r="AB83" s="211">
        <v>1.6000000000000001E-3</v>
      </c>
      <c r="AC83" s="211">
        <v>1.6000000000000001E-3</v>
      </c>
      <c r="AD83" s="211">
        <v>1.6000000000000001E-3</v>
      </c>
      <c r="AE83" s="211">
        <v>1.6000000000000001E-3</v>
      </c>
      <c r="AF83" s="211">
        <v>1.6000000000000001E-3</v>
      </c>
      <c r="AG83" s="211">
        <v>1.6000000000000001E-3</v>
      </c>
      <c r="AH83" s="211">
        <v>1.6000000000000001E-3</v>
      </c>
    </row>
    <row r="84" spans="1:34">
      <c r="A84" s="204">
        <v>9</v>
      </c>
      <c r="B84" s="205" t="s">
        <v>1080</v>
      </c>
      <c r="C84" s="206"/>
      <c r="D84" s="206">
        <v>1</v>
      </c>
      <c r="E84" s="206" t="s">
        <v>1071</v>
      </c>
      <c r="F84" s="207" t="s">
        <v>1078</v>
      </c>
      <c r="G84" s="211">
        <v>4.0000000000000002E-4</v>
      </c>
      <c r="H84" s="211">
        <v>4.0000000000000002E-4</v>
      </c>
      <c r="I84" s="211">
        <v>4.0000000000000002E-4</v>
      </c>
      <c r="J84" s="211">
        <v>4.0000000000000002E-4</v>
      </c>
      <c r="K84" s="211">
        <v>4.0000000000000002E-4</v>
      </c>
      <c r="L84" s="211">
        <v>4.0000000000000002E-4</v>
      </c>
      <c r="M84" s="211">
        <v>4.0000000000000002E-4</v>
      </c>
      <c r="N84" s="211">
        <v>4.0000000000000002E-4</v>
      </c>
      <c r="O84" s="211">
        <v>4.0000000000000002E-4</v>
      </c>
      <c r="P84" s="211">
        <v>4.0000000000000002E-4</v>
      </c>
      <c r="Q84" s="211">
        <v>4.0000000000000002E-4</v>
      </c>
      <c r="R84" s="211">
        <v>4.0000000000000002E-4</v>
      </c>
      <c r="S84" s="211">
        <v>4.0000000000000002E-4</v>
      </c>
      <c r="T84" s="211">
        <v>4.0000000000000002E-4</v>
      </c>
      <c r="U84" s="211">
        <v>4.0000000000000002E-4</v>
      </c>
      <c r="V84" s="211">
        <v>4.0000000000000002E-4</v>
      </c>
      <c r="W84" s="211">
        <v>4.0000000000000002E-4</v>
      </c>
      <c r="X84" s="211">
        <v>4.0000000000000002E-4</v>
      </c>
      <c r="Y84" s="211">
        <v>4.0000000000000002E-4</v>
      </c>
      <c r="Z84" s="211">
        <v>4.0000000000000002E-4</v>
      </c>
      <c r="AA84" s="211">
        <v>4.0000000000000002E-4</v>
      </c>
      <c r="AB84" s="211">
        <v>4.0000000000000002E-4</v>
      </c>
      <c r="AC84" s="211">
        <v>4.0000000000000002E-4</v>
      </c>
      <c r="AD84" s="211">
        <v>4.0000000000000002E-4</v>
      </c>
      <c r="AE84" s="211">
        <v>4.0000000000000002E-4</v>
      </c>
      <c r="AF84" s="211">
        <v>4.0000000000000002E-4</v>
      </c>
      <c r="AG84" s="211">
        <v>4.0000000000000002E-4</v>
      </c>
      <c r="AH84" s="211">
        <v>4.0000000000000002E-4</v>
      </c>
    </row>
    <row r="85" spans="1:34">
      <c r="A85" s="204">
        <v>10</v>
      </c>
      <c r="B85" s="205" t="s">
        <v>1081</v>
      </c>
      <c r="C85" s="206"/>
      <c r="D85" s="206">
        <v>0.15</v>
      </c>
      <c r="E85" s="206" t="s">
        <v>760</v>
      </c>
      <c r="F85" s="207" t="s">
        <v>1078</v>
      </c>
      <c r="G85" s="211">
        <v>1.6000000000000001E-3</v>
      </c>
      <c r="H85" s="211">
        <v>1.6000000000000001E-3</v>
      </c>
      <c r="I85" s="211">
        <v>1.6000000000000001E-3</v>
      </c>
      <c r="J85" s="211">
        <v>1.6000000000000001E-3</v>
      </c>
      <c r="K85" s="211">
        <v>1.6000000000000001E-3</v>
      </c>
      <c r="L85" s="211">
        <v>1.6000000000000001E-3</v>
      </c>
      <c r="M85" s="211">
        <v>1.6000000000000001E-3</v>
      </c>
      <c r="N85" s="211">
        <v>1.6000000000000001E-3</v>
      </c>
      <c r="O85" s="211">
        <v>1.6000000000000001E-3</v>
      </c>
      <c r="P85" s="211">
        <v>1.6000000000000001E-3</v>
      </c>
      <c r="Q85" s="211">
        <v>1.6000000000000001E-3</v>
      </c>
      <c r="R85" s="211">
        <v>1.6000000000000001E-3</v>
      </c>
      <c r="S85" s="211">
        <v>1.6000000000000001E-3</v>
      </c>
      <c r="T85" s="211">
        <v>1.6000000000000001E-3</v>
      </c>
      <c r="U85" s="211">
        <v>1.6000000000000001E-3</v>
      </c>
      <c r="V85" s="211">
        <v>1.6000000000000001E-3</v>
      </c>
      <c r="W85" s="211">
        <v>1.6000000000000001E-3</v>
      </c>
      <c r="X85" s="211">
        <v>1.6000000000000001E-3</v>
      </c>
      <c r="Y85" s="211">
        <v>1.6000000000000001E-3</v>
      </c>
      <c r="Z85" s="211">
        <v>1.6000000000000001E-3</v>
      </c>
      <c r="AA85" s="211">
        <v>1.6000000000000001E-3</v>
      </c>
      <c r="AB85" s="211">
        <v>1.6000000000000001E-3</v>
      </c>
      <c r="AC85" s="211">
        <v>1.6000000000000001E-3</v>
      </c>
      <c r="AD85" s="211">
        <v>1.6000000000000001E-3</v>
      </c>
      <c r="AE85" s="211">
        <v>1.6000000000000001E-3</v>
      </c>
      <c r="AF85" s="211">
        <v>1.6000000000000001E-3</v>
      </c>
      <c r="AG85" s="211">
        <v>1.6000000000000001E-3</v>
      </c>
      <c r="AH85" s="211">
        <v>1.6000000000000001E-3</v>
      </c>
    </row>
    <row r="86" spans="1:34">
      <c r="A86" s="200"/>
      <c r="B86" s="201" t="s">
        <v>1082</v>
      </c>
      <c r="C86" s="202"/>
      <c r="D86" s="201"/>
      <c r="E86" s="202" t="s">
        <v>63</v>
      </c>
      <c r="F86" s="201"/>
      <c r="G86" s="203">
        <f>SQRT((G88^2+G89^2+G90^2+G92^2+G93^2+G96^2+G97^2+G98^2+G99^2))</f>
        <v>2.1163801643372109E-2</v>
      </c>
      <c r="H86" s="203">
        <f t="shared" ref="H86:Z86" si="10">SQRT((H88^2+H89^2+H90^2+H92^2+H93^2+H96^2+H97^2+H98^2+H99^2))</f>
        <v>1.9443171037667697E-2</v>
      </c>
      <c r="I86" s="203">
        <f t="shared" si="10"/>
        <v>1.8641858812897386E-2</v>
      </c>
      <c r="J86" s="203">
        <f t="shared" si="10"/>
        <v>1.8641858812897386E-2</v>
      </c>
      <c r="K86" s="203">
        <f t="shared" si="10"/>
        <v>1.8641858812897386E-2</v>
      </c>
      <c r="L86" s="203">
        <f t="shared" si="10"/>
        <v>1.8171543687865374E-2</v>
      </c>
      <c r="M86" s="203">
        <f t="shared" si="10"/>
        <v>1.8171543687865374E-2</v>
      </c>
      <c r="N86" s="203">
        <f t="shared" si="10"/>
        <v>1.8171543687865374E-2</v>
      </c>
      <c r="O86" s="203">
        <f t="shared" si="10"/>
        <v>1.8140223262132139E-2</v>
      </c>
      <c r="P86" s="203">
        <f t="shared" si="10"/>
        <v>1.8140223262132139E-2</v>
      </c>
      <c r="Q86" s="203">
        <f t="shared" si="10"/>
        <v>1.8140223262132139E-2</v>
      </c>
      <c r="R86" s="203">
        <f t="shared" si="10"/>
        <v>1.8137962950673374E-2</v>
      </c>
      <c r="S86" s="203">
        <f t="shared" si="10"/>
        <v>1.8137962950673374E-2</v>
      </c>
      <c r="T86" s="203">
        <f t="shared" si="10"/>
        <v>1.8137962950673374E-2</v>
      </c>
      <c r="U86" s="203">
        <f t="shared" si="10"/>
        <v>1.8137621122958764E-2</v>
      </c>
      <c r="V86" s="203">
        <f t="shared" si="10"/>
        <v>1.8137621122958764E-2</v>
      </c>
      <c r="W86" s="203">
        <f t="shared" si="10"/>
        <v>1.8137621122958764E-2</v>
      </c>
      <c r="X86" s="203">
        <f t="shared" si="10"/>
        <v>1.8139481800757151E-2</v>
      </c>
      <c r="Y86" s="203">
        <f t="shared" si="10"/>
        <v>1.8139481800757151E-2</v>
      </c>
      <c r="Z86" s="203">
        <f t="shared" si="10"/>
        <v>1.8139481800757151E-2</v>
      </c>
      <c r="AA86" s="203">
        <f t="shared" ref="AA86:AH86" si="11">SQRT((AA88^2+AA89^2+AA90^2+AA92^2+AA96^2+AA97^2+AA98^2+AA99^2))</f>
        <v>1.8148358052452015E-2</v>
      </c>
      <c r="AB86" s="203">
        <f t="shared" si="11"/>
        <v>1.8148358052452015E-2</v>
      </c>
      <c r="AC86" s="203">
        <f t="shared" si="11"/>
        <v>1.8148358052452015E-2</v>
      </c>
      <c r="AD86" s="203">
        <f t="shared" si="11"/>
        <v>1.8292689796746676E-2</v>
      </c>
      <c r="AE86" s="203">
        <f t="shared" si="11"/>
        <v>1.8519708421030824E-2</v>
      </c>
      <c r="AF86" s="203">
        <f t="shared" si="11"/>
        <v>1.9065476652840339E-2</v>
      </c>
      <c r="AG86" s="203">
        <f t="shared" si="11"/>
        <v>2.039736257460753E-2</v>
      </c>
      <c r="AH86" s="203">
        <f t="shared" si="11"/>
        <v>2.4386315834910365E-2</v>
      </c>
    </row>
    <row r="87" spans="1:34">
      <c r="C87" s="209"/>
    </row>
    <row r="88" spans="1:34">
      <c r="A88" s="204">
        <v>11</v>
      </c>
      <c r="B88" s="205" t="s">
        <v>1083</v>
      </c>
      <c r="C88" s="206" t="s">
        <v>1084</v>
      </c>
      <c r="D88" s="206">
        <v>0.01</v>
      </c>
      <c r="E88" s="206" t="s">
        <v>760</v>
      </c>
      <c r="F88" s="207" t="s">
        <v>1078</v>
      </c>
      <c r="G88" s="211">
        <v>1E-4</v>
      </c>
      <c r="H88" s="211">
        <v>1E-4</v>
      </c>
      <c r="I88" s="211">
        <v>1E-4</v>
      </c>
      <c r="J88" s="211">
        <v>1E-4</v>
      </c>
      <c r="K88" s="211">
        <v>1E-4</v>
      </c>
      <c r="L88" s="211">
        <v>0</v>
      </c>
      <c r="M88" s="211">
        <v>0</v>
      </c>
      <c r="N88" s="211">
        <v>0</v>
      </c>
      <c r="O88" s="211">
        <v>0</v>
      </c>
      <c r="P88" s="211">
        <v>0</v>
      </c>
      <c r="Q88" s="211">
        <v>0</v>
      </c>
      <c r="R88" s="211">
        <v>0</v>
      </c>
      <c r="S88" s="211">
        <v>0</v>
      </c>
      <c r="T88" s="211">
        <v>0</v>
      </c>
      <c r="U88" s="211">
        <v>0</v>
      </c>
      <c r="V88" s="211">
        <v>0</v>
      </c>
      <c r="W88" s="211">
        <v>0</v>
      </c>
      <c r="X88" s="211">
        <v>1E-4</v>
      </c>
      <c r="Y88" s="211">
        <v>1E-4</v>
      </c>
      <c r="Z88" s="211">
        <v>1E-4</v>
      </c>
      <c r="AA88" s="211">
        <v>2.9999999999999997E-4</v>
      </c>
      <c r="AB88" s="211">
        <v>2.9999999999999997E-4</v>
      </c>
      <c r="AC88" s="211">
        <v>2.9999999999999997E-4</v>
      </c>
      <c r="AD88" s="211">
        <v>1E-3</v>
      </c>
      <c r="AE88" s="211">
        <v>1.6000000000000001E-3</v>
      </c>
      <c r="AF88" s="211">
        <v>2.5000000000000001E-3</v>
      </c>
      <c r="AG88" s="211">
        <v>4.0000000000000001E-3</v>
      </c>
      <c r="AH88" s="211">
        <v>7.3000000000000001E-3</v>
      </c>
    </row>
    <row r="89" spans="1:34">
      <c r="A89" s="204">
        <v>12</v>
      </c>
      <c r="B89" s="205" t="s">
        <v>1085</v>
      </c>
      <c r="C89" s="206" t="s">
        <v>1086</v>
      </c>
      <c r="D89" s="206">
        <v>0.01</v>
      </c>
      <c r="E89" s="206" t="s">
        <v>760</v>
      </c>
      <c r="F89" s="207" t="s">
        <v>1078</v>
      </c>
      <c r="G89" s="211">
        <v>0</v>
      </c>
      <c r="H89" s="211">
        <v>0</v>
      </c>
      <c r="I89" s="211">
        <v>0</v>
      </c>
      <c r="J89" s="211">
        <v>0</v>
      </c>
      <c r="K89" s="211">
        <v>0</v>
      </c>
      <c r="L89" s="211">
        <v>0</v>
      </c>
      <c r="M89" s="211">
        <v>0</v>
      </c>
      <c r="N89" s="211">
        <v>0</v>
      </c>
      <c r="O89" s="211">
        <v>0</v>
      </c>
      <c r="P89" s="211">
        <v>0</v>
      </c>
      <c r="Q89" s="211">
        <v>0</v>
      </c>
      <c r="R89" s="211">
        <v>0</v>
      </c>
      <c r="S89" s="211">
        <v>0</v>
      </c>
      <c r="T89" s="211">
        <v>0</v>
      </c>
      <c r="U89" s="211">
        <v>0</v>
      </c>
      <c r="V89" s="211">
        <v>0</v>
      </c>
      <c r="W89" s="211">
        <v>0</v>
      </c>
      <c r="X89" s="211">
        <v>0</v>
      </c>
      <c r="Y89" s="211">
        <v>0</v>
      </c>
      <c r="Z89" s="211">
        <v>0</v>
      </c>
      <c r="AA89" s="211">
        <v>0</v>
      </c>
      <c r="AB89" s="211">
        <v>0</v>
      </c>
      <c r="AC89" s="211">
        <v>0</v>
      </c>
      <c r="AD89" s="211">
        <v>1E-4</v>
      </c>
      <c r="AE89" s="211">
        <v>1E-4</v>
      </c>
      <c r="AF89" s="211">
        <v>2.0000000000000001E-4</v>
      </c>
      <c r="AG89" s="211">
        <v>2.0000000000000001E-4</v>
      </c>
      <c r="AH89" s="211">
        <v>2.0000000000000001E-4</v>
      </c>
    </row>
    <row r="90" spans="1:34">
      <c r="A90" s="204">
        <v>13</v>
      </c>
      <c r="B90" s="205" t="s">
        <v>1087</v>
      </c>
      <c r="C90" s="206" t="s">
        <v>1088</v>
      </c>
      <c r="D90" s="206">
        <v>5</v>
      </c>
      <c r="E90" s="206" t="s">
        <v>1089</v>
      </c>
      <c r="F90" s="207" t="s">
        <v>1078</v>
      </c>
      <c r="G90" s="211">
        <v>1.8064883060789516E-2</v>
      </c>
      <c r="H90" s="211">
        <v>1.8064883060789516E-2</v>
      </c>
      <c r="I90" s="211">
        <v>1.8064883060789516E-2</v>
      </c>
      <c r="J90" s="211">
        <v>1.8064883060789516E-2</v>
      </c>
      <c r="K90" s="211">
        <v>1.8064883060789516E-2</v>
      </c>
      <c r="L90" s="211">
        <v>1.8064883060789516E-2</v>
      </c>
      <c r="M90" s="211">
        <v>1.8064883060789516E-2</v>
      </c>
      <c r="N90" s="211">
        <v>1.8064883060789516E-2</v>
      </c>
      <c r="O90" s="211">
        <v>1.8064883060789516E-2</v>
      </c>
      <c r="P90" s="211">
        <v>1.8064883060789516E-2</v>
      </c>
      <c r="Q90" s="211">
        <v>1.8064883060789516E-2</v>
      </c>
      <c r="R90" s="211">
        <v>1.8064883060789516E-2</v>
      </c>
      <c r="S90" s="211">
        <v>1.8064883060789516E-2</v>
      </c>
      <c r="T90" s="211">
        <v>1.8064883060789516E-2</v>
      </c>
      <c r="U90" s="211">
        <v>1.8064883060789516E-2</v>
      </c>
      <c r="V90" s="211">
        <v>1.8064883060789516E-2</v>
      </c>
      <c r="W90" s="211">
        <v>1.8064883060789516E-2</v>
      </c>
      <c r="X90" s="211">
        <v>1.8064883060789516E-2</v>
      </c>
      <c r="Y90" s="211">
        <v>1.8064883060789516E-2</v>
      </c>
      <c r="Z90" s="211">
        <v>1.8064883060789516E-2</v>
      </c>
      <c r="AA90" s="211">
        <v>1.8064883060789516E-2</v>
      </c>
      <c r="AB90" s="211">
        <v>1.8064883060789516E-2</v>
      </c>
      <c r="AC90" s="211">
        <v>1.8064883060789516E-2</v>
      </c>
      <c r="AD90" s="211">
        <v>1.8064883060789516E-2</v>
      </c>
      <c r="AE90" s="211">
        <v>1.8064883060789516E-2</v>
      </c>
      <c r="AF90" s="211">
        <v>1.8064883060789516E-2</v>
      </c>
      <c r="AG90" s="211">
        <v>1.8064883060789516E-2</v>
      </c>
      <c r="AH90" s="211">
        <v>1.8064883060789516E-2</v>
      </c>
    </row>
    <row r="91" spans="1:34">
      <c r="A91" s="204">
        <v>14</v>
      </c>
      <c r="B91" s="205" t="s">
        <v>1146</v>
      </c>
      <c r="C91" s="206"/>
      <c r="D91" s="206">
        <v>7</v>
      </c>
      <c r="E91" s="206" t="s">
        <v>1089</v>
      </c>
      <c r="F91" s="207" t="s">
        <v>1078</v>
      </c>
      <c r="G91" s="211">
        <v>1.8064883060789516E-2</v>
      </c>
      <c r="H91" s="211">
        <v>1.8064883060789516E-2</v>
      </c>
      <c r="I91" s="211">
        <v>1.8064883060789516E-2</v>
      </c>
      <c r="J91" s="211">
        <v>1.8064883060789516E-2</v>
      </c>
      <c r="K91" s="211">
        <v>1.8064883060789516E-2</v>
      </c>
      <c r="L91" s="211">
        <v>1.8064883060789516E-2</v>
      </c>
      <c r="M91" s="211">
        <v>1.8064883060789516E-2</v>
      </c>
      <c r="N91" s="211">
        <v>1.8064883060789516E-2</v>
      </c>
      <c r="O91" s="211">
        <v>1.8064883060789516E-2</v>
      </c>
      <c r="P91" s="211">
        <v>1.8064883060789516E-2</v>
      </c>
      <c r="Q91" s="211">
        <v>1.8064883060789516E-2</v>
      </c>
      <c r="R91" s="211">
        <v>1.8064883060789516E-2</v>
      </c>
      <c r="S91" s="211">
        <v>1.8064883060789516E-2</v>
      </c>
      <c r="T91" s="211">
        <v>1.8064883060789516E-2</v>
      </c>
      <c r="U91" s="211">
        <v>1.8064883060789516E-2</v>
      </c>
      <c r="V91" s="211">
        <v>1.8064883060789516E-2</v>
      </c>
      <c r="W91" s="211">
        <v>1.8064883060789516E-2</v>
      </c>
      <c r="X91" s="211">
        <v>1.8064883060789516E-2</v>
      </c>
      <c r="Y91" s="211">
        <v>1.8064883060789516E-2</v>
      </c>
      <c r="Z91" s="211">
        <v>1.8064883060789516E-2</v>
      </c>
      <c r="AA91" s="211">
        <v>1.8064883060789516E-2</v>
      </c>
      <c r="AB91" s="211">
        <v>1.8064883060789516E-2</v>
      </c>
      <c r="AC91" s="211">
        <v>1.8064883060789516E-2</v>
      </c>
      <c r="AD91" s="211">
        <v>1.8064883060789516E-2</v>
      </c>
      <c r="AE91" s="211">
        <v>1.8064883060789516E-2</v>
      </c>
      <c r="AF91" s="211">
        <v>1.8064883060789516E-2</v>
      </c>
      <c r="AG91" s="211">
        <v>1.8064883060789516E-2</v>
      </c>
      <c r="AH91" s="211">
        <v>1.8064883060789516E-2</v>
      </c>
    </row>
    <row r="92" spans="1:34">
      <c r="A92" s="204">
        <v>15</v>
      </c>
      <c r="B92" s="205" t="s">
        <v>1091</v>
      </c>
      <c r="C92" s="206" t="s">
        <v>1092</v>
      </c>
      <c r="D92" s="206">
        <v>0.2</v>
      </c>
      <c r="E92" s="206" t="s">
        <v>762</v>
      </c>
      <c r="F92" s="207" t="s">
        <v>1078</v>
      </c>
      <c r="G92" s="211">
        <v>1.1999999999999999E-4</v>
      </c>
      <c r="H92" s="211">
        <v>1E-4</v>
      </c>
      <c r="I92" s="211">
        <v>8.0000000000000007E-5</v>
      </c>
      <c r="J92" s="211">
        <v>8.0000000000000007E-5</v>
      </c>
      <c r="K92" s="211">
        <v>8.0000000000000007E-5</v>
      </c>
      <c r="L92" s="211">
        <v>5.9999999999999995E-5</v>
      </c>
      <c r="M92" s="211">
        <v>5.9999999999999995E-5</v>
      </c>
      <c r="N92" s="211">
        <v>5.9999999999999995E-5</v>
      </c>
      <c r="O92" s="211">
        <v>4.0000000000000003E-5</v>
      </c>
      <c r="P92" s="211">
        <v>4.0000000000000003E-5</v>
      </c>
      <c r="Q92" s="211">
        <v>4.0000000000000003E-5</v>
      </c>
      <c r="R92" s="211">
        <v>4.0000000000000003E-5</v>
      </c>
      <c r="S92" s="211">
        <v>4.0000000000000003E-5</v>
      </c>
      <c r="T92" s="211">
        <v>4.0000000000000003E-5</v>
      </c>
      <c r="U92" s="211">
        <v>2.0000000000000002E-5</v>
      </c>
      <c r="V92" s="211">
        <v>2.0000000000000002E-5</v>
      </c>
      <c r="W92" s="211">
        <v>2.0000000000000002E-5</v>
      </c>
      <c r="X92" s="211">
        <v>2.0000000000000002E-5</v>
      </c>
      <c r="Y92" s="211">
        <v>2.0000000000000002E-5</v>
      </c>
      <c r="Z92" s="211">
        <v>2.0000000000000002E-5</v>
      </c>
      <c r="AA92" s="211">
        <v>2.0000000000000002E-5</v>
      </c>
      <c r="AB92" s="211">
        <v>2.0000000000000002E-5</v>
      </c>
      <c r="AC92" s="211">
        <v>2.0000000000000002E-5</v>
      </c>
      <c r="AD92" s="211">
        <v>0</v>
      </c>
      <c r="AE92" s="211">
        <v>0</v>
      </c>
      <c r="AF92" s="211">
        <v>0</v>
      </c>
      <c r="AG92" s="211">
        <v>0</v>
      </c>
      <c r="AH92" s="211">
        <v>0</v>
      </c>
    </row>
    <row r="93" spans="1:34">
      <c r="A93" s="204">
        <v>16</v>
      </c>
      <c r="B93" s="205" t="s">
        <v>1093</v>
      </c>
      <c r="C93" s="206"/>
      <c r="D93" s="206">
        <v>0.2</v>
      </c>
      <c r="E93" s="206" t="s">
        <v>762</v>
      </c>
      <c r="F93" s="207" t="s">
        <v>1078</v>
      </c>
      <c r="G93" s="211">
        <v>1.4000000000000001E-4</v>
      </c>
      <c r="H93" s="211">
        <v>1.1999999999999999E-4</v>
      </c>
      <c r="I93" s="211">
        <v>1E-4</v>
      </c>
      <c r="J93" s="211">
        <v>1E-4</v>
      </c>
      <c r="K93" s="211">
        <v>1E-4</v>
      </c>
      <c r="L93" s="211">
        <v>8.0000000000000007E-5</v>
      </c>
      <c r="M93" s="211">
        <v>8.0000000000000007E-5</v>
      </c>
      <c r="N93" s="211">
        <v>8.0000000000000007E-5</v>
      </c>
      <c r="O93" s="211">
        <v>5.9999999999999995E-5</v>
      </c>
      <c r="P93" s="211">
        <v>5.9999999999999995E-5</v>
      </c>
      <c r="Q93" s="211">
        <v>5.9999999999999995E-5</v>
      </c>
      <c r="R93" s="211">
        <v>4.0000000000000003E-5</v>
      </c>
      <c r="S93" s="211">
        <v>4.0000000000000003E-5</v>
      </c>
      <c r="T93" s="211">
        <v>4.0000000000000003E-5</v>
      </c>
      <c r="U93" s="211">
        <v>2.0000000000000002E-5</v>
      </c>
      <c r="V93" s="211">
        <v>2.0000000000000002E-5</v>
      </c>
      <c r="W93" s="211">
        <v>2.0000000000000002E-5</v>
      </c>
      <c r="X93" s="211">
        <v>2.0000000000000002E-5</v>
      </c>
      <c r="Y93" s="211">
        <v>2.0000000000000002E-5</v>
      </c>
      <c r="Z93" s="211">
        <v>2.0000000000000002E-5</v>
      </c>
      <c r="AA93" s="211" t="s">
        <v>1071</v>
      </c>
      <c r="AB93" s="211" t="s">
        <v>1071</v>
      </c>
      <c r="AC93" s="211" t="s">
        <v>1071</v>
      </c>
      <c r="AD93" s="211" t="s">
        <v>1071</v>
      </c>
      <c r="AE93" s="211" t="s">
        <v>1071</v>
      </c>
      <c r="AF93" s="211" t="s">
        <v>1071</v>
      </c>
      <c r="AG93" s="211" t="s">
        <v>1071</v>
      </c>
      <c r="AH93" s="211" t="s">
        <v>1071</v>
      </c>
    </row>
    <row r="94" spans="1:34">
      <c r="A94" s="204">
        <v>17</v>
      </c>
      <c r="B94" s="205" t="s">
        <v>1094</v>
      </c>
      <c r="C94" s="206"/>
      <c r="D94" s="206" t="s">
        <v>1071</v>
      </c>
      <c r="E94" s="206" t="s">
        <v>1071</v>
      </c>
      <c r="F94" s="207" t="s">
        <v>1078</v>
      </c>
      <c r="G94" s="211" t="s">
        <v>1071</v>
      </c>
      <c r="H94" s="211" t="s">
        <v>1071</v>
      </c>
      <c r="I94" s="211" t="s">
        <v>1071</v>
      </c>
      <c r="J94" s="211" t="s">
        <v>1071</v>
      </c>
      <c r="K94" s="211" t="s">
        <v>1071</v>
      </c>
      <c r="L94" s="211" t="s">
        <v>1071</v>
      </c>
      <c r="M94" s="211" t="s">
        <v>1071</v>
      </c>
      <c r="N94" s="211" t="s">
        <v>1071</v>
      </c>
      <c r="O94" s="211" t="s">
        <v>1071</v>
      </c>
      <c r="P94" s="211" t="s">
        <v>1071</v>
      </c>
      <c r="Q94" s="211" t="s">
        <v>1071</v>
      </c>
      <c r="R94" s="211" t="s">
        <v>1071</v>
      </c>
      <c r="S94" s="211" t="s">
        <v>1071</v>
      </c>
      <c r="T94" s="211" t="s">
        <v>1071</v>
      </c>
      <c r="U94" s="211" t="s">
        <v>1071</v>
      </c>
      <c r="V94" s="211" t="s">
        <v>1071</v>
      </c>
      <c r="W94" s="211" t="s">
        <v>1071</v>
      </c>
      <c r="X94" s="211" t="s">
        <v>1071</v>
      </c>
      <c r="Y94" s="211" t="s">
        <v>1071</v>
      </c>
      <c r="Z94" s="211" t="s">
        <v>1071</v>
      </c>
      <c r="AA94" s="211" t="s">
        <v>1071</v>
      </c>
      <c r="AB94" s="211" t="s">
        <v>1071</v>
      </c>
      <c r="AC94" s="211" t="s">
        <v>1071</v>
      </c>
      <c r="AD94" s="211" t="s">
        <v>1071</v>
      </c>
      <c r="AE94" s="211" t="s">
        <v>1071</v>
      </c>
      <c r="AF94" s="211" t="s">
        <v>1071</v>
      </c>
      <c r="AG94" s="211" t="s">
        <v>1071</v>
      </c>
      <c r="AH94" s="211" t="s">
        <v>1071</v>
      </c>
    </row>
    <row r="95" spans="1:34">
      <c r="A95" s="204">
        <v>18</v>
      </c>
      <c r="B95" s="205" t="s">
        <v>1095</v>
      </c>
      <c r="C95" s="206"/>
      <c r="D95" s="206" t="s">
        <v>1071</v>
      </c>
      <c r="E95" s="206" t="s">
        <v>1071</v>
      </c>
      <c r="F95" s="207" t="s">
        <v>1078</v>
      </c>
      <c r="G95" s="211" t="s">
        <v>1071</v>
      </c>
      <c r="H95" s="211" t="s">
        <v>1071</v>
      </c>
      <c r="I95" s="211" t="s">
        <v>1071</v>
      </c>
      <c r="J95" s="211" t="s">
        <v>1071</v>
      </c>
      <c r="K95" s="211" t="s">
        <v>1071</v>
      </c>
      <c r="L95" s="211" t="s">
        <v>1071</v>
      </c>
      <c r="M95" s="211" t="s">
        <v>1071</v>
      </c>
      <c r="N95" s="211" t="s">
        <v>1071</v>
      </c>
      <c r="O95" s="211" t="s">
        <v>1071</v>
      </c>
      <c r="P95" s="211" t="s">
        <v>1071</v>
      </c>
      <c r="Q95" s="211" t="s">
        <v>1071</v>
      </c>
      <c r="R95" s="211" t="s">
        <v>1071</v>
      </c>
      <c r="S95" s="211" t="s">
        <v>1071</v>
      </c>
      <c r="T95" s="211" t="s">
        <v>1071</v>
      </c>
      <c r="U95" s="211" t="s">
        <v>1071</v>
      </c>
      <c r="V95" s="211" t="s">
        <v>1071</v>
      </c>
      <c r="W95" s="211" t="s">
        <v>1071</v>
      </c>
      <c r="X95" s="211" t="s">
        <v>1071</v>
      </c>
      <c r="Y95" s="211" t="s">
        <v>1071</v>
      </c>
      <c r="Z95" s="211" t="s">
        <v>1071</v>
      </c>
      <c r="AA95" s="211" t="s">
        <v>1071</v>
      </c>
      <c r="AB95" s="211" t="s">
        <v>1071</v>
      </c>
      <c r="AC95" s="211" t="s">
        <v>1071</v>
      </c>
      <c r="AD95" s="211" t="s">
        <v>1071</v>
      </c>
      <c r="AE95" s="211" t="s">
        <v>1071</v>
      </c>
      <c r="AF95" s="211" t="s">
        <v>1071</v>
      </c>
      <c r="AG95" s="211" t="s">
        <v>1071</v>
      </c>
      <c r="AH95" s="211" t="s">
        <v>1071</v>
      </c>
    </row>
    <row r="96" spans="1:34">
      <c r="A96" s="204">
        <v>19</v>
      </c>
      <c r="B96" s="205" t="s">
        <v>914</v>
      </c>
      <c r="C96" s="206"/>
      <c r="D96" s="206">
        <v>1</v>
      </c>
      <c r="E96" s="206" t="s">
        <v>1071</v>
      </c>
      <c r="F96" s="207" t="s">
        <v>1078</v>
      </c>
      <c r="G96" s="211">
        <v>1.09E-2</v>
      </c>
      <c r="H96" s="211">
        <v>7.0000000000000001E-3</v>
      </c>
      <c r="I96" s="211">
        <v>4.3E-3</v>
      </c>
      <c r="J96" s="211">
        <v>4.3E-3</v>
      </c>
      <c r="K96" s="211">
        <v>4.3E-3</v>
      </c>
      <c r="L96" s="211">
        <v>1.1000000000000001E-3</v>
      </c>
      <c r="M96" s="211">
        <v>1.1000000000000001E-3</v>
      </c>
      <c r="N96" s="211">
        <v>1.1000000000000001E-3</v>
      </c>
      <c r="O96" s="211">
        <v>2.9999999999999997E-4</v>
      </c>
      <c r="P96" s="211">
        <v>2.9999999999999997E-4</v>
      </c>
      <c r="Q96" s="211">
        <v>2.9999999999999997E-4</v>
      </c>
      <c r="R96" s="211">
        <v>1E-4</v>
      </c>
      <c r="S96" s="211">
        <v>1E-4</v>
      </c>
      <c r="T96" s="211">
        <v>1E-4</v>
      </c>
      <c r="U96" s="211">
        <v>0</v>
      </c>
      <c r="V96" s="211">
        <v>0</v>
      </c>
      <c r="W96" s="211">
        <v>0</v>
      </c>
      <c r="X96" s="211">
        <v>0</v>
      </c>
      <c r="Y96" s="211">
        <v>0</v>
      </c>
      <c r="Z96" s="211">
        <v>0</v>
      </c>
      <c r="AA96" s="211">
        <v>0</v>
      </c>
      <c r="AB96" s="211">
        <v>0</v>
      </c>
      <c r="AC96" s="211">
        <v>0</v>
      </c>
      <c r="AD96" s="211">
        <v>0</v>
      </c>
      <c r="AE96" s="211">
        <v>0</v>
      </c>
      <c r="AF96" s="211">
        <v>0</v>
      </c>
      <c r="AG96" s="211">
        <v>0</v>
      </c>
      <c r="AH96" s="211">
        <v>0</v>
      </c>
    </row>
    <row r="97" spans="1:34">
      <c r="A97" s="204">
        <v>20</v>
      </c>
      <c r="B97" s="205" t="s">
        <v>1096</v>
      </c>
      <c r="C97" s="206" t="s">
        <v>1097</v>
      </c>
      <c r="D97" s="206">
        <v>0.04</v>
      </c>
      <c r="E97" s="206" t="s">
        <v>761</v>
      </c>
      <c r="F97" s="207" t="s">
        <v>1078</v>
      </c>
      <c r="G97" s="211">
        <v>1.5999999999999999E-3</v>
      </c>
      <c r="H97" s="211">
        <v>1.5999999999999999E-3</v>
      </c>
      <c r="I97" s="211">
        <v>1.5999999999999999E-3</v>
      </c>
      <c r="J97" s="211">
        <v>1.5999999999999999E-3</v>
      </c>
      <c r="K97" s="211">
        <v>1.5999999999999999E-3</v>
      </c>
      <c r="L97" s="211">
        <v>1.5999999999999999E-3</v>
      </c>
      <c r="M97" s="211">
        <v>1.5999999999999999E-3</v>
      </c>
      <c r="N97" s="211">
        <v>1.5999999999999999E-3</v>
      </c>
      <c r="O97" s="211">
        <v>1.5999999999999999E-3</v>
      </c>
      <c r="P97" s="211">
        <v>1.5999999999999999E-3</v>
      </c>
      <c r="Q97" s="211">
        <v>1.5999999999999999E-3</v>
      </c>
      <c r="R97" s="211">
        <v>1.5999999999999999E-3</v>
      </c>
      <c r="S97" s="211">
        <v>1.5999999999999999E-3</v>
      </c>
      <c r="T97" s="211">
        <v>1.5999999999999999E-3</v>
      </c>
      <c r="U97" s="211">
        <v>1.5999999999999999E-3</v>
      </c>
      <c r="V97" s="211">
        <v>1.5999999999999999E-3</v>
      </c>
      <c r="W97" s="211">
        <v>1.5999999999999999E-3</v>
      </c>
      <c r="X97" s="211">
        <v>1.5999999999999999E-3</v>
      </c>
      <c r="Y97" s="211">
        <v>1.5999999999999999E-3</v>
      </c>
      <c r="Z97" s="211">
        <v>1.5999999999999999E-3</v>
      </c>
      <c r="AA97" s="211">
        <v>1.5999999999999999E-3</v>
      </c>
      <c r="AB97" s="211">
        <v>1.5999999999999999E-3</v>
      </c>
      <c r="AC97" s="211">
        <v>1.5999999999999999E-3</v>
      </c>
      <c r="AD97" s="211">
        <v>1.5999999999999999E-3</v>
      </c>
      <c r="AE97" s="211">
        <v>1.64E-3</v>
      </c>
      <c r="AF97" s="211">
        <v>1.6799999999999999E-3</v>
      </c>
      <c r="AG97" s="211">
        <v>1.6799999999999999E-3</v>
      </c>
      <c r="AH97" s="211">
        <v>1.6799999999999999E-3</v>
      </c>
    </row>
    <row r="98" spans="1:34">
      <c r="A98" s="204">
        <v>21</v>
      </c>
      <c r="B98" s="205" t="s">
        <v>1098</v>
      </c>
      <c r="C98" s="206" t="s">
        <v>1099</v>
      </c>
      <c r="D98" s="206">
        <v>1</v>
      </c>
      <c r="E98" s="206" t="s">
        <v>1100</v>
      </c>
      <c r="F98" s="207" t="s">
        <v>1078</v>
      </c>
      <c r="G98" s="211">
        <v>2.9999999999999997E-4</v>
      </c>
      <c r="H98" s="211">
        <v>2.0000000000000001E-4</v>
      </c>
      <c r="I98" s="211">
        <v>2.0000000000000001E-4</v>
      </c>
      <c r="J98" s="211">
        <v>2.0000000000000001E-4</v>
      </c>
      <c r="K98" s="211">
        <v>2.0000000000000001E-4</v>
      </c>
      <c r="L98" s="211">
        <v>1.4999999999999999E-4</v>
      </c>
      <c r="M98" s="211">
        <v>1.4999999999999999E-4</v>
      </c>
      <c r="N98" s="211">
        <v>1.4999999999999999E-4</v>
      </c>
      <c r="O98" s="211">
        <v>1E-4</v>
      </c>
      <c r="P98" s="211">
        <v>1E-4</v>
      </c>
      <c r="Q98" s="211">
        <v>1E-4</v>
      </c>
      <c r="R98" s="211">
        <v>1E-4</v>
      </c>
      <c r="S98" s="211">
        <v>1E-4</v>
      </c>
      <c r="T98" s="211">
        <v>1E-4</v>
      </c>
      <c r="U98" s="211">
        <v>1E-4</v>
      </c>
      <c r="V98" s="211">
        <v>1E-4</v>
      </c>
      <c r="W98" s="211">
        <v>1E-4</v>
      </c>
      <c r="X98" s="211">
        <v>2.0000000000000001E-4</v>
      </c>
      <c r="Y98" s="211">
        <v>2.0000000000000001E-4</v>
      </c>
      <c r="Z98" s="211">
        <v>2.0000000000000001E-4</v>
      </c>
      <c r="AA98" s="211">
        <v>5.0000000000000001E-4</v>
      </c>
      <c r="AB98" s="211">
        <v>5.0000000000000001E-4</v>
      </c>
      <c r="AC98" s="211">
        <v>5.0000000000000001E-4</v>
      </c>
      <c r="AD98" s="211">
        <v>2.0999999999999999E-3</v>
      </c>
      <c r="AE98" s="211">
        <v>3.3E-3</v>
      </c>
      <c r="AF98" s="211">
        <v>5.1999999999999998E-3</v>
      </c>
      <c r="AG98" s="211">
        <v>8.3000000000000001E-3</v>
      </c>
      <c r="AH98" s="211">
        <v>1.44E-2</v>
      </c>
    </row>
    <row r="99" spans="1:34">
      <c r="A99" s="204">
        <v>22</v>
      </c>
      <c r="B99" s="205" t="s">
        <v>1101</v>
      </c>
      <c r="C99" s="206" t="s">
        <v>1102</v>
      </c>
      <c r="D99" s="206">
        <v>5</v>
      </c>
      <c r="E99" s="206" t="s">
        <v>762</v>
      </c>
      <c r="F99" s="207" t="s">
        <v>1078</v>
      </c>
      <c r="G99" s="211">
        <v>2.5000000000000001E-4</v>
      </c>
      <c r="H99" s="211">
        <v>2.5000000000000001E-4</v>
      </c>
      <c r="I99" s="211">
        <v>2.5000000000000001E-4</v>
      </c>
      <c r="J99" s="211">
        <v>2.5000000000000001E-4</v>
      </c>
      <c r="K99" s="211">
        <v>2.5000000000000001E-4</v>
      </c>
      <c r="L99" s="211">
        <v>2.5000000000000001E-4</v>
      </c>
      <c r="M99" s="211">
        <v>2.5000000000000001E-4</v>
      </c>
      <c r="N99" s="211">
        <v>2.5000000000000001E-4</v>
      </c>
      <c r="O99" s="211">
        <v>2.5000000000000001E-4</v>
      </c>
      <c r="P99" s="211">
        <v>2.5000000000000001E-4</v>
      </c>
      <c r="Q99" s="211">
        <v>2.5000000000000001E-4</v>
      </c>
      <c r="R99" s="211">
        <v>2.5000000000000001E-4</v>
      </c>
      <c r="S99" s="211">
        <v>2.5000000000000001E-4</v>
      </c>
      <c r="T99" s="211">
        <v>2.5000000000000001E-4</v>
      </c>
      <c r="U99" s="211">
        <v>2.5000000000000001E-4</v>
      </c>
      <c r="V99" s="211">
        <v>2.5000000000000001E-4</v>
      </c>
      <c r="W99" s="211">
        <v>2.5000000000000001E-4</v>
      </c>
      <c r="X99" s="211">
        <v>2.9999999999999997E-4</v>
      </c>
      <c r="Y99" s="211">
        <v>2.9999999999999997E-4</v>
      </c>
      <c r="Z99" s="211">
        <v>2.9999999999999997E-4</v>
      </c>
      <c r="AA99" s="211">
        <v>3.5E-4</v>
      </c>
      <c r="AB99" s="211">
        <v>3.5E-4</v>
      </c>
      <c r="AC99" s="211">
        <v>3.5E-4</v>
      </c>
      <c r="AD99" s="211">
        <v>5.5000000000000003E-4</v>
      </c>
      <c r="AE99" s="211">
        <v>6.9999999999999999E-4</v>
      </c>
      <c r="AF99" s="211">
        <v>1E-3</v>
      </c>
      <c r="AG99" s="211">
        <v>1.4E-3</v>
      </c>
      <c r="AH99" s="211">
        <v>2.2000000000000001E-3</v>
      </c>
    </row>
    <row r="100" spans="1:34">
      <c r="A100" s="200"/>
      <c r="B100" s="201" t="s">
        <v>1103</v>
      </c>
      <c r="C100" s="202"/>
      <c r="D100" s="202"/>
      <c r="E100" s="202" t="s">
        <v>63</v>
      </c>
      <c r="F100" s="202"/>
      <c r="G100" s="203">
        <f>SQRT((G102^2+G103^2+G104^2+G105^2+G106^2+G110^2+G111^2+G112^2))</f>
        <v>9.0826081034028981E-3</v>
      </c>
      <c r="H100" s="202">
        <f t="shared" ref="H100:Z100" si="12">SQRT((H102^2+H103^2+H104^2+H105^2+H106^2+H110^2+H111^2+H112^2))</f>
        <v>8.3102265889685584E-3</v>
      </c>
      <c r="I100" s="202">
        <f t="shared" si="12"/>
        <v>7.6522193486595778E-3</v>
      </c>
      <c r="J100" s="202">
        <f t="shared" si="12"/>
        <v>7.6522193486595778E-3</v>
      </c>
      <c r="K100" s="202">
        <f t="shared" si="12"/>
        <v>7.6522193486595778E-3</v>
      </c>
      <c r="L100" s="202">
        <f t="shared" si="12"/>
        <v>6.1471174512937364E-3</v>
      </c>
      <c r="M100" s="202">
        <f t="shared" si="12"/>
        <v>6.1471174512937364E-3</v>
      </c>
      <c r="N100" s="202">
        <f t="shared" si="12"/>
        <v>6.1471174512937364E-3</v>
      </c>
      <c r="O100" s="202">
        <f t="shared" si="12"/>
        <v>5.2997481034479368E-3</v>
      </c>
      <c r="P100" s="202">
        <f t="shared" si="12"/>
        <v>5.2997481034479368E-3</v>
      </c>
      <c r="Q100" s="202">
        <f t="shared" si="12"/>
        <v>5.2997481034479368E-3</v>
      </c>
      <c r="R100" s="202">
        <f t="shared" si="12"/>
        <v>4.7634685849704097E-3</v>
      </c>
      <c r="S100" s="202">
        <f t="shared" si="12"/>
        <v>4.7634685849704097E-3</v>
      </c>
      <c r="T100" s="202">
        <f t="shared" si="12"/>
        <v>4.7634685849704097E-3</v>
      </c>
      <c r="U100" s="203">
        <f t="shared" si="12"/>
        <v>4.4562936348494812E-3</v>
      </c>
      <c r="V100" s="203">
        <f t="shared" si="12"/>
        <v>4.4562936348494812E-3</v>
      </c>
      <c r="W100" s="203">
        <f t="shared" si="12"/>
        <v>4.4562936348494812E-3</v>
      </c>
      <c r="X100" s="202">
        <f t="shared" si="12"/>
        <v>4.4685641944588869E-3</v>
      </c>
      <c r="Y100" s="202">
        <f t="shared" si="12"/>
        <v>4.4685641944588869E-3</v>
      </c>
      <c r="Z100" s="202">
        <f t="shared" si="12"/>
        <v>4.4685641944588869E-3</v>
      </c>
      <c r="AA100" s="203">
        <f t="shared" ref="AA100:AH100" si="13">SQRT((AA102^2+AA103^2+AA104^2+AA105^2+AA106^2+AA110^2+AA112^2))</f>
        <v>6.255983132969589E-3</v>
      </c>
      <c r="AB100" s="203">
        <f t="shared" si="13"/>
        <v>6.255983132969589E-3</v>
      </c>
      <c r="AC100" s="203">
        <f t="shared" si="13"/>
        <v>6.255983132969589E-3</v>
      </c>
      <c r="AD100" s="202">
        <f t="shared" si="13"/>
        <v>1.7215409201061703E-2</v>
      </c>
      <c r="AE100" s="202">
        <f t="shared" si="13"/>
        <v>2.3116009040489667E-2</v>
      </c>
      <c r="AF100" s="202">
        <f t="shared" si="13"/>
        <v>2.4617194823131249E-2</v>
      </c>
      <c r="AG100" s="202">
        <f t="shared" si="13"/>
        <v>2.8145937628013033E-2</v>
      </c>
      <c r="AH100" s="202">
        <f t="shared" si="13"/>
        <v>5.185932075297555E-2</v>
      </c>
    </row>
    <row r="101" spans="1:34">
      <c r="C101" s="209"/>
    </row>
    <row r="102" spans="1:34">
      <c r="A102" s="204">
        <v>23</v>
      </c>
      <c r="B102" s="205" t="s">
        <v>1104</v>
      </c>
      <c r="C102" s="206" t="s">
        <v>1105</v>
      </c>
      <c r="D102" s="206">
        <v>0.03</v>
      </c>
      <c r="E102" s="206" t="s">
        <v>760</v>
      </c>
      <c r="F102" s="207" t="s">
        <v>1078</v>
      </c>
      <c r="G102" s="211">
        <v>3.0000000000000003E-4</v>
      </c>
      <c r="H102" s="211">
        <v>3.0000000000000003E-4</v>
      </c>
      <c r="I102" s="211">
        <v>3.0000000000000003E-4</v>
      </c>
      <c r="J102" s="211">
        <v>3.0000000000000003E-4</v>
      </c>
      <c r="K102" s="211">
        <v>3.0000000000000003E-4</v>
      </c>
      <c r="L102" s="211">
        <v>3.0000000000000003E-4</v>
      </c>
      <c r="M102" s="211">
        <v>3.0000000000000003E-4</v>
      </c>
      <c r="N102" s="211">
        <v>3.0000000000000003E-4</v>
      </c>
      <c r="O102" s="211">
        <v>3.0000000000000003E-4</v>
      </c>
      <c r="P102" s="211">
        <v>3.0000000000000003E-4</v>
      </c>
      <c r="Q102" s="211">
        <v>3.0000000000000003E-4</v>
      </c>
      <c r="R102" s="211">
        <v>0</v>
      </c>
      <c r="S102" s="211">
        <v>0</v>
      </c>
      <c r="T102" s="211">
        <v>0</v>
      </c>
      <c r="U102" s="211">
        <v>3.0000000000000003E-4</v>
      </c>
      <c r="V102" s="211">
        <v>3.0000000000000003E-4</v>
      </c>
      <c r="W102" s="211">
        <v>3.0000000000000003E-4</v>
      </c>
      <c r="X102" s="211">
        <v>3.0000000000000003E-4</v>
      </c>
      <c r="Y102" s="211">
        <v>3.0000000000000003E-4</v>
      </c>
      <c r="Z102" s="211">
        <v>3.0000000000000003E-4</v>
      </c>
      <c r="AA102" s="211">
        <v>1.5E-3</v>
      </c>
      <c r="AB102" s="211">
        <v>1.5E-3</v>
      </c>
      <c r="AC102" s="211">
        <v>1.5E-3</v>
      </c>
      <c r="AD102" s="211">
        <v>6.3E-3</v>
      </c>
      <c r="AE102" s="211">
        <v>1.0199999999999999E-2</v>
      </c>
      <c r="AF102" s="211">
        <v>1.6199999999999999E-2</v>
      </c>
      <c r="AG102" s="211">
        <v>2.58E-2</v>
      </c>
      <c r="AH102" s="211">
        <v>4.4700000000000004E-2</v>
      </c>
    </row>
    <row r="103" spans="1:34">
      <c r="A103" s="204">
        <v>24</v>
      </c>
      <c r="B103" s="205" t="s">
        <v>1106</v>
      </c>
      <c r="C103" s="206" t="s">
        <v>1107</v>
      </c>
      <c r="D103" s="206">
        <v>3</v>
      </c>
      <c r="E103" s="206" t="s">
        <v>1089</v>
      </c>
      <c r="F103" s="207" t="s">
        <v>1078</v>
      </c>
      <c r="G103" s="211">
        <v>0</v>
      </c>
      <c r="H103" s="211">
        <v>0</v>
      </c>
      <c r="I103" s="211">
        <v>0</v>
      </c>
      <c r="J103" s="211">
        <v>0</v>
      </c>
      <c r="K103" s="211">
        <v>0</v>
      </c>
      <c r="L103" s="211">
        <v>0</v>
      </c>
      <c r="M103" s="211">
        <v>0</v>
      </c>
      <c r="N103" s="211">
        <v>0</v>
      </c>
      <c r="O103" s="211">
        <v>0</v>
      </c>
      <c r="P103" s="211">
        <v>0</v>
      </c>
      <c r="Q103" s="211">
        <v>0</v>
      </c>
      <c r="R103" s="211">
        <v>0</v>
      </c>
      <c r="S103" s="211">
        <v>0</v>
      </c>
      <c r="T103" s="211">
        <v>0</v>
      </c>
      <c r="U103" s="211">
        <v>0</v>
      </c>
      <c r="V103" s="211">
        <v>0</v>
      </c>
      <c r="W103" s="211">
        <v>0</v>
      </c>
      <c r="X103" s="211">
        <v>0</v>
      </c>
      <c r="Y103" s="211">
        <v>0</v>
      </c>
      <c r="Z103" s="211">
        <v>0</v>
      </c>
      <c r="AA103" s="211">
        <v>0</v>
      </c>
      <c r="AB103" s="211">
        <v>0</v>
      </c>
      <c r="AC103" s="211">
        <v>0</v>
      </c>
      <c r="AD103" s="211">
        <v>0</v>
      </c>
      <c r="AE103" s="211">
        <v>0</v>
      </c>
      <c r="AF103" s="211">
        <v>0</v>
      </c>
      <c r="AG103" s="211">
        <v>0</v>
      </c>
      <c r="AH103" s="211">
        <v>0</v>
      </c>
    </row>
    <row r="104" spans="1:34">
      <c r="A104" s="204">
        <v>25</v>
      </c>
      <c r="B104" s="205" t="s">
        <v>1108</v>
      </c>
      <c r="C104" s="206" t="s">
        <v>1109</v>
      </c>
      <c r="D104" s="206">
        <v>3.96</v>
      </c>
      <c r="E104" s="206" t="s">
        <v>1089</v>
      </c>
      <c r="F104" s="207" t="s">
        <v>1078</v>
      </c>
      <c r="G104" s="211">
        <v>2.9699999999999996E-4</v>
      </c>
      <c r="H104" s="211">
        <v>2.9699999999999996E-4</v>
      </c>
      <c r="I104" s="211">
        <v>1.9800000000000002E-4</v>
      </c>
      <c r="J104" s="211">
        <v>1.9800000000000002E-4</v>
      </c>
      <c r="K104" s="211">
        <v>1.9800000000000002E-4</v>
      </c>
      <c r="L104" s="211">
        <v>1.9800000000000002E-4</v>
      </c>
      <c r="M104" s="211">
        <v>1.9800000000000002E-4</v>
      </c>
      <c r="N104" s="211">
        <v>1.9800000000000002E-4</v>
      </c>
      <c r="O104" s="211">
        <v>9.9000000000000008E-5</v>
      </c>
      <c r="P104" s="211">
        <v>9.9000000000000008E-5</v>
      </c>
      <c r="Q104" s="211">
        <v>9.9000000000000008E-5</v>
      </c>
      <c r="R104" s="211">
        <v>0</v>
      </c>
      <c r="S104" s="211">
        <v>0</v>
      </c>
      <c r="T104" s="211">
        <v>0</v>
      </c>
      <c r="U104" s="211">
        <v>0</v>
      </c>
      <c r="V104" s="211">
        <v>0</v>
      </c>
      <c r="W104" s="211">
        <v>0</v>
      </c>
      <c r="X104" s="211">
        <v>9.9000000000000008E-5</v>
      </c>
      <c r="Y104" s="211">
        <v>9.9000000000000008E-5</v>
      </c>
      <c r="Z104" s="211">
        <v>9.9000000000000008E-5</v>
      </c>
      <c r="AA104" s="211">
        <v>5.9399999999999991E-4</v>
      </c>
      <c r="AB104" s="211">
        <v>5.9399999999999991E-4</v>
      </c>
      <c r="AC104" s="211">
        <v>5.9399999999999991E-4</v>
      </c>
      <c r="AD104" s="211">
        <v>2.8709999999999999E-3</v>
      </c>
      <c r="AE104" s="211">
        <v>4.8509999999999994E-3</v>
      </c>
      <c r="AF104" s="211">
        <v>7.5240000000000003E-3</v>
      </c>
      <c r="AG104" s="211">
        <v>8.9099999999999995E-3</v>
      </c>
      <c r="AH104" s="211">
        <v>5.7419999999999997E-3</v>
      </c>
    </row>
    <row r="105" spans="1:34">
      <c r="A105" s="204">
        <v>26</v>
      </c>
      <c r="B105" s="205" t="s">
        <v>1110</v>
      </c>
      <c r="C105" s="206" t="s">
        <v>1111</v>
      </c>
      <c r="D105" s="206">
        <v>550</v>
      </c>
      <c r="E105" s="206" t="s">
        <v>69</v>
      </c>
      <c r="F105" s="207" t="s">
        <v>1078</v>
      </c>
      <c r="G105" s="211">
        <v>0</v>
      </c>
      <c r="H105" s="211">
        <v>0</v>
      </c>
      <c r="I105" s="211">
        <v>0</v>
      </c>
      <c r="J105" s="211">
        <v>0</v>
      </c>
      <c r="K105" s="211">
        <v>0</v>
      </c>
      <c r="L105" s="211">
        <v>0</v>
      </c>
      <c r="M105" s="211">
        <v>0</v>
      </c>
      <c r="N105" s="211">
        <v>0</v>
      </c>
      <c r="O105" s="211">
        <v>0</v>
      </c>
      <c r="P105" s="211">
        <v>0</v>
      </c>
      <c r="Q105" s="211">
        <v>0</v>
      </c>
      <c r="R105" s="211">
        <v>0</v>
      </c>
      <c r="S105" s="211">
        <v>0</v>
      </c>
      <c r="T105" s="211">
        <v>0</v>
      </c>
      <c r="U105" s="211">
        <v>0</v>
      </c>
      <c r="V105" s="211">
        <v>0</v>
      </c>
      <c r="W105" s="211">
        <v>0</v>
      </c>
      <c r="X105" s="211">
        <v>1E-4</v>
      </c>
      <c r="Y105" s="211">
        <v>1E-4</v>
      </c>
      <c r="Z105" s="211">
        <v>1E-4</v>
      </c>
      <c r="AA105" s="211">
        <v>5.0000000000000001E-4</v>
      </c>
      <c r="AB105" s="211">
        <v>5.0000000000000001E-4</v>
      </c>
      <c r="AC105" s="211">
        <v>5.0000000000000001E-4</v>
      </c>
      <c r="AD105" s="211">
        <v>5.4000000000000003E-3</v>
      </c>
      <c r="AE105" s="211">
        <v>1.0500000000000001E-2</v>
      </c>
      <c r="AF105" s="211">
        <v>1.2E-2</v>
      </c>
      <c r="AG105" s="211">
        <v>3.8999999999999998E-3</v>
      </c>
      <c r="AH105" s="211">
        <v>1.2699999999999999E-2</v>
      </c>
    </row>
    <row r="106" spans="1:34">
      <c r="A106" s="204">
        <v>27</v>
      </c>
      <c r="B106" s="205" t="s">
        <v>1112</v>
      </c>
      <c r="C106" s="206" t="s">
        <v>1113</v>
      </c>
      <c r="D106" s="206">
        <v>10</v>
      </c>
      <c r="E106" s="206" t="s">
        <v>762</v>
      </c>
      <c r="F106" s="207" t="s">
        <v>1078</v>
      </c>
      <c r="G106" s="211">
        <v>0</v>
      </c>
      <c r="H106" s="211">
        <v>0</v>
      </c>
      <c r="I106" s="211">
        <v>0</v>
      </c>
      <c r="J106" s="211">
        <v>0</v>
      </c>
      <c r="K106" s="211">
        <v>0</v>
      </c>
      <c r="L106" s="211">
        <v>0</v>
      </c>
      <c r="M106" s="211">
        <v>0</v>
      </c>
      <c r="N106" s="211">
        <v>0</v>
      </c>
      <c r="O106" s="211">
        <v>0</v>
      </c>
      <c r="P106" s="211">
        <v>0</v>
      </c>
      <c r="Q106" s="211">
        <v>0</v>
      </c>
      <c r="R106" s="211">
        <v>0</v>
      </c>
      <c r="S106" s="211">
        <v>0</v>
      </c>
      <c r="T106" s="211">
        <v>0</v>
      </c>
      <c r="U106" s="211">
        <v>2.0000000000000001E-4</v>
      </c>
      <c r="V106" s="211">
        <v>2.0000000000000001E-4</v>
      </c>
      <c r="W106" s="211">
        <v>2.0000000000000001E-4</v>
      </c>
      <c r="X106" s="211">
        <v>1.1000000000000001E-3</v>
      </c>
      <c r="Y106" s="211">
        <v>1.1000000000000001E-3</v>
      </c>
      <c r="Z106" s="211">
        <v>1.1000000000000001E-3</v>
      </c>
      <c r="AA106" s="211">
        <v>4.3E-3</v>
      </c>
      <c r="AB106" s="211">
        <v>4.3E-3</v>
      </c>
      <c r="AC106" s="211">
        <v>4.3E-3</v>
      </c>
      <c r="AD106" s="211">
        <v>1.4200000000000001E-2</v>
      </c>
      <c r="AE106" s="211">
        <v>1.67E-2</v>
      </c>
      <c r="AF106" s="211">
        <v>1.12E-2</v>
      </c>
      <c r="AG106" s="211">
        <v>3.8E-3</v>
      </c>
      <c r="AH106" s="211">
        <v>2.1899999999999999E-2</v>
      </c>
    </row>
    <row r="107" spans="1:34">
      <c r="A107" s="204">
        <v>28</v>
      </c>
      <c r="B107" s="205" t="s">
        <v>1114</v>
      </c>
      <c r="C107" s="206"/>
      <c r="D107" s="206" t="s">
        <v>1115</v>
      </c>
      <c r="E107" s="206" t="s">
        <v>1116</v>
      </c>
      <c r="F107" s="207" t="s">
        <v>1078</v>
      </c>
      <c r="G107" s="211" t="s">
        <v>1071</v>
      </c>
      <c r="H107" s="211" t="s">
        <v>1071</v>
      </c>
      <c r="I107" s="211" t="s">
        <v>1071</v>
      </c>
      <c r="J107" s="211" t="s">
        <v>1071</v>
      </c>
      <c r="K107" s="211" t="s">
        <v>1071</v>
      </c>
      <c r="L107" s="211" t="s">
        <v>1071</v>
      </c>
      <c r="M107" s="211" t="s">
        <v>1071</v>
      </c>
      <c r="N107" s="211" t="s">
        <v>1071</v>
      </c>
      <c r="O107" s="211" t="s">
        <v>1071</v>
      </c>
      <c r="P107" s="211" t="s">
        <v>1071</v>
      </c>
      <c r="Q107" s="211" t="s">
        <v>1071</v>
      </c>
      <c r="R107" s="211" t="s">
        <v>1071</v>
      </c>
      <c r="S107" s="211" t="s">
        <v>1071</v>
      </c>
      <c r="T107" s="211" t="s">
        <v>1071</v>
      </c>
      <c r="U107" s="211" t="s">
        <v>1071</v>
      </c>
      <c r="V107" s="211" t="s">
        <v>1071</v>
      </c>
      <c r="W107" s="211" t="s">
        <v>1071</v>
      </c>
      <c r="X107" s="211" t="s">
        <v>1071</v>
      </c>
      <c r="Y107" s="211" t="s">
        <v>1071</v>
      </c>
      <c r="Z107" s="211" t="s">
        <v>1071</v>
      </c>
      <c r="AA107" s="211" t="s">
        <v>1071</v>
      </c>
      <c r="AB107" s="211" t="s">
        <v>1071</v>
      </c>
      <c r="AC107" s="211" t="s">
        <v>1071</v>
      </c>
      <c r="AD107" s="211" t="s">
        <v>1071</v>
      </c>
      <c r="AE107" s="211" t="s">
        <v>1071</v>
      </c>
      <c r="AF107" s="211" t="s">
        <v>1071</v>
      </c>
      <c r="AG107" s="211" t="s">
        <v>1071</v>
      </c>
      <c r="AH107" s="211" t="s">
        <v>1071</v>
      </c>
    </row>
    <row r="108" spans="1:34">
      <c r="A108" s="204">
        <v>29</v>
      </c>
      <c r="B108" s="205" t="s">
        <v>1117</v>
      </c>
      <c r="C108" s="206"/>
      <c r="D108" s="206" t="s">
        <v>1115</v>
      </c>
      <c r="E108" s="206" t="s">
        <v>1118</v>
      </c>
      <c r="F108" s="207" t="s">
        <v>1078</v>
      </c>
      <c r="G108" s="211" t="s">
        <v>1071</v>
      </c>
      <c r="H108" s="211" t="s">
        <v>1071</v>
      </c>
      <c r="I108" s="211" t="s">
        <v>1071</v>
      </c>
      <c r="J108" s="211" t="s">
        <v>1071</v>
      </c>
      <c r="K108" s="211" t="s">
        <v>1071</v>
      </c>
      <c r="L108" s="211" t="s">
        <v>1071</v>
      </c>
      <c r="M108" s="211" t="s">
        <v>1071</v>
      </c>
      <c r="N108" s="211" t="s">
        <v>1071</v>
      </c>
      <c r="O108" s="211" t="s">
        <v>1071</v>
      </c>
      <c r="P108" s="211" t="s">
        <v>1071</v>
      </c>
      <c r="Q108" s="211" t="s">
        <v>1071</v>
      </c>
      <c r="R108" s="211" t="s">
        <v>1071</v>
      </c>
      <c r="S108" s="211" t="s">
        <v>1071</v>
      </c>
      <c r="T108" s="211" t="s">
        <v>1071</v>
      </c>
      <c r="U108" s="211" t="s">
        <v>1071</v>
      </c>
      <c r="V108" s="211" t="s">
        <v>1071</v>
      </c>
      <c r="W108" s="211" t="s">
        <v>1071</v>
      </c>
      <c r="X108" s="211" t="s">
        <v>1071</v>
      </c>
      <c r="Y108" s="211" t="s">
        <v>1071</v>
      </c>
      <c r="Z108" s="211" t="s">
        <v>1071</v>
      </c>
      <c r="AA108" s="211" t="s">
        <v>1071</v>
      </c>
      <c r="AB108" s="211" t="s">
        <v>1071</v>
      </c>
      <c r="AC108" s="211" t="s">
        <v>1071</v>
      </c>
      <c r="AD108" s="211" t="s">
        <v>1071</v>
      </c>
      <c r="AE108" s="211" t="s">
        <v>1071</v>
      </c>
      <c r="AF108" s="211" t="s">
        <v>1071</v>
      </c>
      <c r="AG108" s="211" t="s">
        <v>1071</v>
      </c>
      <c r="AH108" s="211" t="s">
        <v>1071</v>
      </c>
    </row>
    <row r="109" spans="1:34">
      <c r="A109" s="204">
        <v>30</v>
      </c>
      <c r="B109" s="205" t="s">
        <v>1119</v>
      </c>
      <c r="C109" s="206"/>
      <c r="D109" s="206" t="s">
        <v>1115</v>
      </c>
      <c r="E109" s="206" t="s">
        <v>1120</v>
      </c>
      <c r="F109" s="207" t="s">
        <v>1078</v>
      </c>
      <c r="G109" s="211" t="s">
        <v>1071</v>
      </c>
      <c r="H109" s="211" t="s">
        <v>1071</v>
      </c>
      <c r="I109" s="211" t="s">
        <v>1071</v>
      </c>
      <c r="J109" s="211" t="s">
        <v>1071</v>
      </c>
      <c r="K109" s="211" t="s">
        <v>1071</v>
      </c>
      <c r="L109" s="211" t="s">
        <v>1071</v>
      </c>
      <c r="M109" s="211" t="s">
        <v>1071</v>
      </c>
      <c r="N109" s="211" t="s">
        <v>1071</v>
      </c>
      <c r="O109" s="211" t="s">
        <v>1071</v>
      </c>
      <c r="P109" s="211" t="s">
        <v>1071</v>
      </c>
      <c r="Q109" s="211" t="s">
        <v>1071</v>
      </c>
      <c r="R109" s="211" t="s">
        <v>1071</v>
      </c>
      <c r="S109" s="211" t="s">
        <v>1071</v>
      </c>
      <c r="T109" s="211" t="s">
        <v>1071</v>
      </c>
      <c r="U109" s="211" t="s">
        <v>1071</v>
      </c>
      <c r="V109" s="211" t="s">
        <v>1071</v>
      </c>
      <c r="W109" s="211" t="s">
        <v>1071</v>
      </c>
      <c r="X109" s="211" t="s">
        <v>1071</v>
      </c>
      <c r="Y109" s="211" t="s">
        <v>1071</v>
      </c>
      <c r="Z109" s="211" t="s">
        <v>1071</v>
      </c>
      <c r="AA109" s="211" t="s">
        <v>1071</v>
      </c>
      <c r="AB109" s="211" t="s">
        <v>1071</v>
      </c>
      <c r="AC109" s="211" t="s">
        <v>1071</v>
      </c>
      <c r="AD109" s="211" t="s">
        <v>1071</v>
      </c>
      <c r="AE109" s="211" t="s">
        <v>1071</v>
      </c>
      <c r="AF109" s="211" t="s">
        <v>1071</v>
      </c>
      <c r="AG109" s="211" t="s">
        <v>1071</v>
      </c>
      <c r="AH109" s="211" t="s">
        <v>1071</v>
      </c>
    </row>
    <row r="110" spans="1:34">
      <c r="A110" s="204">
        <v>31</v>
      </c>
      <c r="B110" s="205" t="s">
        <v>1121</v>
      </c>
      <c r="C110" s="206"/>
      <c r="D110" s="206">
        <v>33</v>
      </c>
      <c r="E110" s="206" t="s">
        <v>762</v>
      </c>
      <c r="F110" s="207" t="s">
        <v>1078</v>
      </c>
      <c r="G110" s="211">
        <v>6.8640000000000003E-3</v>
      </c>
      <c r="H110" s="211">
        <v>6.0720000000000001E-3</v>
      </c>
      <c r="I110" s="211">
        <v>5.412000000000001E-3</v>
      </c>
      <c r="J110" s="211">
        <v>5.412000000000001E-3</v>
      </c>
      <c r="K110" s="211">
        <v>5.412000000000001E-3</v>
      </c>
      <c r="L110" s="211">
        <v>3.8279999999999998E-3</v>
      </c>
      <c r="M110" s="211">
        <v>3.8279999999999998E-3</v>
      </c>
      <c r="N110" s="211">
        <v>3.8279999999999998E-3</v>
      </c>
      <c r="O110" s="211">
        <v>2.7720000000000002E-3</v>
      </c>
      <c r="P110" s="211">
        <v>2.7720000000000002E-3</v>
      </c>
      <c r="Q110" s="211">
        <v>2.7720000000000002E-3</v>
      </c>
      <c r="R110" s="211">
        <v>1.98E-3</v>
      </c>
      <c r="S110" s="211">
        <v>1.98E-3</v>
      </c>
      <c r="T110" s="211">
        <v>1.98E-3</v>
      </c>
      <c r="U110" s="211">
        <v>1.32E-3</v>
      </c>
      <c r="V110" s="211">
        <v>1.32E-3</v>
      </c>
      <c r="W110" s="211">
        <v>1.32E-3</v>
      </c>
      <c r="X110" s="211">
        <v>9.2400000000000002E-4</v>
      </c>
      <c r="Y110" s="211">
        <v>9.2400000000000002E-4</v>
      </c>
      <c r="Z110" s="211">
        <v>9.2400000000000002E-4</v>
      </c>
      <c r="AA110" s="211">
        <v>6.6E-4</v>
      </c>
      <c r="AB110" s="211">
        <v>6.6E-4</v>
      </c>
      <c r="AC110" s="211">
        <v>6.6E-4</v>
      </c>
      <c r="AD110" s="211">
        <v>5.2800000000000004E-4</v>
      </c>
      <c r="AE110" s="211">
        <v>5.2800000000000004E-4</v>
      </c>
      <c r="AF110" s="211">
        <v>3.9599999999999998E-4</v>
      </c>
      <c r="AG110" s="211">
        <v>3.9599999999999998E-4</v>
      </c>
      <c r="AH110" s="211">
        <v>2.6400000000000002E-4</v>
      </c>
    </row>
    <row r="111" spans="1:34">
      <c r="A111" s="204">
        <v>32</v>
      </c>
      <c r="B111" s="205" t="s">
        <v>1122</v>
      </c>
      <c r="C111" s="206"/>
      <c r="D111" s="206">
        <v>33</v>
      </c>
      <c r="E111" s="206" t="s">
        <v>762</v>
      </c>
      <c r="F111" s="207" t="s">
        <v>1078</v>
      </c>
      <c r="G111" s="211">
        <v>4.2240000000000003E-3</v>
      </c>
      <c r="H111" s="211">
        <v>3.8279999999999998E-3</v>
      </c>
      <c r="I111" s="211">
        <v>3.4320000000000002E-3</v>
      </c>
      <c r="J111" s="211">
        <v>3.4320000000000002E-3</v>
      </c>
      <c r="K111" s="211">
        <v>3.4320000000000002E-3</v>
      </c>
      <c r="L111" s="211">
        <v>2.3760000000000001E-3</v>
      </c>
      <c r="M111" s="211">
        <v>2.3760000000000001E-3</v>
      </c>
      <c r="N111" s="211">
        <v>2.3760000000000001E-3</v>
      </c>
      <c r="O111" s="211">
        <v>1.7160000000000001E-3</v>
      </c>
      <c r="P111" s="211">
        <v>1.7160000000000001E-3</v>
      </c>
      <c r="Q111" s="211">
        <v>1.7160000000000001E-3</v>
      </c>
      <c r="R111" s="211">
        <v>1.188E-3</v>
      </c>
      <c r="S111" s="211">
        <v>1.188E-3</v>
      </c>
      <c r="T111" s="211">
        <v>1.188E-3</v>
      </c>
      <c r="U111" s="211">
        <v>7.9199999999999995E-4</v>
      </c>
      <c r="V111" s="211">
        <v>7.9199999999999995E-4</v>
      </c>
      <c r="W111" s="211">
        <v>7.9199999999999995E-4</v>
      </c>
      <c r="X111" s="211">
        <v>6.6E-4</v>
      </c>
      <c r="Y111" s="211">
        <v>6.6E-4</v>
      </c>
      <c r="Z111" s="211">
        <v>6.6E-4</v>
      </c>
      <c r="AA111" s="211" t="s">
        <v>1071</v>
      </c>
      <c r="AB111" s="211" t="s">
        <v>1071</v>
      </c>
      <c r="AC111" s="211" t="s">
        <v>1071</v>
      </c>
      <c r="AD111" s="211" t="s">
        <v>1071</v>
      </c>
      <c r="AE111" s="211" t="s">
        <v>1071</v>
      </c>
      <c r="AF111" s="211" t="s">
        <v>1071</v>
      </c>
      <c r="AG111" s="211" t="s">
        <v>1071</v>
      </c>
      <c r="AH111" s="211" t="s">
        <v>1071</v>
      </c>
    </row>
    <row r="112" spans="1:34">
      <c r="A112" s="204">
        <v>33</v>
      </c>
      <c r="B112" s="205" t="s">
        <v>1123</v>
      </c>
      <c r="C112" s="206"/>
      <c r="D112" s="206">
        <v>0.08</v>
      </c>
      <c r="E112" s="206" t="s">
        <v>72</v>
      </c>
      <c r="F112" s="207" t="s">
        <v>1078</v>
      </c>
      <c r="G112" s="211">
        <v>4.1663999999999998E-3</v>
      </c>
      <c r="H112" s="211">
        <v>4.1663999999999998E-3</v>
      </c>
      <c r="I112" s="211">
        <v>4.1663999999999998E-3</v>
      </c>
      <c r="J112" s="211">
        <v>4.1663999999999998E-3</v>
      </c>
      <c r="K112" s="211">
        <v>4.1663999999999998E-3</v>
      </c>
      <c r="L112" s="211">
        <v>4.1663999999999998E-3</v>
      </c>
      <c r="M112" s="211">
        <v>4.1663999999999998E-3</v>
      </c>
      <c r="N112" s="211">
        <v>4.1663999999999998E-3</v>
      </c>
      <c r="O112" s="211">
        <v>4.1663999999999998E-3</v>
      </c>
      <c r="P112" s="211">
        <v>4.1663999999999998E-3</v>
      </c>
      <c r="Q112" s="211">
        <v>4.1663999999999998E-3</v>
      </c>
      <c r="R112" s="211">
        <v>4.1663999999999998E-3</v>
      </c>
      <c r="S112" s="211">
        <v>4.1663999999999998E-3</v>
      </c>
      <c r="T112" s="211">
        <v>4.1663999999999998E-3</v>
      </c>
      <c r="U112" s="211">
        <v>4.1663999999999998E-3</v>
      </c>
      <c r="V112" s="211">
        <v>4.1663999999999998E-3</v>
      </c>
      <c r="W112" s="211">
        <v>4.1663999999999998E-3</v>
      </c>
      <c r="X112" s="211">
        <v>4.1663999999999998E-3</v>
      </c>
      <c r="Y112" s="211">
        <v>4.1663999999999998E-3</v>
      </c>
      <c r="Z112" s="211">
        <v>4.1663999999999998E-3</v>
      </c>
      <c r="AA112" s="211">
        <v>4.1663999999999998E-3</v>
      </c>
      <c r="AB112" s="211">
        <v>4.1663999999999998E-3</v>
      </c>
      <c r="AC112" s="211">
        <v>4.1663999999999998E-3</v>
      </c>
      <c r="AD112" s="211">
        <v>4.1663999999999998E-3</v>
      </c>
      <c r="AE112" s="211">
        <v>4.1663999999999998E-3</v>
      </c>
      <c r="AF112" s="211">
        <v>4.1663999999999998E-3</v>
      </c>
      <c r="AG112" s="211">
        <v>4.1663999999999998E-3</v>
      </c>
      <c r="AH112" s="211">
        <v>4.1663999999999998E-3</v>
      </c>
    </row>
    <row r="113" spans="1:34">
      <c r="A113" s="200"/>
      <c r="B113" s="201" t="s">
        <v>1124</v>
      </c>
      <c r="C113" s="202"/>
      <c r="D113" s="201"/>
      <c r="E113" s="202" t="s">
        <v>63</v>
      </c>
      <c r="F113" s="201"/>
      <c r="G113" s="203">
        <f>SQRT((G115^2+G117^2+G118^2))</f>
        <v>1.5350000000000001E-2</v>
      </c>
      <c r="H113" s="202">
        <f t="shared" ref="H113:AH113" si="14">SQRT((H115^2+H117^2+H118^2))</f>
        <v>1.375E-2</v>
      </c>
      <c r="I113" s="202">
        <f t="shared" si="14"/>
        <v>1.23E-2</v>
      </c>
      <c r="J113" s="202">
        <f t="shared" si="14"/>
        <v>1.23E-2</v>
      </c>
      <c r="K113" s="202">
        <f t="shared" si="14"/>
        <v>1.23E-2</v>
      </c>
      <c r="L113" s="202">
        <f t="shared" si="14"/>
        <v>8.8000000000000005E-3</v>
      </c>
      <c r="M113" s="202">
        <f t="shared" si="14"/>
        <v>8.8000000000000005E-3</v>
      </c>
      <c r="N113" s="202">
        <f t="shared" si="14"/>
        <v>8.8000000000000005E-3</v>
      </c>
      <c r="O113" s="202">
        <f t="shared" si="14"/>
        <v>6.2500000000000003E-3</v>
      </c>
      <c r="P113" s="202">
        <f t="shared" si="14"/>
        <v>6.2500000000000003E-3</v>
      </c>
      <c r="Q113" s="202">
        <f t="shared" si="14"/>
        <v>6.2500000000000003E-3</v>
      </c>
      <c r="R113" s="202">
        <f t="shared" si="14"/>
        <v>4.4000000000000003E-3</v>
      </c>
      <c r="S113" s="202">
        <f t="shared" si="14"/>
        <v>4.4000000000000003E-3</v>
      </c>
      <c r="T113" s="202">
        <f t="shared" si="14"/>
        <v>4.4000000000000003E-3</v>
      </c>
      <c r="U113" s="203">
        <f t="shared" si="14"/>
        <v>3.0504098085339291E-3</v>
      </c>
      <c r="V113" s="203">
        <f t="shared" si="14"/>
        <v>3.0504098085339291E-3</v>
      </c>
      <c r="W113" s="203">
        <f t="shared" si="14"/>
        <v>3.0504098085339291E-3</v>
      </c>
      <c r="X113" s="203">
        <f t="shared" si="14"/>
        <v>1.9659603251337499E-3</v>
      </c>
      <c r="Y113" s="203">
        <f t="shared" si="14"/>
        <v>1.9659603251337499E-3</v>
      </c>
      <c r="Z113" s="203">
        <f t="shared" si="14"/>
        <v>1.9659603251337499E-3</v>
      </c>
      <c r="AA113" s="202">
        <f t="shared" si="14"/>
        <v>1.2103718436910205E-3</v>
      </c>
      <c r="AB113" s="202">
        <f t="shared" si="14"/>
        <v>1.2103718436910205E-3</v>
      </c>
      <c r="AC113" s="202">
        <f t="shared" si="14"/>
        <v>1.2103718436910205E-3</v>
      </c>
      <c r="AD113" s="202">
        <f t="shared" si="14"/>
        <v>4.0162171256046403E-3</v>
      </c>
      <c r="AE113" s="202">
        <f t="shared" si="14"/>
        <v>6.388466169590319E-3</v>
      </c>
      <c r="AF113" s="202">
        <f t="shared" si="14"/>
        <v>9.3489304201068903E-3</v>
      </c>
      <c r="AG113" s="202">
        <f t="shared" si="14"/>
        <v>1.2614773085553303E-2</v>
      </c>
      <c r="AH113" s="202">
        <f t="shared" si="14"/>
        <v>1.849087612851268E-2</v>
      </c>
    </row>
    <row r="114" spans="1:34">
      <c r="C114" s="209"/>
    </row>
    <row r="115" spans="1:34">
      <c r="A115" s="204">
        <v>34</v>
      </c>
      <c r="B115" s="205" t="s">
        <v>1125</v>
      </c>
      <c r="C115" s="206"/>
      <c r="D115" s="206">
        <v>100</v>
      </c>
      <c r="E115" s="206" t="s">
        <v>762</v>
      </c>
      <c r="F115" s="207" t="s">
        <v>1078</v>
      </c>
      <c r="G115" s="211">
        <v>1.5350000000000001E-2</v>
      </c>
      <c r="H115" s="211">
        <v>1.375E-2</v>
      </c>
      <c r="I115" s="211">
        <v>1.23E-2</v>
      </c>
      <c r="J115" s="211">
        <v>1.23E-2</v>
      </c>
      <c r="K115" s="211">
        <v>1.23E-2</v>
      </c>
      <c r="L115" s="211">
        <v>8.8000000000000005E-3</v>
      </c>
      <c r="M115" s="211">
        <v>8.8000000000000005E-3</v>
      </c>
      <c r="N115" s="211">
        <v>8.8000000000000005E-3</v>
      </c>
      <c r="O115" s="211">
        <v>6.2500000000000003E-3</v>
      </c>
      <c r="P115" s="211">
        <v>6.2500000000000003E-3</v>
      </c>
      <c r="Q115" s="211">
        <v>6.2500000000000003E-3</v>
      </c>
      <c r="R115" s="211">
        <v>4.4000000000000003E-3</v>
      </c>
      <c r="S115" s="211">
        <v>4.4000000000000003E-3</v>
      </c>
      <c r="T115" s="211">
        <v>4.4000000000000003E-3</v>
      </c>
      <c r="U115" s="211">
        <v>3.0500000000000002E-3</v>
      </c>
      <c r="V115" s="211">
        <v>3.0500000000000002E-3</v>
      </c>
      <c r="W115" s="211">
        <v>3.0500000000000002E-3</v>
      </c>
      <c r="X115" s="211">
        <v>1.9499999999999999E-3</v>
      </c>
      <c r="Y115" s="211">
        <v>1.9499999999999999E-3</v>
      </c>
      <c r="Z115" s="211">
        <v>1.9499999999999999E-3</v>
      </c>
      <c r="AA115" s="211">
        <v>7.5000000000000002E-4</v>
      </c>
      <c r="AB115" s="211">
        <v>7.5000000000000002E-4</v>
      </c>
      <c r="AC115" s="211">
        <v>7.5000000000000002E-4</v>
      </c>
      <c r="AD115" s="211">
        <v>1.2999999999999999E-3</v>
      </c>
      <c r="AE115" s="211">
        <v>2.4499999999999999E-3</v>
      </c>
      <c r="AF115" s="211">
        <v>4.0000000000000001E-3</v>
      </c>
      <c r="AG115" s="211">
        <v>6.3499999999999997E-3</v>
      </c>
      <c r="AH115" s="211">
        <v>1.095E-2</v>
      </c>
    </row>
    <row r="116" spans="1:34">
      <c r="A116" s="204">
        <v>35</v>
      </c>
      <c r="B116" s="205" t="s">
        <v>1126</v>
      </c>
      <c r="C116" s="206"/>
      <c r="D116" s="206" t="s">
        <v>1071</v>
      </c>
      <c r="E116" s="206" t="s">
        <v>1071</v>
      </c>
      <c r="F116" s="207" t="s">
        <v>1078</v>
      </c>
      <c r="G116" s="211" t="s">
        <v>1071</v>
      </c>
      <c r="H116" s="211" t="s">
        <v>1071</v>
      </c>
      <c r="I116" s="211" t="s">
        <v>1071</v>
      </c>
      <c r="J116" s="211" t="s">
        <v>1071</v>
      </c>
      <c r="K116" s="211" t="s">
        <v>1071</v>
      </c>
      <c r="L116" s="211" t="s">
        <v>1071</v>
      </c>
      <c r="M116" s="211" t="s">
        <v>1071</v>
      </c>
      <c r="N116" s="211" t="s">
        <v>1071</v>
      </c>
      <c r="O116" s="211" t="s">
        <v>1071</v>
      </c>
      <c r="P116" s="211" t="s">
        <v>1071</v>
      </c>
      <c r="Q116" s="211" t="s">
        <v>1071</v>
      </c>
      <c r="R116" s="211" t="s">
        <v>1071</v>
      </c>
      <c r="S116" s="211" t="s">
        <v>1071</v>
      </c>
      <c r="T116" s="211" t="s">
        <v>1071</v>
      </c>
      <c r="U116" s="211" t="s">
        <v>1071</v>
      </c>
      <c r="V116" s="211" t="s">
        <v>1071</v>
      </c>
      <c r="W116" s="211" t="s">
        <v>1071</v>
      </c>
      <c r="X116" s="211" t="s">
        <v>1071</v>
      </c>
      <c r="Y116" s="211" t="s">
        <v>1071</v>
      </c>
      <c r="Z116" s="211" t="s">
        <v>1071</v>
      </c>
      <c r="AA116" s="211" t="s">
        <v>1071</v>
      </c>
      <c r="AB116" s="211" t="s">
        <v>1071</v>
      </c>
      <c r="AC116" s="211" t="s">
        <v>1071</v>
      </c>
      <c r="AD116" s="211" t="s">
        <v>1071</v>
      </c>
      <c r="AE116" s="211" t="s">
        <v>1071</v>
      </c>
      <c r="AF116" s="211" t="s">
        <v>1071</v>
      </c>
      <c r="AG116" s="211" t="s">
        <v>1071</v>
      </c>
      <c r="AH116" s="211" t="s">
        <v>1071</v>
      </c>
    </row>
    <row r="117" spans="1:34">
      <c r="A117" s="204">
        <v>36</v>
      </c>
      <c r="B117" s="205" t="s">
        <v>1127</v>
      </c>
      <c r="C117" s="206"/>
      <c r="D117" s="206">
        <v>1</v>
      </c>
      <c r="E117" s="206" t="s">
        <v>1071</v>
      </c>
      <c r="F117" s="207" t="s">
        <v>1078</v>
      </c>
      <c r="G117" s="211">
        <v>0</v>
      </c>
      <c r="H117" s="211">
        <v>0</v>
      </c>
      <c r="I117" s="211">
        <v>0</v>
      </c>
      <c r="J117" s="211">
        <v>0</v>
      </c>
      <c r="K117" s="211">
        <v>0</v>
      </c>
      <c r="L117" s="211">
        <v>0</v>
      </c>
      <c r="M117" s="211">
        <v>0</v>
      </c>
      <c r="N117" s="211">
        <v>0</v>
      </c>
      <c r="O117" s="211">
        <v>0</v>
      </c>
      <c r="P117" s="211">
        <v>0</v>
      </c>
      <c r="Q117" s="211">
        <v>0</v>
      </c>
      <c r="R117" s="211">
        <v>0</v>
      </c>
      <c r="S117" s="211">
        <v>0</v>
      </c>
      <c r="T117" s="211">
        <v>0</v>
      </c>
      <c r="U117" s="211">
        <v>0</v>
      </c>
      <c r="V117" s="211">
        <v>0</v>
      </c>
      <c r="W117" s="211">
        <v>0</v>
      </c>
      <c r="X117" s="211">
        <v>0</v>
      </c>
      <c r="Y117" s="211">
        <v>0</v>
      </c>
      <c r="Z117" s="211">
        <v>0</v>
      </c>
      <c r="AA117" s="211">
        <v>0</v>
      </c>
      <c r="AB117" s="211">
        <v>0</v>
      </c>
      <c r="AC117" s="211">
        <v>0</v>
      </c>
      <c r="AD117" s="211">
        <v>0</v>
      </c>
      <c r="AE117" s="211">
        <v>0</v>
      </c>
      <c r="AF117" s="211">
        <v>0</v>
      </c>
      <c r="AG117" s="211">
        <v>0</v>
      </c>
      <c r="AH117" s="211">
        <v>0</v>
      </c>
    </row>
    <row r="118" spans="1:34">
      <c r="A118" s="204">
        <v>37</v>
      </c>
      <c r="B118" s="205" t="s">
        <v>1128</v>
      </c>
      <c r="C118" s="206"/>
      <c r="D118" s="206">
        <v>100</v>
      </c>
      <c r="E118" s="206" t="s">
        <v>762</v>
      </c>
      <c r="F118" s="207" t="s">
        <v>1078</v>
      </c>
      <c r="G118" s="211">
        <v>0</v>
      </c>
      <c r="H118" s="211">
        <v>0</v>
      </c>
      <c r="I118" s="211">
        <v>0</v>
      </c>
      <c r="J118" s="211">
        <v>0</v>
      </c>
      <c r="K118" s="211">
        <v>0</v>
      </c>
      <c r="L118" s="211">
        <v>0</v>
      </c>
      <c r="M118" s="211">
        <v>0</v>
      </c>
      <c r="N118" s="211">
        <v>0</v>
      </c>
      <c r="O118" s="211">
        <v>0</v>
      </c>
      <c r="P118" s="211">
        <v>0</v>
      </c>
      <c r="Q118" s="211">
        <v>0</v>
      </c>
      <c r="R118" s="211">
        <v>0</v>
      </c>
      <c r="S118" s="211">
        <v>0</v>
      </c>
      <c r="T118" s="211">
        <v>0</v>
      </c>
      <c r="U118" s="211">
        <v>5.0000000000000002E-5</v>
      </c>
      <c r="V118" s="211">
        <v>5.0000000000000002E-5</v>
      </c>
      <c r="W118" s="211">
        <v>5.0000000000000002E-5</v>
      </c>
      <c r="X118" s="211">
        <v>2.5000000000000001E-4</v>
      </c>
      <c r="Y118" s="211">
        <v>2.5000000000000001E-4</v>
      </c>
      <c r="Z118" s="211">
        <v>2.5000000000000001E-4</v>
      </c>
      <c r="AA118" s="211">
        <v>9.5E-4</v>
      </c>
      <c r="AB118" s="211">
        <v>9.5E-4</v>
      </c>
      <c r="AC118" s="211">
        <v>9.5E-4</v>
      </c>
      <c r="AD118" s="211">
        <v>3.8E-3</v>
      </c>
      <c r="AE118" s="211">
        <v>5.8999999999999999E-3</v>
      </c>
      <c r="AF118" s="211">
        <v>8.4499999999999992E-3</v>
      </c>
      <c r="AG118" s="211">
        <v>1.09E-2</v>
      </c>
      <c r="AH118" s="211">
        <v>1.49E-2</v>
      </c>
    </row>
    <row r="119" spans="1:34">
      <c r="A119" s="202"/>
      <c r="B119" s="201" t="s">
        <v>1129</v>
      </c>
      <c r="C119" s="202"/>
      <c r="D119" s="202"/>
      <c r="E119" s="202" t="s">
        <v>63</v>
      </c>
      <c r="F119" s="202"/>
      <c r="G119" s="203">
        <f>SQRT((G121^2+G122^2+G123^2+G124^2+G125^2+G126^2+G127^2+G128^2+G129^2+G130^2))</f>
        <v>1.0727666232961328E-2</v>
      </c>
      <c r="H119" s="202">
        <f t="shared" ref="H119:AH119" si="15">SQRT((H121^2+H122^2+H123^2+H124^2+H125^2+H126^2+H127^2+H128^2+H129^2+H130^2))</f>
        <v>9.8546468903379942E-3</v>
      </c>
      <c r="I119" s="202">
        <f t="shared" si="15"/>
        <v>9.6491758954457725E-3</v>
      </c>
      <c r="J119" s="202">
        <f t="shared" si="15"/>
        <v>9.4878584165939851E-3</v>
      </c>
      <c r="K119" s="202">
        <f t="shared" si="15"/>
        <v>9.5400606566904671E-3</v>
      </c>
      <c r="L119" s="202">
        <f t="shared" si="15"/>
        <v>9.52154122525725E-3</v>
      </c>
      <c r="M119" s="202">
        <f t="shared" si="15"/>
        <v>9.3253824229000571E-3</v>
      </c>
      <c r="N119" s="202">
        <f t="shared" si="15"/>
        <v>9.4060401161523161E-3</v>
      </c>
      <c r="O119" s="202">
        <f t="shared" si="15"/>
        <v>9.3761894890875743E-3</v>
      </c>
      <c r="P119" s="202">
        <f t="shared" si="15"/>
        <v>9.4131233215477769E-3</v>
      </c>
      <c r="Q119" s="202">
        <f t="shared" si="15"/>
        <v>9.3617995421108359E-3</v>
      </c>
      <c r="R119" s="202">
        <f t="shared" si="15"/>
        <v>9.3378807185226752E-3</v>
      </c>
      <c r="S119" s="202">
        <f t="shared" si="15"/>
        <v>9.3710239924282915E-3</v>
      </c>
      <c r="T119" s="202">
        <f t="shared" si="15"/>
        <v>9.3872816796628268E-3</v>
      </c>
      <c r="U119" s="203">
        <f t="shared" si="15"/>
        <v>9.4280343990772054E-3</v>
      </c>
      <c r="V119" s="203">
        <f t="shared" si="15"/>
        <v>9.381365643302329E-3</v>
      </c>
      <c r="W119" s="203">
        <f t="shared" si="15"/>
        <v>9.3836908872077986E-3</v>
      </c>
      <c r="X119" s="202">
        <f t="shared" si="15"/>
        <v>9.590594544133647E-3</v>
      </c>
      <c r="Y119" s="202">
        <f t="shared" si="15"/>
        <v>9.6840349717116029E-3</v>
      </c>
      <c r="Z119" s="202">
        <f t="shared" si="15"/>
        <v>9.72733091174895E-3</v>
      </c>
      <c r="AA119" s="202">
        <f t="shared" si="15"/>
        <v>1.0077566718160274E-2</v>
      </c>
      <c r="AB119" s="202">
        <f t="shared" si="15"/>
        <v>1.0263299014774277E-2</v>
      </c>
      <c r="AC119" s="202">
        <f t="shared" si="15"/>
        <v>1.0853509724201354E-2</v>
      </c>
      <c r="AD119" s="202">
        <f t="shared" si="15"/>
        <v>1.4487740434542146E-2</v>
      </c>
      <c r="AE119" s="202">
        <f t="shared" si="15"/>
        <v>1.7381573873676937E-2</v>
      </c>
      <c r="AF119" s="202">
        <f t="shared" si="15"/>
        <v>1.9200441426586778E-2</v>
      </c>
      <c r="AG119" s="202">
        <f t="shared" si="15"/>
        <v>2.7305662743185424E-2</v>
      </c>
      <c r="AH119" s="202">
        <f t="shared" si="15"/>
        <v>4.2303591989748771E-2</v>
      </c>
    </row>
    <row r="120" spans="1:34">
      <c r="C120" s="209"/>
      <c r="G120" s="210"/>
    </row>
    <row r="121" spans="1:34">
      <c r="A121" s="204">
        <v>38</v>
      </c>
      <c r="B121" s="205" t="s">
        <v>1130</v>
      </c>
      <c r="C121" s="206"/>
      <c r="D121" s="206">
        <v>3</v>
      </c>
      <c r="E121" s="206" t="s">
        <v>1071</v>
      </c>
      <c r="F121" s="207"/>
      <c r="G121" s="211">
        <v>5.773502691896258E-4</v>
      </c>
      <c r="H121" s="211">
        <v>5.773502691896258E-4</v>
      </c>
      <c r="I121" s="211">
        <v>5.773502691896258E-4</v>
      </c>
      <c r="J121" s="211">
        <v>5.773502691896258E-4</v>
      </c>
      <c r="K121" s="211">
        <v>5.773502691896258E-4</v>
      </c>
      <c r="L121" s="211">
        <v>5.773502691896258E-4</v>
      </c>
      <c r="M121" s="211">
        <v>5.773502691896258E-4</v>
      </c>
      <c r="N121" s="211">
        <v>5.773502691896258E-4</v>
      </c>
      <c r="O121" s="211">
        <v>5.773502691896258E-4</v>
      </c>
      <c r="P121" s="211">
        <v>5.773502691896258E-4</v>
      </c>
      <c r="Q121" s="211">
        <v>5.773502691896258E-4</v>
      </c>
      <c r="R121" s="211">
        <v>5.773502691896258E-4</v>
      </c>
      <c r="S121" s="211">
        <v>5.773502691896258E-4</v>
      </c>
      <c r="T121" s="211">
        <v>5.773502691896258E-4</v>
      </c>
      <c r="U121" s="211">
        <v>5.773502691896258E-4</v>
      </c>
      <c r="V121" s="211">
        <v>5.773502691896258E-4</v>
      </c>
      <c r="W121" s="211">
        <v>5.773502691896258E-4</v>
      </c>
      <c r="X121" s="211">
        <v>5.773502691896258E-4</v>
      </c>
      <c r="Y121" s="211">
        <v>5.773502691896258E-4</v>
      </c>
      <c r="Z121" s="211">
        <v>5.773502691896258E-4</v>
      </c>
      <c r="AA121" s="211">
        <v>5.773502691896258E-4</v>
      </c>
      <c r="AB121" s="211">
        <v>5.773502691896258E-4</v>
      </c>
      <c r="AC121" s="211">
        <v>5.773502691896258E-4</v>
      </c>
      <c r="AD121" s="211">
        <v>5.773502691896258E-4</v>
      </c>
      <c r="AE121" s="211">
        <v>5.773502691896258E-4</v>
      </c>
      <c r="AF121" s="211">
        <v>5.773502691896258E-4</v>
      </c>
      <c r="AG121" s="211">
        <v>5.773502691896258E-4</v>
      </c>
      <c r="AH121" s="211">
        <v>5.773502691896258E-4</v>
      </c>
    </row>
    <row r="122" spans="1:34">
      <c r="A122" s="204">
        <v>39</v>
      </c>
      <c r="B122" s="205" t="s">
        <v>1131</v>
      </c>
      <c r="C122" s="206"/>
      <c r="D122" s="206"/>
      <c r="E122" s="206" t="s">
        <v>1071</v>
      </c>
      <c r="F122" s="207" t="s">
        <v>1132</v>
      </c>
      <c r="G122" s="211">
        <f>0.0111377823832869/(3)^0.5</f>
        <v>6.4304016571661632E-3</v>
      </c>
      <c r="H122" s="211">
        <f>0.0083751969528928/(3)^0.5</f>
        <v>4.8354222152687922E-3</v>
      </c>
      <c r="I122" s="211">
        <f>0.00762374674184257/(3)^0.5</f>
        <v>4.4015722336363406E-3</v>
      </c>
      <c r="J122" s="211">
        <f>0.00699/(3)^0.5</f>
        <v>4.0356783816354845E-3</v>
      </c>
      <c r="K122" s="211">
        <f>0.0072/(3)^0.5</f>
        <v>4.1569219381653059E-3</v>
      </c>
      <c r="L122" s="211">
        <f>0.00712607675462593/(3)^0.5</f>
        <v>4.1142423325492153E-3</v>
      </c>
      <c r="M122" s="211">
        <f>0.0063/(3)^0.5</f>
        <v>3.6373066958946426E-3</v>
      </c>
      <c r="N122" s="211">
        <f>0.00665/(3)^0.5</f>
        <v>3.8393792901110116E-3</v>
      </c>
      <c r="O122" s="211">
        <f>0.00652230910075787/(3)^0.5</f>
        <v>3.7656569150605027E-3</v>
      </c>
      <c r="P122" s="211">
        <f>0.00668/(3)^0.5</f>
        <v>3.8566997981867002E-3</v>
      </c>
      <c r="Q122" s="211">
        <f>0.00646/(3)^0.5</f>
        <v>3.7296827389649823E-3</v>
      </c>
      <c r="R122" s="211">
        <f>0.0063552951890587/(3)^0.5</f>
        <v>3.669231388182574E-3</v>
      </c>
      <c r="S122" s="211">
        <f>0.0065/(3)^0.5</f>
        <v>3.7527767497325675E-3</v>
      </c>
      <c r="T122" s="211">
        <f>0.00657/(3)^0.5</f>
        <v>3.7931912685758417E-3</v>
      </c>
      <c r="U122" s="211">
        <f>0.00673832574832571/(3)^0.5</f>
        <v>3.8903741846832355E-3</v>
      </c>
      <c r="V122" s="211">
        <f>0.00654/(3)^0.5</f>
        <v>3.7758707605001526E-3</v>
      </c>
      <c r="W122" s="211">
        <f>0.00655/(3)^0.5</f>
        <v>3.7816442631920491E-3</v>
      </c>
      <c r="X122" s="211">
        <f>0.00611297890802007/(3)^0.5</f>
        <v>3.5293300180958922E-3</v>
      </c>
      <c r="Y122" s="211">
        <f>0.00654/(3)^0.5</f>
        <v>3.7758707605001526E-3</v>
      </c>
      <c r="Z122" s="211">
        <f>0.00673/(3)^0.5</f>
        <v>3.8855673116461814E-3</v>
      </c>
      <c r="AA122" s="211">
        <f>0.00714675680829528/(3)^0.5</f>
        <v>4.1261819671020708E-3</v>
      </c>
      <c r="AB122" s="211">
        <f>0.0079/(3)^0.5</f>
        <v>4.5610671265980439E-3</v>
      </c>
      <c r="AC122" s="211">
        <f>0.00999/(3)^0.5</f>
        <v>5.7677291892043623E-3</v>
      </c>
      <c r="AD122" s="211">
        <f>0.0115147437963683/(3)^0.5</f>
        <v>6.6480404304828117E-3</v>
      </c>
      <c r="AE122" s="211">
        <f>0.0133345885192707/(3)^0.5</f>
        <v>7.6987282711338326E-3</v>
      </c>
      <c r="AF122" s="211">
        <f>0.016558429059768/(3)^0.5</f>
        <v>9.5600134750143759E-3</v>
      </c>
      <c r="AG122" s="211">
        <f>0.0170974591543233/(3)^0.5</f>
        <v>9.8712226452071887E-3</v>
      </c>
      <c r="AH122" s="211">
        <f>0.0336311620629649/(3)^0.5</f>
        <v>1.9416960470212716E-2</v>
      </c>
    </row>
    <row r="123" spans="1:34">
      <c r="A123" s="204">
        <v>40</v>
      </c>
      <c r="B123" s="205" t="s">
        <v>1133</v>
      </c>
      <c r="C123" s="206"/>
      <c r="D123" s="206">
        <v>0.04</v>
      </c>
      <c r="E123" s="206" t="s">
        <v>761</v>
      </c>
      <c r="F123" s="207" t="s">
        <v>1078</v>
      </c>
      <c r="G123" s="211">
        <v>6.3200000000000007E-4</v>
      </c>
      <c r="H123" s="211">
        <v>6.3200000000000007E-4</v>
      </c>
      <c r="I123" s="211">
        <v>6.3200000000000007E-4</v>
      </c>
      <c r="J123" s="211">
        <v>6.3200000000000007E-4</v>
      </c>
      <c r="K123" s="211">
        <v>6.3200000000000007E-4</v>
      </c>
      <c r="L123" s="211">
        <v>6.3200000000000007E-4</v>
      </c>
      <c r="M123" s="211">
        <v>6.3200000000000007E-4</v>
      </c>
      <c r="N123" s="211">
        <v>6.3200000000000007E-4</v>
      </c>
      <c r="O123" s="211">
        <v>6.3200000000000007E-4</v>
      </c>
      <c r="P123" s="211">
        <v>6.3200000000000007E-4</v>
      </c>
      <c r="Q123" s="211">
        <v>6.3200000000000007E-4</v>
      </c>
      <c r="R123" s="211">
        <v>6.3200000000000007E-4</v>
      </c>
      <c r="S123" s="211">
        <v>6.3200000000000007E-4</v>
      </c>
      <c r="T123" s="211">
        <v>6.3200000000000007E-4</v>
      </c>
      <c r="U123" s="211">
        <v>6.3200000000000007E-4</v>
      </c>
      <c r="V123" s="211">
        <v>6.3200000000000007E-4</v>
      </c>
      <c r="W123" s="211">
        <v>6.3200000000000007E-4</v>
      </c>
      <c r="X123" s="211">
        <v>6.3200000000000007E-4</v>
      </c>
      <c r="Y123" s="211">
        <v>6.3200000000000007E-4</v>
      </c>
      <c r="Z123" s="211">
        <v>6.3200000000000007E-4</v>
      </c>
      <c r="AA123" s="211">
        <v>6.3200000000000007E-4</v>
      </c>
      <c r="AB123" s="211">
        <v>6.3200000000000007E-4</v>
      </c>
      <c r="AC123" s="211">
        <v>6.3200000000000007E-4</v>
      </c>
      <c r="AD123" s="211">
        <v>6.3200000000000007E-4</v>
      </c>
      <c r="AE123" s="211">
        <v>6.3200000000000007E-4</v>
      </c>
      <c r="AF123" s="211">
        <v>6.3200000000000007E-4</v>
      </c>
      <c r="AG123" s="211">
        <v>6.3200000000000007E-4</v>
      </c>
      <c r="AH123" s="211">
        <v>6.3200000000000007E-4</v>
      </c>
    </row>
    <row r="124" spans="1:34">
      <c r="A124" s="204">
        <v>41</v>
      </c>
      <c r="B124" s="205" t="s">
        <v>1134</v>
      </c>
      <c r="C124" s="206"/>
      <c r="D124" s="206">
        <v>5</v>
      </c>
      <c r="E124" s="206" t="s">
        <v>761</v>
      </c>
      <c r="F124" s="207" t="s">
        <v>1078</v>
      </c>
      <c r="G124" s="211">
        <v>8.0000000000000002E-3</v>
      </c>
      <c r="H124" s="211">
        <v>8.0000000000000002E-3</v>
      </c>
      <c r="I124" s="211">
        <v>8.0000000000000002E-3</v>
      </c>
      <c r="J124" s="211">
        <v>8.0000000000000002E-3</v>
      </c>
      <c r="K124" s="211">
        <v>8.0000000000000002E-3</v>
      </c>
      <c r="L124" s="211">
        <v>8.0000000000000002E-3</v>
      </c>
      <c r="M124" s="211">
        <v>8.0000000000000002E-3</v>
      </c>
      <c r="N124" s="211">
        <v>8.0000000000000002E-3</v>
      </c>
      <c r="O124" s="211">
        <v>8.0000000000000002E-3</v>
      </c>
      <c r="P124" s="211">
        <v>8.0000000000000002E-3</v>
      </c>
      <c r="Q124" s="211">
        <v>8.0000000000000002E-3</v>
      </c>
      <c r="R124" s="211">
        <v>8.0000000000000002E-3</v>
      </c>
      <c r="S124" s="211">
        <v>8.0000000000000002E-3</v>
      </c>
      <c r="T124" s="211">
        <v>8.0000000000000002E-3</v>
      </c>
      <c r="U124" s="211">
        <v>8.0000000000000002E-3</v>
      </c>
      <c r="V124" s="211">
        <v>8.0000000000000002E-3</v>
      </c>
      <c r="W124" s="211">
        <v>8.0000000000000002E-3</v>
      </c>
      <c r="X124" s="211">
        <v>8.0000000000000002E-3</v>
      </c>
      <c r="Y124" s="211">
        <v>8.0000000000000002E-3</v>
      </c>
      <c r="Z124" s="211">
        <v>8.0000000000000002E-3</v>
      </c>
      <c r="AA124" s="211">
        <v>8.0000000000000002E-3</v>
      </c>
      <c r="AB124" s="211">
        <v>8.0000000000000002E-3</v>
      </c>
      <c r="AC124" s="211">
        <v>8.0000000000000002E-3</v>
      </c>
      <c r="AD124" s="211">
        <v>8.0000000000000002E-3</v>
      </c>
      <c r="AE124" s="211">
        <v>8.0000000000000002E-3</v>
      </c>
      <c r="AF124" s="211">
        <v>8.0000000000000002E-3</v>
      </c>
      <c r="AG124" s="211">
        <v>8.0000000000000002E-3</v>
      </c>
      <c r="AH124" s="211">
        <v>8.0000000000000002E-3</v>
      </c>
    </row>
    <row r="125" spans="1:34">
      <c r="A125" s="204">
        <v>42</v>
      </c>
      <c r="B125" s="205" t="s">
        <v>1135</v>
      </c>
      <c r="C125" s="206"/>
      <c r="D125" s="206">
        <f>D123</f>
        <v>0.04</v>
      </c>
      <c r="E125" s="206" t="s">
        <v>761</v>
      </c>
      <c r="F125" s="207" t="s">
        <v>1078</v>
      </c>
      <c r="G125" s="211">
        <v>0</v>
      </c>
      <c r="H125" s="211">
        <v>0</v>
      </c>
      <c r="I125" s="211">
        <v>0</v>
      </c>
      <c r="J125" s="211">
        <v>0</v>
      </c>
      <c r="K125" s="211">
        <v>0</v>
      </c>
      <c r="L125" s="211">
        <v>0</v>
      </c>
      <c r="M125" s="211">
        <v>0</v>
      </c>
      <c r="N125" s="211">
        <v>0</v>
      </c>
      <c r="O125" s="211">
        <v>0</v>
      </c>
      <c r="P125" s="211">
        <v>0</v>
      </c>
      <c r="Q125" s="211">
        <v>0</v>
      </c>
      <c r="R125" s="211">
        <v>0</v>
      </c>
      <c r="S125" s="211">
        <v>0</v>
      </c>
      <c r="T125" s="211">
        <v>0</v>
      </c>
      <c r="U125" s="211">
        <v>8.0000000000000013E-6</v>
      </c>
      <c r="V125" s="211">
        <v>8.0000000000000013E-6</v>
      </c>
      <c r="W125" s="211">
        <v>8.0000000000000013E-6</v>
      </c>
      <c r="X125" s="211">
        <v>2.3999999999999997E-5</v>
      </c>
      <c r="Y125" s="211">
        <v>2.3999999999999997E-5</v>
      </c>
      <c r="Z125" s="211">
        <v>2.3999999999999997E-5</v>
      </c>
      <c r="AA125" s="211">
        <v>9.5999999999999989E-5</v>
      </c>
      <c r="AB125" s="211">
        <v>9.5999999999999989E-5</v>
      </c>
      <c r="AC125" s="211">
        <v>9.5999999999999989E-5</v>
      </c>
      <c r="AD125" s="211">
        <v>3.68E-4</v>
      </c>
      <c r="AE125" s="211">
        <v>5.44E-4</v>
      </c>
      <c r="AF125" s="211">
        <v>6.5600000000000012E-4</v>
      </c>
      <c r="AG125" s="211">
        <v>3.68E-4</v>
      </c>
      <c r="AH125" s="211">
        <v>4.7199999999999993E-4</v>
      </c>
    </row>
    <row r="126" spans="1:34">
      <c r="A126" s="204">
        <v>43</v>
      </c>
      <c r="B126" s="205" t="s">
        <v>1136</v>
      </c>
      <c r="C126" s="206"/>
      <c r="D126" s="206">
        <f>D124</f>
        <v>5</v>
      </c>
      <c r="E126" s="206" t="s">
        <v>761</v>
      </c>
      <c r="F126" s="207" t="s">
        <v>1078</v>
      </c>
      <c r="G126" s="211">
        <v>0</v>
      </c>
      <c r="H126" s="211">
        <v>0</v>
      </c>
      <c r="I126" s="211">
        <v>0</v>
      </c>
      <c r="J126" s="211">
        <v>0</v>
      </c>
      <c r="K126" s="211">
        <v>0</v>
      </c>
      <c r="L126" s="211">
        <v>0</v>
      </c>
      <c r="M126" s="211">
        <v>0</v>
      </c>
      <c r="N126" s="211">
        <v>0</v>
      </c>
      <c r="O126" s="211">
        <v>0</v>
      </c>
      <c r="P126" s="211">
        <v>0</v>
      </c>
      <c r="Q126" s="211">
        <v>0</v>
      </c>
      <c r="R126" s="211">
        <v>0</v>
      </c>
      <c r="S126" s="211">
        <v>0</v>
      </c>
      <c r="T126" s="211">
        <v>0</v>
      </c>
      <c r="U126" s="211">
        <v>0</v>
      </c>
      <c r="V126" s="211">
        <v>0</v>
      </c>
      <c r="W126" s="211">
        <v>0</v>
      </c>
      <c r="X126" s="211">
        <v>5.0000000000000001E-4</v>
      </c>
      <c r="Y126" s="211">
        <v>5.0000000000000001E-4</v>
      </c>
      <c r="Z126" s="211">
        <v>5.0000000000000001E-4</v>
      </c>
      <c r="AA126" s="211">
        <v>1.4999999999999998E-3</v>
      </c>
      <c r="AB126" s="211">
        <v>1.4999999999999998E-3</v>
      </c>
      <c r="AC126" s="211">
        <v>1.4999999999999998E-3</v>
      </c>
      <c r="AD126" s="211">
        <v>5.5000000000000005E-3</v>
      </c>
      <c r="AE126" s="211">
        <v>5.9999999999999993E-3</v>
      </c>
      <c r="AF126" s="211">
        <v>1E-3</v>
      </c>
      <c r="AG126" s="211">
        <v>0.02</v>
      </c>
      <c r="AH126" s="211">
        <v>3.3000000000000002E-2</v>
      </c>
    </row>
    <row r="127" spans="1:34">
      <c r="A127" s="204">
        <v>44</v>
      </c>
      <c r="B127" s="205" t="s">
        <v>1137</v>
      </c>
      <c r="C127" s="206"/>
      <c r="D127" s="206">
        <v>1</v>
      </c>
      <c r="E127" s="206" t="s">
        <v>479</v>
      </c>
      <c r="F127" s="207" t="s">
        <v>1078</v>
      </c>
      <c r="G127" s="211">
        <v>0</v>
      </c>
      <c r="H127" s="211">
        <v>0</v>
      </c>
      <c r="I127" s="211">
        <v>0</v>
      </c>
      <c r="J127" s="211">
        <v>0</v>
      </c>
      <c r="K127" s="211">
        <v>0</v>
      </c>
      <c r="L127" s="211">
        <v>0</v>
      </c>
      <c r="M127" s="211">
        <v>0</v>
      </c>
      <c r="N127" s="211">
        <v>0</v>
      </c>
      <c r="O127" s="211">
        <v>0</v>
      </c>
      <c r="P127" s="211">
        <v>0</v>
      </c>
      <c r="Q127" s="211">
        <v>0</v>
      </c>
      <c r="R127" s="211">
        <v>0</v>
      </c>
      <c r="S127" s="211">
        <v>0</v>
      </c>
      <c r="T127" s="211">
        <v>0</v>
      </c>
      <c r="U127" s="211">
        <v>1E-4</v>
      </c>
      <c r="V127" s="211">
        <v>1E-4</v>
      </c>
      <c r="W127" s="211">
        <v>1E-4</v>
      </c>
      <c r="X127" s="211">
        <v>2.3E-3</v>
      </c>
      <c r="Y127" s="211">
        <v>2.3E-3</v>
      </c>
      <c r="Z127" s="211">
        <v>2.3E-3</v>
      </c>
      <c r="AA127" s="211">
        <v>2.3E-3</v>
      </c>
      <c r="AB127" s="211">
        <v>2.3E-3</v>
      </c>
      <c r="AC127" s="211">
        <v>2.3E-3</v>
      </c>
      <c r="AD127" s="211">
        <v>2.3E-3</v>
      </c>
      <c r="AE127" s="211">
        <v>2.3E-3</v>
      </c>
      <c r="AF127" s="211">
        <v>2.3E-3</v>
      </c>
      <c r="AG127" s="211">
        <v>2.3E-3</v>
      </c>
      <c r="AH127" s="211">
        <v>2.3E-3</v>
      </c>
    </row>
    <row r="128" spans="1:34">
      <c r="A128" s="204">
        <v>45</v>
      </c>
      <c r="B128" s="205" t="s">
        <v>1138</v>
      </c>
      <c r="C128" s="206"/>
      <c r="D128" s="206">
        <v>3</v>
      </c>
      <c r="E128" s="206" t="s">
        <v>479</v>
      </c>
      <c r="F128" s="207" t="s">
        <v>1078</v>
      </c>
      <c r="G128" s="211">
        <v>3.0000000000000001E-3</v>
      </c>
      <c r="H128" s="211">
        <v>3.0000000000000001E-3</v>
      </c>
      <c r="I128" s="211">
        <v>3.0000000000000001E-3</v>
      </c>
      <c r="J128" s="211">
        <v>3.0000000000000001E-3</v>
      </c>
      <c r="K128" s="211">
        <v>3.0000000000000001E-3</v>
      </c>
      <c r="L128" s="211">
        <v>3.0000000000000001E-3</v>
      </c>
      <c r="M128" s="211">
        <v>3.0000000000000001E-3</v>
      </c>
      <c r="N128" s="211">
        <v>3.0000000000000001E-3</v>
      </c>
      <c r="O128" s="211">
        <v>3.0000000000000001E-3</v>
      </c>
      <c r="P128" s="211">
        <v>3.0000000000000001E-3</v>
      </c>
      <c r="Q128" s="211">
        <v>3.0000000000000001E-3</v>
      </c>
      <c r="R128" s="211">
        <v>3.0000000000000001E-3</v>
      </c>
      <c r="S128" s="211">
        <v>3.0000000000000001E-3</v>
      </c>
      <c r="T128" s="211">
        <v>3.0000000000000001E-3</v>
      </c>
      <c r="U128" s="211">
        <v>3.0000000000000001E-3</v>
      </c>
      <c r="V128" s="211">
        <v>3.0000000000000001E-3</v>
      </c>
      <c r="W128" s="211">
        <v>3.0000000000000001E-3</v>
      </c>
      <c r="X128" s="211">
        <v>3.0000000000000001E-3</v>
      </c>
      <c r="Y128" s="211">
        <v>3.0000000000000001E-3</v>
      </c>
      <c r="Z128" s="211">
        <v>3.0000000000000001E-3</v>
      </c>
      <c r="AA128" s="211">
        <v>3.0000000000000001E-3</v>
      </c>
      <c r="AB128" s="211">
        <v>3.0000000000000001E-3</v>
      </c>
      <c r="AC128" s="211">
        <v>3.0000000000000001E-3</v>
      </c>
      <c r="AD128" s="211">
        <v>3.0000000000000001E-3</v>
      </c>
      <c r="AE128" s="211">
        <v>3.0000000000000001E-3</v>
      </c>
      <c r="AF128" s="211">
        <v>3.0000000000000001E-3</v>
      </c>
      <c r="AG128" s="211">
        <v>3.0000000000000001E-3</v>
      </c>
      <c r="AH128" s="211">
        <v>3.0000000000000001E-3</v>
      </c>
    </row>
    <row r="129" spans="1:34">
      <c r="A129" s="204">
        <v>46</v>
      </c>
      <c r="B129" s="205" t="s">
        <v>1139</v>
      </c>
      <c r="C129" s="206"/>
      <c r="D129" s="206">
        <f>D127</f>
        <v>1</v>
      </c>
      <c r="E129" s="206" t="s">
        <v>479</v>
      </c>
      <c r="F129" s="207" t="s">
        <v>1078</v>
      </c>
      <c r="G129" s="211">
        <v>0</v>
      </c>
      <c r="H129" s="211">
        <v>0</v>
      </c>
      <c r="I129" s="211">
        <v>0</v>
      </c>
      <c r="J129" s="211">
        <v>0</v>
      </c>
      <c r="K129" s="211">
        <v>0</v>
      </c>
      <c r="L129" s="211">
        <v>0</v>
      </c>
      <c r="M129" s="211">
        <v>0</v>
      </c>
      <c r="N129" s="211">
        <v>0</v>
      </c>
      <c r="O129" s="211">
        <v>0</v>
      </c>
      <c r="P129" s="211">
        <v>0</v>
      </c>
      <c r="Q129" s="211">
        <v>0</v>
      </c>
      <c r="R129" s="211">
        <v>0</v>
      </c>
      <c r="S129" s="211">
        <v>0</v>
      </c>
      <c r="T129" s="211">
        <v>0</v>
      </c>
      <c r="U129" s="211">
        <v>1E-4</v>
      </c>
      <c r="V129" s="211">
        <v>1E-4</v>
      </c>
      <c r="W129" s="211">
        <v>1E-4</v>
      </c>
      <c r="X129" s="211">
        <v>4.0000000000000002E-4</v>
      </c>
      <c r="Y129" s="211">
        <v>4.0000000000000002E-4</v>
      </c>
      <c r="Z129" s="211">
        <v>4.0000000000000002E-4</v>
      </c>
      <c r="AA129" s="211">
        <v>1.6999999999999999E-3</v>
      </c>
      <c r="AB129" s="211">
        <v>1.6999999999999999E-3</v>
      </c>
      <c r="AC129" s="211">
        <v>1.6999999999999999E-3</v>
      </c>
      <c r="AD129" s="211">
        <v>7.0000000000000001E-3</v>
      </c>
      <c r="AE129" s="211">
        <v>1.0800000000000001E-2</v>
      </c>
      <c r="AF129" s="211">
        <v>1.4E-2</v>
      </c>
      <c r="AG129" s="211">
        <v>1.12E-2</v>
      </c>
      <c r="AH129" s="211">
        <v>3.2000000000000002E-3</v>
      </c>
    </row>
    <row r="130" spans="1:34">
      <c r="A130" s="204">
        <v>47</v>
      </c>
      <c r="B130" s="205" t="s">
        <v>1140</v>
      </c>
      <c r="C130" s="206"/>
      <c r="D130" s="206">
        <f>D128</f>
        <v>3</v>
      </c>
      <c r="E130" s="206" t="s">
        <v>479</v>
      </c>
      <c r="F130" s="207" t="s">
        <v>1078</v>
      </c>
      <c r="G130" s="211">
        <v>0</v>
      </c>
      <c r="H130" s="211">
        <v>0</v>
      </c>
      <c r="I130" s="211">
        <v>0</v>
      </c>
      <c r="J130" s="211">
        <v>0</v>
      </c>
      <c r="K130" s="211">
        <v>0</v>
      </c>
      <c r="L130" s="211">
        <v>0</v>
      </c>
      <c r="M130" s="211">
        <v>0</v>
      </c>
      <c r="N130" s="211">
        <v>0</v>
      </c>
      <c r="O130" s="211">
        <v>0</v>
      </c>
      <c r="P130" s="211">
        <v>0</v>
      </c>
      <c r="Q130" s="211">
        <v>0</v>
      </c>
      <c r="R130" s="211">
        <v>0</v>
      </c>
      <c r="S130" s="211">
        <v>0</v>
      </c>
      <c r="T130" s="211">
        <v>0</v>
      </c>
      <c r="U130" s="211">
        <v>0</v>
      </c>
      <c r="V130" s="211">
        <v>0</v>
      </c>
      <c r="W130" s="211">
        <v>0</v>
      </c>
      <c r="X130" s="211">
        <v>3.0000000000000003E-4</v>
      </c>
      <c r="Y130" s="211">
        <v>3.0000000000000003E-4</v>
      </c>
      <c r="Z130" s="211">
        <v>3.0000000000000003E-4</v>
      </c>
      <c r="AA130" s="211">
        <v>6.0000000000000006E-4</v>
      </c>
      <c r="AB130" s="211">
        <v>6.0000000000000006E-4</v>
      </c>
      <c r="AC130" s="211">
        <v>6.0000000000000006E-4</v>
      </c>
      <c r="AD130" s="211">
        <v>2.7000000000000001E-3</v>
      </c>
      <c r="AE130" s="211">
        <v>3.3E-3</v>
      </c>
      <c r="AF130" s="211">
        <v>8.9999999999999998E-4</v>
      </c>
      <c r="AG130" s="211">
        <v>6.6E-3</v>
      </c>
      <c r="AH130" s="211">
        <v>1.5300000000000001E-2</v>
      </c>
    </row>
    <row r="131" spans="1:34">
      <c r="A131" s="204"/>
      <c r="B131" s="204"/>
      <c r="C131" s="204"/>
      <c r="D131" s="204"/>
      <c r="E131" s="204"/>
      <c r="F131" s="204"/>
      <c r="G131" s="211"/>
      <c r="H131" s="211"/>
      <c r="I131" s="211"/>
      <c r="J131" s="211"/>
      <c r="K131" s="211"/>
      <c r="L131" s="211"/>
      <c r="M131" s="211"/>
      <c r="N131" s="211"/>
      <c r="O131" s="211"/>
      <c r="P131" s="211"/>
      <c r="Q131" s="211"/>
      <c r="R131" s="211"/>
      <c r="S131" s="211"/>
      <c r="T131" s="211"/>
      <c r="U131" s="211"/>
      <c r="V131" s="211"/>
      <c r="W131" s="211"/>
      <c r="X131" s="211"/>
      <c r="Y131" s="211"/>
      <c r="Z131" s="211"/>
      <c r="AA131" s="211"/>
      <c r="AB131" s="211"/>
      <c r="AC131" s="211"/>
      <c r="AD131" s="211"/>
      <c r="AE131" s="211"/>
      <c r="AF131" s="211"/>
      <c r="AG131" s="211"/>
      <c r="AH131" s="211"/>
    </row>
    <row r="132" spans="1:34">
      <c r="A132" s="204"/>
      <c r="B132" s="204"/>
      <c r="C132" s="204"/>
      <c r="D132" s="204"/>
      <c r="E132" s="204"/>
      <c r="F132" s="204"/>
      <c r="G132" s="211"/>
      <c r="H132" s="211"/>
      <c r="I132" s="211"/>
      <c r="J132" s="211"/>
      <c r="K132" s="211"/>
      <c r="L132" s="211"/>
      <c r="M132" s="211"/>
      <c r="N132" s="211"/>
      <c r="O132" s="211"/>
      <c r="P132" s="211"/>
      <c r="Q132" s="211"/>
      <c r="R132" s="211"/>
      <c r="S132" s="211"/>
      <c r="T132" s="211"/>
      <c r="U132" s="211"/>
      <c r="V132" s="211"/>
      <c r="W132" s="211"/>
      <c r="X132" s="211"/>
      <c r="Y132" s="211"/>
      <c r="Z132" s="211"/>
      <c r="AA132" s="211"/>
      <c r="AB132" s="211"/>
      <c r="AC132" s="211"/>
      <c r="AD132" s="211"/>
      <c r="AE132" s="211"/>
      <c r="AF132" s="211"/>
      <c r="AG132" s="211"/>
      <c r="AH132" s="211"/>
    </row>
    <row r="133" spans="1:34">
      <c r="A133" s="204"/>
      <c r="B133" s="204" t="s">
        <v>1141</v>
      </c>
      <c r="C133" s="204"/>
      <c r="D133" s="204"/>
      <c r="E133" s="204"/>
      <c r="F133" s="204" t="s">
        <v>1142</v>
      </c>
      <c r="G133" s="203">
        <f>SQRT((G119^2+G113^2+G100^2+G86^2+G75^2))</f>
        <v>3.1663232882340936E-2</v>
      </c>
      <c r="H133" s="203">
        <f t="shared" ref="H133:AH133" si="16">SQRT((H119^2+H113^2+H100^2+H86^2+H75^2))</f>
        <v>2.9235701926795289E-2</v>
      </c>
      <c r="I133" s="203">
        <f t="shared" si="16"/>
        <v>2.7765746527273302E-2</v>
      </c>
      <c r="J133" s="203">
        <f t="shared" si="16"/>
        <v>2.7710098197026856E-2</v>
      </c>
      <c r="K133" s="203">
        <f t="shared" si="16"/>
        <v>2.7728015473323566E-2</v>
      </c>
      <c r="L133" s="203">
        <f t="shared" si="16"/>
        <v>2.5604423915796485E-2</v>
      </c>
      <c r="M133" s="203">
        <f t="shared" si="16"/>
        <v>2.5532127488497133E-2</v>
      </c>
      <c r="N133" s="203">
        <f t="shared" si="16"/>
        <v>2.5561697271938036E-2</v>
      </c>
      <c r="O133" s="203">
        <f t="shared" si="16"/>
        <v>2.4530494962206002E-2</v>
      </c>
      <c r="P133" s="203">
        <f t="shared" si="16"/>
        <v>2.4544635756560015E-2</v>
      </c>
      <c r="Q133" s="203">
        <f t="shared" si="16"/>
        <v>2.4524998357231431E-2</v>
      </c>
      <c r="R133" s="203">
        <f t="shared" si="16"/>
        <v>2.3959279477248376E-2</v>
      </c>
      <c r="S133" s="203">
        <f t="shared" si="16"/>
        <v>2.3972216155837667E-2</v>
      </c>
      <c r="T133" s="203">
        <f t="shared" si="16"/>
        <v>2.3978576148071657E-2</v>
      </c>
      <c r="U133" s="203">
        <f t="shared" si="16"/>
        <v>2.3742986530462439E-2</v>
      </c>
      <c r="V133" s="203">
        <f t="shared" si="16"/>
        <v>2.3724493631874864E-2</v>
      </c>
      <c r="W133" s="203">
        <f t="shared" si="16"/>
        <v>2.3725413198134281E-2</v>
      </c>
      <c r="X133" s="203">
        <f t="shared" si="16"/>
        <v>2.3716409792915616E-2</v>
      </c>
      <c r="Y133" s="203">
        <f t="shared" si="16"/>
        <v>2.3754349561477598E-2</v>
      </c>
      <c r="Z133" s="203">
        <f t="shared" si="16"/>
        <v>2.3772033072966315E-2</v>
      </c>
      <c r="AA133" s="203">
        <f t="shared" si="16"/>
        <v>2.4291300906178516E-2</v>
      </c>
      <c r="AB133" s="203">
        <f t="shared" si="16"/>
        <v>2.4368940383656491E-2</v>
      </c>
      <c r="AC133" s="203">
        <f t="shared" si="16"/>
        <v>2.462333490997657E-2</v>
      </c>
      <c r="AD133" s="203">
        <f t="shared" si="16"/>
        <v>3.1249194560087547E-2</v>
      </c>
      <c r="AE133" s="203">
        <f t="shared" si="16"/>
        <v>3.6602674876047334E-2</v>
      </c>
      <c r="AF133" s="203">
        <f t="shared" si="16"/>
        <v>3.9319497144944864E-2</v>
      </c>
      <c r="AG133" s="203">
        <f t="shared" si="16"/>
        <v>4.7269785768502506E-2</v>
      </c>
      <c r="AH133" s="203">
        <f t="shared" si="16"/>
        <v>7.4411307393370499E-2</v>
      </c>
    </row>
    <row r="134" spans="1:34">
      <c r="A134" s="204"/>
      <c r="B134" s="204" t="s">
        <v>1143</v>
      </c>
      <c r="C134" s="204"/>
      <c r="D134" s="204"/>
      <c r="E134" s="204"/>
      <c r="F134" s="204"/>
      <c r="G134" s="203">
        <f>2*G133</f>
        <v>6.3326465764681872E-2</v>
      </c>
      <c r="H134" s="203">
        <f t="shared" ref="H134:AH134" si="17">2*H133</f>
        <v>5.8471403853590578E-2</v>
      </c>
      <c r="I134" s="203">
        <f t="shared" si="17"/>
        <v>5.5531493054546605E-2</v>
      </c>
      <c r="J134" s="203">
        <f t="shared" si="17"/>
        <v>5.5420196394053711E-2</v>
      </c>
      <c r="K134" s="203">
        <f t="shared" si="17"/>
        <v>5.5456030946647132E-2</v>
      </c>
      <c r="L134" s="203">
        <f t="shared" si="17"/>
        <v>5.120884783159297E-2</v>
      </c>
      <c r="M134" s="203">
        <f t="shared" si="17"/>
        <v>5.1064254976994267E-2</v>
      </c>
      <c r="N134" s="203">
        <f t="shared" si="17"/>
        <v>5.1123394543876072E-2</v>
      </c>
      <c r="O134" s="203">
        <f t="shared" si="17"/>
        <v>4.9060989924412005E-2</v>
      </c>
      <c r="P134" s="203">
        <f t="shared" si="17"/>
        <v>4.9089271513120029E-2</v>
      </c>
      <c r="Q134" s="203">
        <f t="shared" si="17"/>
        <v>4.9049996714462862E-2</v>
      </c>
      <c r="R134" s="203">
        <f t="shared" si="17"/>
        <v>4.7918558954496752E-2</v>
      </c>
      <c r="S134" s="203">
        <f t="shared" si="17"/>
        <v>4.7944432311675333E-2</v>
      </c>
      <c r="T134" s="203">
        <f t="shared" si="17"/>
        <v>4.7957152296143314E-2</v>
      </c>
      <c r="U134" s="203">
        <f t="shared" si="17"/>
        <v>4.7485973060924877E-2</v>
      </c>
      <c r="V134" s="203">
        <f t="shared" si="17"/>
        <v>4.7448987263749728E-2</v>
      </c>
      <c r="W134" s="203">
        <f t="shared" si="17"/>
        <v>4.7450826396268561E-2</v>
      </c>
      <c r="X134" s="203">
        <f t="shared" si="17"/>
        <v>4.7432819585831232E-2</v>
      </c>
      <c r="Y134" s="203">
        <f t="shared" si="17"/>
        <v>4.7508699122955196E-2</v>
      </c>
      <c r="Z134" s="203">
        <f t="shared" si="17"/>
        <v>4.754406614593263E-2</v>
      </c>
      <c r="AA134" s="203">
        <f t="shared" si="17"/>
        <v>4.8582601812357032E-2</v>
      </c>
      <c r="AB134" s="203">
        <f t="shared" si="17"/>
        <v>4.8737880767312981E-2</v>
      </c>
      <c r="AC134" s="203">
        <f t="shared" si="17"/>
        <v>4.924666981995314E-2</v>
      </c>
      <c r="AD134" s="203">
        <f t="shared" si="17"/>
        <v>6.2498389120175094E-2</v>
      </c>
      <c r="AE134" s="203">
        <f t="shared" si="17"/>
        <v>7.3205349752094667E-2</v>
      </c>
      <c r="AF134" s="203">
        <f t="shared" si="17"/>
        <v>7.8638994289889727E-2</v>
      </c>
      <c r="AG134" s="203">
        <f t="shared" si="17"/>
        <v>9.4539571537005013E-2</v>
      </c>
      <c r="AH134" s="203">
        <f t="shared" si="17"/>
        <v>0.148822614786741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79"/>
  <sheetViews>
    <sheetView workbookViewId="0">
      <selection activeCell="AB19" sqref="AB19"/>
    </sheetView>
  </sheetViews>
  <sheetFormatPr defaultRowHeight="15"/>
  <cols>
    <col min="3" max="3" width="19.7109375" bestFit="1" customWidth="1"/>
    <col min="4" max="4" width="3.85546875" bestFit="1" customWidth="1"/>
    <col min="5" max="5" width="3.28515625" bestFit="1" customWidth="1"/>
    <col min="6" max="6" width="3.42578125" bestFit="1" customWidth="1"/>
    <col min="7" max="7" width="3.5703125" bestFit="1" customWidth="1"/>
    <col min="8" max="17" width="3.42578125" bestFit="1" customWidth="1"/>
    <col min="18" max="18" width="3.5703125" bestFit="1" customWidth="1"/>
    <col min="19" max="19" width="3.42578125" bestFit="1" customWidth="1"/>
    <col min="20" max="20" width="3.85546875" bestFit="1" customWidth="1"/>
    <col min="21" max="21" width="3.28515625" bestFit="1" customWidth="1"/>
    <col min="22" max="22" width="3.42578125" bestFit="1" customWidth="1"/>
    <col min="23" max="23" width="4.5703125" bestFit="1" customWidth="1"/>
  </cols>
  <sheetData>
    <row r="1" spans="1:26" ht="26.25">
      <c r="A1" s="62" t="s">
        <v>766</v>
      </c>
      <c r="B1" s="62" t="s">
        <v>767</v>
      </c>
      <c r="D1" s="75" t="s">
        <v>773</v>
      </c>
      <c r="E1" s="75"/>
      <c r="F1" s="75"/>
      <c r="G1" s="75"/>
      <c r="H1" s="75"/>
      <c r="I1" s="75"/>
      <c r="J1" s="75"/>
      <c r="K1" s="75"/>
      <c r="L1" s="75"/>
      <c r="M1" s="75"/>
      <c r="N1" s="75"/>
      <c r="O1" s="75"/>
      <c r="P1" s="75"/>
      <c r="Q1" s="75"/>
      <c r="R1" s="75"/>
      <c r="S1" s="75"/>
      <c r="T1" s="75"/>
      <c r="U1" s="75"/>
      <c r="V1" s="75"/>
      <c r="W1" s="75"/>
      <c r="X1" s="75"/>
      <c r="Y1" s="75"/>
      <c r="Z1" s="75"/>
    </row>
    <row r="3" spans="1:26">
      <c r="B3" s="1"/>
      <c r="C3" s="2" t="s">
        <v>0</v>
      </c>
      <c r="D3" s="1"/>
      <c r="E3" s="1"/>
      <c r="F3" s="1"/>
      <c r="G3" s="1"/>
      <c r="H3" s="1"/>
      <c r="I3" s="1"/>
      <c r="J3" s="1"/>
      <c r="K3" s="3" t="s">
        <v>1</v>
      </c>
      <c r="L3" s="3"/>
      <c r="M3" s="3"/>
      <c r="N3" s="3"/>
      <c r="O3" s="3"/>
      <c r="P3" s="3"/>
      <c r="Q3" s="3"/>
      <c r="R3" s="3"/>
      <c r="S3" s="3"/>
      <c r="T3" s="3"/>
      <c r="U3" s="3"/>
      <c r="V3" s="3"/>
      <c r="W3" s="3"/>
    </row>
    <row r="4" spans="1:26">
      <c r="B4" s="4"/>
      <c r="C4" s="5" t="s">
        <v>2</v>
      </c>
      <c r="D4" s="5"/>
      <c r="E4" s="5"/>
      <c r="F4" s="5"/>
      <c r="G4" s="5"/>
      <c r="H4" s="5"/>
      <c r="I4" s="5"/>
      <c r="J4" s="5"/>
      <c r="K4" s="6" t="s">
        <v>3</v>
      </c>
      <c r="L4" s="6"/>
      <c r="M4" s="6"/>
      <c r="N4" s="6"/>
      <c r="O4" s="6"/>
      <c r="P4" s="6"/>
      <c r="Q4" s="6"/>
      <c r="R4" s="6"/>
      <c r="S4" s="6"/>
      <c r="T4" s="6"/>
      <c r="U4" s="6"/>
      <c r="V4" s="6"/>
      <c r="W4" s="6"/>
    </row>
    <row r="5" spans="1:26" ht="18">
      <c r="B5" s="7"/>
      <c r="C5" s="8" t="s">
        <v>4</v>
      </c>
      <c r="D5" s="8">
        <v>2</v>
      </c>
      <c r="E5" s="8">
        <v>4</v>
      </c>
      <c r="F5" s="8">
        <v>8</v>
      </c>
      <c r="G5" s="8">
        <v>16</v>
      </c>
      <c r="H5" s="8">
        <v>20</v>
      </c>
      <c r="I5" s="8">
        <v>25</v>
      </c>
      <c r="J5" s="8">
        <v>31.5</v>
      </c>
      <c r="K5" s="9">
        <v>63</v>
      </c>
      <c r="L5" s="9">
        <v>125</v>
      </c>
      <c r="M5" s="9">
        <v>250</v>
      </c>
      <c r="N5" s="9">
        <v>500</v>
      </c>
      <c r="O5" s="9" t="s">
        <v>5</v>
      </c>
      <c r="P5" s="9" t="s">
        <v>6</v>
      </c>
      <c r="Q5" s="9" t="s">
        <v>7</v>
      </c>
      <c r="R5" s="9" t="s">
        <v>8</v>
      </c>
      <c r="S5" s="9" t="s">
        <v>9</v>
      </c>
      <c r="T5" s="9" t="s">
        <v>10</v>
      </c>
      <c r="U5" s="9" t="s">
        <v>11</v>
      </c>
      <c r="V5" s="9" t="s">
        <v>12</v>
      </c>
      <c r="W5" s="9" t="s">
        <v>13</v>
      </c>
    </row>
    <row r="6" spans="1:26">
      <c r="B6" s="1"/>
      <c r="C6" s="1"/>
      <c r="D6" s="1"/>
      <c r="E6" s="1"/>
      <c r="F6" s="1"/>
      <c r="G6" s="1"/>
      <c r="H6" s="1"/>
      <c r="I6" s="1"/>
      <c r="J6" s="1"/>
      <c r="K6" s="1"/>
      <c r="L6" s="1"/>
      <c r="M6" s="1"/>
      <c r="N6" s="1"/>
      <c r="O6" s="1"/>
      <c r="P6" s="1"/>
      <c r="Q6" s="1"/>
      <c r="R6" s="1"/>
      <c r="S6" s="1"/>
      <c r="T6" s="1"/>
      <c r="U6" s="1"/>
      <c r="V6" s="1"/>
      <c r="W6" s="1"/>
    </row>
    <row r="7" spans="1:26">
      <c r="B7" s="1">
        <v>1</v>
      </c>
      <c r="C7" s="1" t="s">
        <v>14</v>
      </c>
      <c r="D7" s="64">
        <v>0</v>
      </c>
      <c r="E7" s="64">
        <v>0</v>
      </c>
      <c r="F7" s="64">
        <v>0</v>
      </c>
      <c r="G7" s="64">
        <v>0</v>
      </c>
      <c r="H7" s="63">
        <v>5</v>
      </c>
      <c r="I7" s="63">
        <v>5</v>
      </c>
      <c r="J7" s="63">
        <v>5</v>
      </c>
      <c r="K7" s="65">
        <v>5</v>
      </c>
      <c r="L7" s="65">
        <v>5</v>
      </c>
      <c r="M7" s="65">
        <v>5</v>
      </c>
      <c r="N7" s="65">
        <v>5</v>
      </c>
      <c r="O7" s="65">
        <v>5</v>
      </c>
      <c r="P7" s="65">
        <v>5</v>
      </c>
      <c r="Q7" s="65">
        <v>5</v>
      </c>
      <c r="R7" s="65">
        <v>5</v>
      </c>
      <c r="S7" s="65">
        <v>5</v>
      </c>
      <c r="T7" s="65">
        <v>5</v>
      </c>
      <c r="U7" s="65">
        <v>5</v>
      </c>
      <c r="V7" s="65">
        <v>5</v>
      </c>
      <c r="W7" s="65">
        <v>5</v>
      </c>
    </row>
    <row r="8" spans="1:26">
      <c r="B8" s="1">
        <v>1</v>
      </c>
      <c r="C8" s="1" t="s">
        <v>15</v>
      </c>
      <c r="D8" s="64">
        <v>238</v>
      </c>
      <c r="E8" s="64">
        <v>242</v>
      </c>
      <c r="F8" s="64">
        <v>243</v>
      </c>
      <c r="G8" s="64">
        <v>244</v>
      </c>
      <c r="H8" s="63">
        <v>0</v>
      </c>
      <c r="I8" s="63">
        <v>0</v>
      </c>
      <c r="J8" s="63">
        <v>0</v>
      </c>
      <c r="K8" s="65">
        <v>0</v>
      </c>
      <c r="L8" s="65">
        <v>0</v>
      </c>
      <c r="M8" s="65">
        <v>0</v>
      </c>
      <c r="N8" s="65">
        <v>0</v>
      </c>
      <c r="O8" s="65">
        <v>0</v>
      </c>
      <c r="P8" s="65">
        <v>0</v>
      </c>
      <c r="Q8" s="65">
        <v>0</v>
      </c>
      <c r="R8" s="65">
        <v>0</v>
      </c>
      <c r="S8" s="65">
        <v>0</v>
      </c>
      <c r="T8" s="65">
        <v>0</v>
      </c>
      <c r="U8" s="65">
        <v>0</v>
      </c>
      <c r="V8" s="65">
        <v>0</v>
      </c>
      <c r="W8" s="65">
        <v>0</v>
      </c>
    </row>
    <row r="9" spans="1:26">
      <c r="B9" s="1">
        <v>1</v>
      </c>
      <c r="C9" s="1" t="s">
        <v>16</v>
      </c>
      <c r="D9" s="64">
        <v>870</v>
      </c>
      <c r="E9" s="64">
        <v>886</v>
      </c>
      <c r="F9" s="64">
        <v>890</v>
      </c>
      <c r="G9" s="64">
        <v>891</v>
      </c>
      <c r="H9" s="63">
        <v>30</v>
      </c>
      <c r="I9" s="63">
        <v>30</v>
      </c>
      <c r="J9" s="63">
        <v>30</v>
      </c>
      <c r="K9" s="65">
        <v>30</v>
      </c>
      <c r="L9" s="65">
        <v>30</v>
      </c>
      <c r="M9" s="65">
        <v>30</v>
      </c>
      <c r="N9" s="65">
        <v>30</v>
      </c>
      <c r="O9" s="65">
        <v>30</v>
      </c>
      <c r="P9" s="65">
        <v>30</v>
      </c>
      <c r="Q9" s="65">
        <v>30</v>
      </c>
      <c r="R9" s="65">
        <v>30</v>
      </c>
      <c r="S9" s="65">
        <v>30</v>
      </c>
      <c r="T9" s="65">
        <v>30</v>
      </c>
      <c r="U9" s="65">
        <v>30</v>
      </c>
      <c r="V9" s="65">
        <v>30</v>
      </c>
      <c r="W9" s="65">
        <v>30</v>
      </c>
    </row>
    <row r="10" spans="1:26">
      <c r="B10" s="1">
        <v>1</v>
      </c>
      <c r="C10" s="1" t="s">
        <v>17</v>
      </c>
      <c r="D10" s="63">
        <v>50</v>
      </c>
      <c r="E10" s="63">
        <v>50</v>
      </c>
      <c r="F10" s="63">
        <v>50</v>
      </c>
      <c r="G10" s="63">
        <v>50</v>
      </c>
      <c r="H10" s="63">
        <v>50</v>
      </c>
      <c r="I10" s="63">
        <v>50</v>
      </c>
      <c r="J10" s="63">
        <v>50</v>
      </c>
      <c r="K10" s="65">
        <v>50</v>
      </c>
      <c r="L10" s="65">
        <v>50</v>
      </c>
      <c r="M10" s="65">
        <v>50</v>
      </c>
      <c r="N10" s="65">
        <v>50</v>
      </c>
      <c r="O10" s="65">
        <v>50</v>
      </c>
      <c r="P10" s="65">
        <v>50</v>
      </c>
      <c r="Q10" s="65">
        <v>50</v>
      </c>
      <c r="R10" s="65">
        <v>50</v>
      </c>
      <c r="S10" s="65">
        <v>50</v>
      </c>
      <c r="T10" s="65">
        <v>50</v>
      </c>
      <c r="U10" s="65">
        <v>50</v>
      </c>
      <c r="V10" s="65">
        <v>50</v>
      </c>
      <c r="W10" s="65">
        <v>50</v>
      </c>
    </row>
    <row r="11" spans="1:26">
      <c r="B11" s="1"/>
      <c r="C11" s="1"/>
      <c r="D11" s="1"/>
      <c r="E11" s="1"/>
      <c r="F11" s="1"/>
      <c r="G11" s="1"/>
      <c r="H11" s="1"/>
      <c r="I11" s="1"/>
      <c r="J11" s="1"/>
      <c r="K11" s="11"/>
      <c r="L11" s="11"/>
      <c r="M11" s="11"/>
      <c r="N11" s="11"/>
      <c r="O11" s="11"/>
      <c r="P11" s="11"/>
      <c r="Q11" s="11"/>
      <c r="R11" s="11"/>
      <c r="S11" s="11"/>
      <c r="T11" s="11"/>
      <c r="U11" s="11"/>
      <c r="V11" s="11"/>
      <c r="W11" s="11"/>
    </row>
    <row r="12" spans="1:26">
      <c r="B12" s="1">
        <v>2</v>
      </c>
      <c r="C12" s="1" t="s">
        <v>18</v>
      </c>
      <c r="D12" s="63">
        <v>6</v>
      </c>
      <c r="E12" s="63">
        <v>6</v>
      </c>
      <c r="F12" s="63">
        <v>6</v>
      </c>
      <c r="G12" s="63">
        <v>6</v>
      </c>
      <c r="H12" s="63">
        <v>6</v>
      </c>
      <c r="I12" s="63">
        <v>6</v>
      </c>
      <c r="J12" s="63">
        <v>6</v>
      </c>
      <c r="K12" s="66">
        <v>6</v>
      </c>
      <c r="L12" s="66">
        <v>6</v>
      </c>
      <c r="M12" s="66">
        <v>6</v>
      </c>
      <c r="N12" s="66">
        <v>6</v>
      </c>
      <c r="O12" s="66">
        <v>6</v>
      </c>
      <c r="P12" s="66">
        <v>6</v>
      </c>
      <c r="Q12" s="66">
        <v>6</v>
      </c>
      <c r="R12" s="66">
        <v>6</v>
      </c>
      <c r="S12" s="66">
        <v>7</v>
      </c>
      <c r="T12" s="66">
        <v>7</v>
      </c>
      <c r="U12" s="66">
        <v>8</v>
      </c>
      <c r="V12" s="66">
        <v>10</v>
      </c>
      <c r="W12" s="66">
        <v>13</v>
      </c>
    </row>
    <row r="13" spans="1:26">
      <c r="B13" s="1"/>
      <c r="C13" s="1"/>
      <c r="D13" s="1"/>
      <c r="E13" s="1"/>
      <c r="F13" s="1"/>
      <c r="G13" s="1"/>
      <c r="H13" s="1"/>
      <c r="I13" s="1"/>
      <c r="J13" s="1"/>
      <c r="K13" s="11"/>
      <c r="L13" s="11"/>
      <c r="M13" s="11"/>
      <c r="N13" s="11"/>
      <c r="O13" s="11"/>
      <c r="P13" s="11"/>
      <c r="Q13" s="11"/>
      <c r="R13" s="11"/>
      <c r="S13" s="11"/>
      <c r="T13" s="11"/>
      <c r="U13" s="11"/>
      <c r="V13" s="11"/>
      <c r="W13" s="11"/>
    </row>
    <row r="14" spans="1:26">
      <c r="B14" s="1">
        <v>3</v>
      </c>
      <c r="C14" s="1" t="s">
        <v>19</v>
      </c>
      <c r="D14" s="63">
        <v>40</v>
      </c>
      <c r="E14" s="63">
        <v>40</v>
      </c>
      <c r="F14" s="63">
        <v>40</v>
      </c>
      <c r="G14" s="63">
        <v>40</v>
      </c>
      <c r="H14" s="63">
        <v>40</v>
      </c>
      <c r="I14" s="63">
        <v>40</v>
      </c>
      <c r="J14" s="63">
        <v>40</v>
      </c>
      <c r="K14" s="65">
        <v>40</v>
      </c>
      <c r="L14" s="65">
        <v>40</v>
      </c>
      <c r="M14" s="65">
        <v>40</v>
      </c>
      <c r="N14" s="65">
        <v>40</v>
      </c>
      <c r="O14" s="65">
        <v>40</v>
      </c>
      <c r="P14" s="65">
        <v>39</v>
      </c>
      <c r="Q14" s="65">
        <v>38</v>
      </c>
      <c r="R14" s="65">
        <v>37</v>
      </c>
      <c r="S14" s="65">
        <v>35</v>
      </c>
      <c r="T14" s="65">
        <v>32</v>
      </c>
      <c r="U14" s="65">
        <v>27</v>
      </c>
      <c r="V14" s="65">
        <v>18</v>
      </c>
      <c r="W14" s="65">
        <v>1</v>
      </c>
    </row>
    <row r="15" spans="1:26">
      <c r="B15" s="12"/>
      <c r="C15" s="12"/>
      <c r="D15" s="12"/>
      <c r="E15" s="12"/>
      <c r="F15" s="12"/>
      <c r="G15" s="12"/>
      <c r="H15" s="12"/>
      <c r="I15" s="12"/>
      <c r="J15" s="12"/>
      <c r="K15" s="12"/>
      <c r="L15" s="12"/>
      <c r="M15" s="12"/>
      <c r="N15" s="12"/>
      <c r="O15" s="12"/>
      <c r="P15" s="12"/>
      <c r="Q15" s="12"/>
      <c r="R15" s="12"/>
      <c r="S15" s="12"/>
      <c r="T15" s="12"/>
      <c r="U15" s="12"/>
      <c r="V15" s="12"/>
      <c r="W15" s="12"/>
    </row>
    <row r="16" spans="1:26">
      <c r="B16" s="1">
        <v>4</v>
      </c>
      <c r="C16" s="1" t="s">
        <v>20</v>
      </c>
      <c r="D16" s="63">
        <v>15</v>
      </c>
      <c r="E16" s="63">
        <v>10</v>
      </c>
      <c r="F16" s="63">
        <v>7</v>
      </c>
      <c r="G16" s="63">
        <v>5</v>
      </c>
      <c r="H16" s="63">
        <v>5</v>
      </c>
      <c r="I16" s="63">
        <v>4</v>
      </c>
      <c r="J16" s="63">
        <v>4</v>
      </c>
      <c r="K16" s="66">
        <v>3</v>
      </c>
      <c r="L16" s="66">
        <v>2</v>
      </c>
      <c r="M16" s="66">
        <v>1</v>
      </c>
      <c r="N16" s="66">
        <v>1</v>
      </c>
      <c r="O16" s="66">
        <v>1</v>
      </c>
      <c r="P16" s="66">
        <v>0</v>
      </c>
      <c r="Q16" s="66">
        <v>0</v>
      </c>
      <c r="R16" s="66">
        <v>0</v>
      </c>
      <c r="S16" s="66">
        <v>0</v>
      </c>
      <c r="T16" s="66">
        <v>0</v>
      </c>
      <c r="U16" s="66">
        <v>0</v>
      </c>
      <c r="V16" s="66">
        <v>0</v>
      </c>
      <c r="W16" s="66">
        <v>0</v>
      </c>
    </row>
    <row r="17" spans="2:23">
      <c r="B17" s="1"/>
      <c r="C17" s="1"/>
      <c r="D17" s="1"/>
      <c r="E17" s="1"/>
      <c r="F17" s="1"/>
      <c r="G17" s="1"/>
      <c r="H17" s="1"/>
      <c r="I17" s="1"/>
      <c r="J17" s="1"/>
      <c r="K17" s="11"/>
      <c r="L17" s="11"/>
      <c r="M17" s="11"/>
      <c r="N17" s="11"/>
      <c r="O17" s="11"/>
      <c r="P17" s="11"/>
      <c r="Q17" s="11"/>
      <c r="R17" s="11"/>
      <c r="S17" s="11"/>
      <c r="T17" s="11"/>
      <c r="U17" s="11"/>
      <c r="V17" s="11"/>
      <c r="W17" s="11"/>
    </row>
    <row r="18" spans="2:23">
      <c r="B18" s="1">
        <v>5</v>
      </c>
      <c r="C18" s="1" t="s">
        <v>21</v>
      </c>
      <c r="D18" s="63">
        <v>13</v>
      </c>
      <c r="E18" s="63">
        <v>12</v>
      </c>
      <c r="F18" s="63">
        <v>12</v>
      </c>
      <c r="G18" s="63">
        <v>12</v>
      </c>
      <c r="H18" s="63">
        <v>12</v>
      </c>
      <c r="I18" s="63">
        <v>12</v>
      </c>
      <c r="J18" s="63">
        <v>12</v>
      </c>
      <c r="K18" s="66">
        <v>12</v>
      </c>
      <c r="L18" s="66">
        <v>12</v>
      </c>
      <c r="M18" s="66">
        <v>12</v>
      </c>
      <c r="N18" s="66">
        <v>12</v>
      </c>
      <c r="O18" s="66">
        <v>12</v>
      </c>
      <c r="P18" s="66">
        <v>12</v>
      </c>
      <c r="Q18" s="66">
        <v>12</v>
      </c>
      <c r="R18" s="66">
        <v>12</v>
      </c>
      <c r="S18" s="66">
        <v>12</v>
      </c>
      <c r="T18" s="66">
        <v>12</v>
      </c>
      <c r="U18" s="66">
        <v>13</v>
      </c>
      <c r="V18" s="66">
        <v>13</v>
      </c>
      <c r="W18" s="66">
        <v>12</v>
      </c>
    </row>
    <row r="19" spans="2:23">
      <c r="B19" s="1"/>
      <c r="C19" s="1"/>
      <c r="D19" s="1"/>
      <c r="E19" s="1"/>
      <c r="F19" s="1"/>
      <c r="G19" s="1"/>
      <c r="H19" s="1"/>
      <c r="I19" s="1"/>
      <c r="J19" s="1"/>
      <c r="K19" s="11"/>
      <c r="L19" s="11"/>
      <c r="M19" s="11"/>
      <c r="N19" s="11"/>
      <c r="O19" s="11"/>
      <c r="P19" s="11"/>
      <c r="Q19" s="11"/>
      <c r="R19" s="11"/>
      <c r="S19" s="11"/>
      <c r="T19" s="11"/>
      <c r="U19" s="11"/>
      <c r="V19" s="11"/>
      <c r="W19" s="11"/>
    </row>
    <row r="20" spans="2:23">
      <c r="B20" s="1">
        <v>6</v>
      </c>
      <c r="C20" s="1" t="s">
        <v>22</v>
      </c>
      <c r="D20" s="63">
        <v>10</v>
      </c>
      <c r="E20" s="63">
        <v>10</v>
      </c>
      <c r="F20" s="63">
        <v>10</v>
      </c>
      <c r="G20" s="63">
        <v>10</v>
      </c>
      <c r="H20" s="63">
        <v>10</v>
      </c>
      <c r="I20" s="63">
        <v>10</v>
      </c>
      <c r="J20" s="63">
        <v>10</v>
      </c>
      <c r="K20" s="65">
        <v>10</v>
      </c>
      <c r="L20" s="65">
        <v>10</v>
      </c>
      <c r="M20" s="65">
        <v>10</v>
      </c>
      <c r="N20" s="65">
        <v>10</v>
      </c>
      <c r="O20" s="65">
        <v>10</v>
      </c>
      <c r="P20" s="65">
        <v>10</v>
      </c>
      <c r="Q20" s="65">
        <v>10</v>
      </c>
      <c r="R20" s="65">
        <v>10</v>
      </c>
      <c r="S20" s="65">
        <v>10</v>
      </c>
      <c r="T20" s="65">
        <v>10</v>
      </c>
      <c r="U20" s="65">
        <v>11</v>
      </c>
      <c r="V20" s="65">
        <v>11</v>
      </c>
      <c r="W20" s="65">
        <v>10</v>
      </c>
    </row>
    <row r="21" spans="2:23">
      <c r="B21" s="1"/>
      <c r="C21" s="1"/>
      <c r="D21" s="1"/>
      <c r="E21" s="1"/>
      <c r="F21" s="1"/>
      <c r="G21" s="1"/>
      <c r="H21" s="1"/>
      <c r="I21" s="1"/>
      <c r="J21" s="1"/>
      <c r="K21" s="11"/>
      <c r="L21" s="11"/>
      <c r="M21" s="11"/>
      <c r="N21" s="11"/>
      <c r="O21" s="11"/>
      <c r="P21" s="11"/>
      <c r="Q21" s="11"/>
      <c r="R21" s="11"/>
      <c r="S21" s="11"/>
      <c r="T21" s="11"/>
      <c r="U21" s="11"/>
      <c r="V21" s="11"/>
      <c r="W21" s="11"/>
    </row>
    <row r="22" spans="2:23">
      <c r="B22" s="1">
        <v>7</v>
      </c>
      <c r="C22" s="1" t="s">
        <v>23</v>
      </c>
      <c r="D22" s="63">
        <v>20</v>
      </c>
      <c r="E22" s="63">
        <v>20</v>
      </c>
      <c r="F22" s="63">
        <v>20</v>
      </c>
      <c r="G22" s="63">
        <v>21</v>
      </c>
      <c r="H22" s="63">
        <v>21</v>
      </c>
      <c r="I22" s="63">
        <v>21</v>
      </c>
      <c r="J22" s="63">
        <v>21</v>
      </c>
      <c r="K22" s="66">
        <v>21</v>
      </c>
      <c r="L22" s="66">
        <v>21</v>
      </c>
      <c r="M22" s="66">
        <v>21</v>
      </c>
      <c r="N22" s="66">
        <v>21</v>
      </c>
      <c r="O22" s="66">
        <v>20</v>
      </c>
      <c r="P22" s="66">
        <v>19</v>
      </c>
      <c r="Q22" s="66">
        <v>18</v>
      </c>
      <c r="R22" s="66">
        <v>17</v>
      </c>
      <c r="S22" s="66">
        <v>15</v>
      </c>
      <c r="T22" s="66">
        <v>11</v>
      </c>
      <c r="U22" s="66">
        <v>6</v>
      </c>
      <c r="V22" s="66">
        <v>4</v>
      </c>
      <c r="W22" s="66">
        <v>24</v>
      </c>
    </row>
    <row r="23" spans="2:23">
      <c r="B23" s="1">
        <v>7</v>
      </c>
      <c r="C23" s="1" t="s">
        <v>24</v>
      </c>
      <c r="D23" s="63">
        <v>2</v>
      </c>
      <c r="E23" s="63">
        <v>2</v>
      </c>
      <c r="F23" s="63">
        <v>2</v>
      </c>
      <c r="G23" s="63">
        <v>1</v>
      </c>
      <c r="H23" s="63">
        <v>0</v>
      </c>
      <c r="I23" s="63">
        <v>0</v>
      </c>
      <c r="J23" s="63">
        <v>0</v>
      </c>
      <c r="K23" s="66">
        <v>0</v>
      </c>
      <c r="L23" s="66">
        <v>0</v>
      </c>
      <c r="M23" s="66">
        <v>0</v>
      </c>
      <c r="N23" s="66">
        <v>0</v>
      </c>
      <c r="O23" s="66">
        <v>0</v>
      </c>
      <c r="P23" s="66">
        <v>0</v>
      </c>
      <c r="Q23" s="66">
        <v>0</v>
      </c>
      <c r="R23" s="66">
        <v>1</v>
      </c>
      <c r="S23" s="66">
        <v>2</v>
      </c>
      <c r="T23" s="66">
        <v>2</v>
      </c>
      <c r="U23" s="66">
        <v>2</v>
      </c>
      <c r="V23" s="66">
        <v>2</v>
      </c>
      <c r="W23" s="66">
        <v>1</v>
      </c>
    </row>
    <row r="24" spans="2:23">
      <c r="B24" s="1"/>
      <c r="C24" s="1"/>
      <c r="D24" s="1"/>
      <c r="E24" s="1"/>
      <c r="F24" s="1"/>
      <c r="G24" s="1"/>
      <c r="H24" s="1"/>
      <c r="I24" s="1"/>
      <c r="J24" s="1"/>
      <c r="K24" s="11"/>
      <c r="L24" s="11"/>
      <c r="M24" s="11"/>
      <c r="N24" s="11"/>
      <c r="O24" s="11"/>
      <c r="P24" s="11"/>
      <c r="Q24" s="11"/>
      <c r="R24" s="11"/>
      <c r="S24" s="11"/>
      <c r="T24" s="11"/>
      <c r="U24" s="11"/>
      <c r="V24" s="11"/>
      <c r="W24" s="11"/>
    </row>
    <row r="25" spans="2:23">
      <c r="B25" s="1">
        <v>8</v>
      </c>
      <c r="C25" s="1" t="s">
        <v>25</v>
      </c>
      <c r="D25" s="63">
        <v>26</v>
      </c>
      <c r="E25" s="63">
        <v>26</v>
      </c>
      <c r="F25" s="63">
        <v>26</v>
      </c>
      <c r="G25" s="63">
        <v>26</v>
      </c>
      <c r="H25" s="63">
        <v>26</v>
      </c>
      <c r="I25" s="63">
        <v>26</v>
      </c>
      <c r="J25" s="63">
        <v>26</v>
      </c>
      <c r="K25" s="66">
        <v>26</v>
      </c>
      <c r="L25" s="66">
        <v>26</v>
      </c>
      <c r="M25" s="66">
        <v>26</v>
      </c>
      <c r="N25" s="66">
        <v>26</v>
      </c>
      <c r="O25" s="66">
        <v>26</v>
      </c>
      <c r="P25" s="66">
        <v>24</v>
      </c>
      <c r="Q25" s="66">
        <v>24</v>
      </c>
      <c r="R25" s="66">
        <v>22</v>
      </c>
      <c r="S25" s="66">
        <v>20</v>
      </c>
      <c r="T25" s="66">
        <v>17</v>
      </c>
      <c r="U25" s="66">
        <v>9</v>
      </c>
      <c r="V25" s="66">
        <v>5</v>
      </c>
      <c r="W25" s="66">
        <v>31</v>
      </c>
    </row>
    <row r="26" spans="2:23">
      <c r="B26" s="1">
        <v>8</v>
      </c>
      <c r="C26" s="1" t="s">
        <v>26</v>
      </c>
      <c r="D26" s="63">
        <v>0</v>
      </c>
      <c r="E26" s="63">
        <v>0</v>
      </c>
      <c r="F26" s="63">
        <v>0</v>
      </c>
      <c r="G26" s="63">
        <v>0</v>
      </c>
      <c r="H26" s="63">
        <v>0</v>
      </c>
      <c r="I26" s="63">
        <v>0</v>
      </c>
      <c r="J26" s="63">
        <v>0</v>
      </c>
      <c r="K26" s="66">
        <v>0</v>
      </c>
      <c r="L26" s="66">
        <v>0</v>
      </c>
      <c r="M26" s="66">
        <v>0</v>
      </c>
      <c r="N26" s="66">
        <v>1</v>
      </c>
      <c r="O26" s="66">
        <v>2</v>
      </c>
      <c r="P26" s="66">
        <v>6</v>
      </c>
      <c r="Q26" s="66">
        <v>9</v>
      </c>
      <c r="R26" s="66">
        <v>14</v>
      </c>
      <c r="S26" s="66">
        <v>23</v>
      </c>
      <c r="T26" s="66">
        <v>36.5</v>
      </c>
      <c r="U26" s="66">
        <v>60</v>
      </c>
      <c r="V26" s="66">
        <v>105</v>
      </c>
      <c r="W26" s="66">
        <v>193.5</v>
      </c>
    </row>
    <row r="27" spans="2:23">
      <c r="B27" s="1"/>
      <c r="C27" s="1"/>
      <c r="D27" s="1"/>
      <c r="E27" s="1"/>
      <c r="F27" s="1"/>
      <c r="G27" s="1"/>
      <c r="H27" s="1"/>
      <c r="I27" s="1"/>
      <c r="J27" s="1"/>
      <c r="K27" s="11"/>
      <c r="L27" s="11"/>
      <c r="M27" s="11"/>
      <c r="N27" s="11"/>
      <c r="O27" s="11"/>
      <c r="P27" s="11"/>
      <c r="Q27" s="11"/>
      <c r="R27" s="11"/>
      <c r="S27" s="11"/>
      <c r="T27" s="11"/>
      <c r="U27" s="11"/>
      <c r="V27" s="11"/>
      <c r="W27" s="11"/>
    </row>
    <row r="28" spans="2:23">
      <c r="B28" s="1">
        <v>9</v>
      </c>
      <c r="C28" s="1" t="s">
        <v>27</v>
      </c>
      <c r="D28" s="63">
        <v>0</v>
      </c>
      <c r="E28" s="63">
        <v>0</v>
      </c>
      <c r="F28" s="63">
        <v>0</v>
      </c>
      <c r="G28" s="63">
        <v>0</v>
      </c>
      <c r="H28" s="63">
        <v>0</v>
      </c>
      <c r="I28" s="63">
        <v>0</v>
      </c>
      <c r="J28" s="63">
        <v>0</v>
      </c>
      <c r="K28" s="65">
        <v>0</v>
      </c>
      <c r="L28" s="65">
        <v>0</v>
      </c>
      <c r="M28" s="65">
        <v>0</v>
      </c>
      <c r="N28" s="65">
        <v>2</v>
      </c>
      <c r="O28" s="65">
        <v>9</v>
      </c>
      <c r="P28" s="65">
        <v>40</v>
      </c>
      <c r="Q28" s="65">
        <v>66</v>
      </c>
      <c r="R28" s="65">
        <v>111</v>
      </c>
      <c r="S28" s="65">
        <v>187</v>
      </c>
      <c r="T28" s="65">
        <v>268</v>
      </c>
      <c r="U28" s="65">
        <v>232</v>
      </c>
      <c r="V28" s="65">
        <v>118</v>
      </c>
      <c r="W28" s="65">
        <v>593</v>
      </c>
    </row>
    <row r="29" spans="2:23">
      <c r="B29" s="1">
        <v>9</v>
      </c>
      <c r="C29" s="1" t="s">
        <v>28</v>
      </c>
      <c r="D29" s="63">
        <v>0</v>
      </c>
      <c r="E29" s="63">
        <v>0</v>
      </c>
      <c r="F29" s="63">
        <v>0</v>
      </c>
      <c r="G29" s="63">
        <v>0</v>
      </c>
      <c r="H29" s="63">
        <v>0</v>
      </c>
      <c r="I29" s="63">
        <v>0</v>
      </c>
      <c r="J29" s="63">
        <v>0</v>
      </c>
      <c r="K29" s="65">
        <v>0</v>
      </c>
      <c r="L29" s="65">
        <v>0</v>
      </c>
      <c r="M29" s="65">
        <v>0</v>
      </c>
      <c r="N29" s="65">
        <v>1</v>
      </c>
      <c r="O29" s="65">
        <v>3</v>
      </c>
      <c r="P29" s="65">
        <v>11</v>
      </c>
      <c r="Q29" s="65">
        <v>16</v>
      </c>
      <c r="R29" s="65">
        <v>21</v>
      </c>
      <c r="S29" s="65">
        <v>19</v>
      </c>
      <c r="T29" s="65">
        <v>1</v>
      </c>
      <c r="U29" s="65">
        <v>25</v>
      </c>
      <c r="V29" s="65">
        <v>31</v>
      </c>
      <c r="W29" s="65">
        <v>97</v>
      </c>
    </row>
    <row r="30" spans="2:23">
      <c r="B30" s="1">
        <v>9</v>
      </c>
      <c r="C30" s="1" t="s">
        <v>29</v>
      </c>
      <c r="D30" s="63">
        <v>0</v>
      </c>
      <c r="E30" s="63">
        <v>0</v>
      </c>
      <c r="F30" s="63">
        <v>0</v>
      </c>
      <c r="G30" s="63">
        <v>0</v>
      </c>
      <c r="H30" s="63">
        <v>0</v>
      </c>
      <c r="I30" s="63">
        <v>0</v>
      </c>
      <c r="J30" s="63">
        <v>0</v>
      </c>
      <c r="K30" s="65">
        <v>0</v>
      </c>
      <c r="L30" s="65">
        <v>0</v>
      </c>
      <c r="M30" s="65">
        <v>1</v>
      </c>
      <c r="N30" s="65">
        <v>4</v>
      </c>
      <c r="O30" s="65">
        <v>14</v>
      </c>
      <c r="P30" s="65">
        <v>56</v>
      </c>
      <c r="Q30" s="65">
        <v>86</v>
      </c>
      <c r="R30" s="65">
        <v>128</v>
      </c>
      <c r="S30" s="65">
        <v>177</v>
      </c>
      <c r="T30" s="65">
        <v>196</v>
      </c>
      <c r="U30" s="65">
        <v>120</v>
      </c>
      <c r="V30" s="65">
        <v>46</v>
      </c>
      <c r="W30" s="65">
        <v>237</v>
      </c>
    </row>
    <row r="31" spans="2:23">
      <c r="B31" s="1"/>
      <c r="C31" s="1"/>
      <c r="D31" s="1"/>
      <c r="E31" s="1"/>
      <c r="F31" s="1"/>
      <c r="G31" s="1"/>
      <c r="H31" s="1"/>
      <c r="I31" s="1"/>
      <c r="J31" s="1"/>
      <c r="K31" s="11"/>
      <c r="L31" s="11"/>
      <c r="M31" s="11"/>
      <c r="N31" s="11"/>
      <c r="O31" s="11"/>
      <c r="P31" s="11"/>
      <c r="Q31" s="11"/>
      <c r="R31" s="11"/>
      <c r="S31" s="11"/>
      <c r="T31" s="11"/>
      <c r="U31" s="11"/>
      <c r="V31" s="11"/>
      <c r="W31" s="11"/>
    </row>
    <row r="32" spans="2:23">
      <c r="B32" s="1">
        <v>10</v>
      </c>
      <c r="C32" s="1" t="s">
        <v>30</v>
      </c>
      <c r="D32" s="63">
        <v>0</v>
      </c>
      <c r="E32" s="63">
        <v>0</v>
      </c>
      <c r="F32" s="63">
        <v>0</v>
      </c>
      <c r="G32" s="63">
        <v>0</v>
      </c>
      <c r="H32" s="63">
        <v>0</v>
      </c>
      <c r="I32" s="63">
        <v>0</v>
      </c>
      <c r="J32" s="63">
        <v>0</v>
      </c>
      <c r="K32" s="66">
        <v>0</v>
      </c>
      <c r="L32" s="66">
        <v>0</v>
      </c>
      <c r="M32" s="66">
        <v>0</v>
      </c>
      <c r="N32" s="66">
        <v>0</v>
      </c>
      <c r="O32" s="66">
        <v>0</v>
      </c>
      <c r="P32" s="66">
        <v>0</v>
      </c>
      <c r="Q32" s="66">
        <v>0</v>
      </c>
      <c r="R32" s="66">
        <v>0</v>
      </c>
      <c r="S32" s="66">
        <v>0</v>
      </c>
      <c r="T32" s="66">
        <v>0</v>
      </c>
      <c r="U32" s="66">
        <v>0</v>
      </c>
      <c r="V32" s="66">
        <v>0</v>
      </c>
      <c r="W32" s="66">
        <v>0</v>
      </c>
    </row>
    <row r="33" spans="2:23">
      <c r="B33" s="1">
        <v>10</v>
      </c>
      <c r="C33" s="1" t="s">
        <v>31</v>
      </c>
      <c r="D33" s="63">
        <v>154</v>
      </c>
      <c r="E33" s="63">
        <v>104</v>
      </c>
      <c r="F33" s="63">
        <v>73</v>
      </c>
      <c r="G33" s="63">
        <v>52</v>
      </c>
      <c r="H33" s="63">
        <v>46</v>
      </c>
      <c r="I33" s="63">
        <v>41</v>
      </c>
      <c r="J33" s="63">
        <v>37</v>
      </c>
      <c r="K33" s="66">
        <v>26</v>
      </c>
      <c r="L33" s="66">
        <v>18</v>
      </c>
      <c r="M33" s="66">
        <v>13</v>
      </c>
      <c r="N33" s="66">
        <v>9</v>
      </c>
      <c r="O33" s="66">
        <v>6</v>
      </c>
      <c r="P33" s="66">
        <v>5</v>
      </c>
      <c r="Q33" s="66">
        <v>4</v>
      </c>
      <c r="R33" s="66">
        <v>4</v>
      </c>
      <c r="S33" s="66">
        <v>3</v>
      </c>
      <c r="T33" s="66">
        <v>3</v>
      </c>
      <c r="U33" s="66">
        <v>2</v>
      </c>
      <c r="V33" s="66">
        <v>2</v>
      </c>
      <c r="W33" s="66">
        <v>2</v>
      </c>
    </row>
    <row r="34" spans="2:23">
      <c r="B34" s="1">
        <v>10</v>
      </c>
      <c r="C34" s="1" t="s">
        <v>32</v>
      </c>
      <c r="D34" s="63">
        <v>37</v>
      </c>
      <c r="E34" s="63">
        <v>25</v>
      </c>
      <c r="F34" s="63">
        <v>14</v>
      </c>
      <c r="G34" s="63">
        <v>13</v>
      </c>
      <c r="H34" s="63">
        <v>16</v>
      </c>
      <c r="I34" s="63">
        <v>14</v>
      </c>
      <c r="J34" s="63">
        <v>9</v>
      </c>
      <c r="K34" s="66">
        <v>7</v>
      </c>
      <c r="L34" s="66">
        <v>11</v>
      </c>
      <c r="M34" s="66">
        <v>1</v>
      </c>
      <c r="N34" s="66">
        <v>5</v>
      </c>
      <c r="O34" s="66">
        <v>6</v>
      </c>
      <c r="P34" s="66">
        <v>10</v>
      </c>
      <c r="Q34" s="66">
        <v>2</v>
      </c>
      <c r="R34" s="66">
        <v>3</v>
      </c>
      <c r="S34" s="66">
        <v>5</v>
      </c>
      <c r="T34" s="66">
        <v>3</v>
      </c>
      <c r="U34" s="66">
        <v>1</v>
      </c>
      <c r="V34" s="66">
        <v>2</v>
      </c>
      <c r="W34" s="66">
        <v>7</v>
      </c>
    </row>
    <row r="35" spans="2:23">
      <c r="B35" s="1"/>
      <c r="C35" s="1"/>
      <c r="D35" s="1"/>
      <c r="E35" s="1"/>
      <c r="F35" s="1"/>
      <c r="G35" s="1"/>
      <c r="H35" s="1"/>
      <c r="I35" s="1"/>
      <c r="J35" s="1"/>
      <c r="K35" s="11"/>
      <c r="L35" s="11"/>
      <c r="M35" s="11"/>
      <c r="N35" s="11"/>
      <c r="O35" s="11"/>
      <c r="P35" s="11"/>
      <c r="Q35" s="11"/>
      <c r="R35" s="11"/>
      <c r="S35" s="11"/>
      <c r="T35" s="11"/>
      <c r="U35" s="11"/>
      <c r="V35" s="11"/>
      <c r="W35" s="11"/>
    </row>
    <row r="36" spans="2:23">
      <c r="B36" s="1">
        <v>11</v>
      </c>
      <c r="C36" s="1" t="s">
        <v>33</v>
      </c>
      <c r="D36" s="63">
        <v>0</v>
      </c>
      <c r="E36" s="63">
        <v>0</v>
      </c>
      <c r="F36" s="63">
        <v>0</v>
      </c>
      <c r="G36" s="63">
        <v>0</v>
      </c>
      <c r="H36" s="63">
        <v>0</v>
      </c>
      <c r="I36" s="63">
        <v>0</v>
      </c>
      <c r="J36" s="63">
        <v>0</v>
      </c>
      <c r="K36" s="66">
        <v>0</v>
      </c>
      <c r="L36" s="66">
        <v>0</v>
      </c>
      <c r="M36" s="66">
        <v>0</v>
      </c>
      <c r="N36" s="66">
        <v>0</v>
      </c>
      <c r="O36" s="66">
        <v>0</v>
      </c>
      <c r="P36" s="66">
        <v>0</v>
      </c>
      <c r="Q36" s="66">
        <v>0</v>
      </c>
      <c r="R36" s="66">
        <v>0</v>
      </c>
      <c r="S36" s="66">
        <v>0</v>
      </c>
      <c r="T36" s="66">
        <v>0</v>
      </c>
      <c r="U36" s="66">
        <v>0</v>
      </c>
      <c r="V36" s="66">
        <v>0</v>
      </c>
      <c r="W36" s="66">
        <v>0</v>
      </c>
    </row>
    <row r="37" spans="2:23">
      <c r="B37" s="1">
        <v>11</v>
      </c>
      <c r="C37" s="1" t="s">
        <v>34</v>
      </c>
      <c r="D37" s="63">
        <v>0</v>
      </c>
      <c r="E37" s="63">
        <v>0</v>
      </c>
      <c r="F37" s="63">
        <v>0</v>
      </c>
      <c r="G37" s="63">
        <v>0</v>
      </c>
      <c r="H37" s="63">
        <v>0</v>
      </c>
      <c r="I37" s="63">
        <v>0</v>
      </c>
      <c r="J37" s="63">
        <v>0</v>
      </c>
      <c r="K37" s="66">
        <v>0</v>
      </c>
      <c r="L37" s="66">
        <v>0</v>
      </c>
      <c r="M37" s="66">
        <v>0</v>
      </c>
      <c r="N37" s="66">
        <v>0</v>
      </c>
      <c r="O37" s="66">
        <v>0</v>
      </c>
      <c r="P37" s="66">
        <v>0</v>
      </c>
      <c r="Q37" s="66">
        <v>0</v>
      </c>
      <c r="R37" s="66">
        <v>0</v>
      </c>
      <c r="S37" s="66">
        <v>0</v>
      </c>
      <c r="T37" s="66">
        <v>0</v>
      </c>
      <c r="U37" s="66">
        <v>0</v>
      </c>
      <c r="V37" s="66">
        <v>0</v>
      </c>
      <c r="W37" s="66">
        <v>0</v>
      </c>
    </row>
    <row r="38" spans="2:23">
      <c r="B38" s="1"/>
      <c r="C38" s="1"/>
      <c r="D38" s="1"/>
      <c r="E38" s="1"/>
      <c r="F38" s="1"/>
      <c r="G38" s="1"/>
      <c r="H38" s="1"/>
      <c r="I38" s="1"/>
      <c r="J38" s="1"/>
      <c r="K38" s="1"/>
      <c r="L38" s="1"/>
      <c r="M38" s="1"/>
      <c r="N38" s="1"/>
      <c r="O38" s="1"/>
      <c r="P38" s="1"/>
      <c r="Q38" s="1"/>
      <c r="R38" s="1"/>
      <c r="S38" s="1"/>
      <c r="T38" s="1"/>
      <c r="U38" s="1"/>
      <c r="V38" s="1"/>
      <c r="W38" s="1"/>
    </row>
    <row r="39" spans="2:23">
      <c r="B39" s="1">
        <v>12</v>
      </c>
      <c r="C39" s="1" t="s">
        <v>35</v>
      </c>
      <c r="D39" s="63">
        <v>1</v>
      </c>
      <c r="E39" s="63">
        <v>1</v>
      </c>
      <c r="F39" s="63">
        <v>1</v>
      </c>
      <c r="G39" s="63">
        <v>1</v>
      </c>
      <c r="H39" s="63">
        <v>1</v>
      </c>
      <c r="I39" s="63">
        <v>1</v>
      </c>
      <c r="J39" s="63">
        <v>1</v>
      </c>
      <c r="K39" s="66">
        <v>1</v>
      </c>
      <c r="L39" s="66">
        <v>1</v>
      </c>
      <c r="M39" s="66">
        <v>1</v>
      </c>
      <c r="N39" s="66">
        <v>1</v>
      </c>
      <c r="O39" s="66">
        <v>1</v>
      </c>
      <c r="P39" s="66">
        <v>1</v>
      </c>
      <c r="Q39" s="66">
        <v>2</v>
      </c>
      <c r="R39" s="66">
        <v>2</v>
      </c>
      <c r="S39" s="66">
        <v>2</v>
      </c>
      <c r="T39" s="66">
        <v>3</v>
      </c>
      <c r="U39" s="66">
        <v>3</v>
      </c>
      <c r="V39" s="66">
        <v>5</v>
      </c>
      <c r="W39" s="66">
        <v>7</v>
      </c>
    </row>
    <row r="40" spans="2:23">
      <c r="B40" s="1"/>
      <c r="C40" s="1"/>
      <c r="D40" s="1"/>
      <c r="E40" s="1"/>
      <c r="F40" s="1"/>
      <c r="G40" s="1"/>
      <c r="H40" s="1"/>
      <c r="I40" s="1"/>
      <c r="J40" s="1"/>
      <c r="K40" s="11"/>
      <c r="L40" s="11"/>
      <c r="M40" s="11"/>
      <c r="N40" s="11"/>
      <c r="O40" s="11"/>
      <c r="P40" s="11"/>
      <c r="Q40" s="11"/>
      <c r="R40" s="11"/>
      <c r="S40" s="11"/>
      <c r="T40" s="11"/>
      <c r="U40" s="11"/>
      <c r="V40" s="11"/>
      <c r="W40" s="11"/>
    </row>
    <row r="41" spans="2:23">
      <c r="B41" s="1">
        <v>13</v>
      </c>
      <c r="C41" s="1" t="s">
        <v>36</v>
      </c>
      <c r="D41" s="63">
        <v>22</v>
      </c>
      <c r="E41" s="63">
        <v>22</v>
      </c>
      <c r="F41" s="63">
        <v>22</v>
      </c>
      <c r="G41" s="63">
        <v>22</v>
      </c>
      <c r="H41" s="63">
        <v>22</v>
      </c>
      <c r="I41" s="63">
        <v>22</v>
      </c>
      <c r="J41" s="63">
        <v>22</v>
      </c>
      <c r="K41" s="67">
        <v>21.712010206963225</v>
      </c>
      <c r="L41" s="67">
        <v>21.712010206963225</v>
      </c>
      <c r="M41" s="67">
        <v>21.712010206963225</v>
      </c>
      <c r="N41" s="67">
        <v>21.712010206963225</v>
      </c>
      <c r="O41" s="67">
        <v>21.712010206963225</v>
      </c>
      <c r="P41" s="67">
        <v>21.712010206963225</v>
      </c>
      <c r="Q41" s="67">
        <v>21.712010206963225</v>
      </c>
      <c r="R41" s="67">
        <v>21.712010206963225</v>
      </c>
      <c r="S41" s="67">
        <v>21.712010206963225</v>
      </c>
      <c r="T41" s="67">
        <v>21.712010206963225</v>
      </c>
      <c r="U41" s="67">
        <v>21.712010206963225</v>
      </c>
      <c r="V41" s="67">
        <v>21.712010206963225</v>
      </c>
      <c r="W41" s="67">
        <v>21.712010206963225</v>
      </c>
    </row>
    <row r="42" spans="2:23">
      <c r="B42" s="1"/>
      <c r="C42" s="1"/>
      <c r="D42" s="1"/>
      <c r="E42" s="1"/>
      <c r="F42" s="1"/>
      <c r="G42" s="1"/>
      <c r="H42" s="1"/>
      <c r="I42" s="1"/>
      <c r="J42" s="1"/>
      <c r="K42" s="11"/>
      <c r="L42" s="11"/>
      <c r="M42" s="11"/>
      <c r="N42" s="11"/>
      <c r="O42" s="11"/>
      <c r="P42" s="11"/>
      <c r="Q42" s="11"/>
      <c r="R42" s="11"/>
      <c r="S42" s="11"/>
      <c r="T42" s="11"/>
      <c r="U42" s="11"/>
      <c r="V42" s="11"/>
      <c r="W42" s="11"/>
    </row>
    <row r="43" spans="2:23">
      <c r="B43" s="1">
        <v>14</v>
      </c>
      <c r="C43" s="1" t="s">
        <v>37</v>
      </c>
      <c r="D43" s="63">
        <v>4</v>
      </c>
      <c r="E43" s="63">
        <v>3</v>
      </c>
      <c r="F43" s="63">
        <v>2</v>
      </c>
      <c r="G43" s="63">
        <v>2</v>
      </c>
      <c r="H43" s="63">
        <v>2</v>
      </c>
      <c r="I43" s="63">
        <v>2</v>
      </c>
      <c r="J43" s="63">
        <v>1</v>
      </c>
      <c r="K43" s="66">
        <v>1</v>
      </c>
      <c r="L43" s="66">
        <v>1</v>
      </c>
      <c r="M43" s="66">
        <v>1</v>
      </c>
      <c r="N43" s="66">
        <v>0</v>
      </c>
      <c r="O43" s="66">
        <v>1</v>
      </c>
      <c r="P43" s="66">
        <v>1</v>
      </c>
      <c r="Q43" s="66">
        <v>2</v>
      </c>
      <c r="R43" s="66">
        <v>3</v>
      </c>
      <c r="S43" s="66">
        <v>4</v>
      </c>
      <c r="T43" s="66">
        <v>7</v>
      </c>
      <c r="U43" s="66">
        <v>10</v>
      </c>
      <c r="V43" s="66">
        <v>17</v>
      </c>
      <c r="W43" s="66">
        <v>29</v>
      </c>
    </row>
    <row r="44" spans="2:23">
      <c r="B44" s="1"/>
      <c r="C44" s="1"/>
      <c r="D44" s="1"/>
      <c r="E44" s="1"/>
      <c r="F44" s="1"/>
      <c r="G44" s="1"/>
      <c r="H44" s="1"/>
      <c r="I44" s="1"/>
      <c r="J44" s="1"/>
      <c r="K44" s="11"/>
      <c r="L44" s="11"/>
      <c r="M44" s="11"/>
      <c r="N44" s="11"/>
      <c r="O44" s="11"/>
      <c r="P44" s="11"/>
      <c r="Q44" s="11"/>
      <c r="R44" s="11"/>
      <c r="S44" s="11"/>
      <c r="T44" s="11"/>
      <c r="U44" s="11"/>
      <c r="V44" s="11"/>
      <c r="W44" s="11"/>
    </row>
    <row r="45" spans="2:23">
      <c r="B45" s="1">
        <v>15</v>
      </c>
      <c r="C45" s="1" t="s">
        <v>38</v>
      </c>
      <c r="D45" s="63">
        <v>0</v>
      </c>
      <c r="E45" s="63">
        <v>0</v>
      </c>
      <c r="F45" s="63">
        <v>0</v>
      </c>
      <c r="G45" s="63">
        <v>0</v>
      </c>
      <c r="H45" s="63">
        <v>0</v>
      </c>
      <c r="I45" s="63">
        <v>0</v>
      </c>
      <c r="J45" s="63">
        <v>0</v>
      </c>
      <c r="K45" s="66">
        <v>0</v>
      </c>
      <c r="L45" s="66">
        <v>0</v>
      </c>
      <c r="M45" s="66">
        <v>0</v>
      </c>
      <c r="N45" s="66">
        <v>1</v>
      </c>
      <c r="O45" s="66">
        <v>6</v>
      </c>
      <c r="P45" s="66">
        <v>22</v>
      </c>
      <c r="Q45" s="66">
        <v>34</v>
      </c>
      <c r="R45" s="66">
        <v>54</v>
      </c>
      <c r="S45" s="66">
        <v>86</v>
      </c>
      <c r="T45" s="66">
        <v>132</v>
      </c>
      <c r="U45" s="66">
        <v>203</v>
      </c>
      <c r="V45" s="66">
        <v>308</v>
      </c>
      <c r="W45" s="66">
        <v>424</v>
      </c>
    </row>
    <row r="46" spans="2:23">
      <c r="B46" s="1"/>
      <c r="C46" s="1"/>
      <c r="D46" s="1"/>
      <c r="E46" s="1"/>
      <c r="F46" s="1"/>
      <c r="G46" s="1"/>
      <c r="H46" s="1"/>
      <c r="I46" s="1"/>
      <c r="J46" s="1"/>
      <c r="K46" s="11"/>
      <c r="L46" s="11"/>
      <c r="M46" s="11"/>
      <c r="N46" s="11"/>
      <c r="O46" s="11"/>
      <c r="P46" s="11"/>
      <c r="Q46" s="11"/>
      <c r="R46" s="11"/>
      <c r="S46" s="11"/>
      <c r="T46" s="11"/>
      <c r="U46" s="11"/>
      <c r="V46" s="11"/>
      <c r="W46" s="11"/>
    </row>
    <row r="47" spans="2:23">
      <c r="B47" s="1">
        <v>16</v>
      </c>
      <c r="C47" s="1" t="s">
        <v>39</v>
      </c>
      <c r="D47" s="68">
        <v>24.000000083364483</v>
      </c>
      <c r="E47" s="68">
        <v>24.000000324911184</v>
      </c>
      <c r="F47" s="68">
        <v>24.000001233088376</v>
      </c>
      <c r="G47" s="68">
        <v>24.000004428202786</v>
      </c>
      <c r="H47" s="68">
        <v>24.000006546624277</v>
      </c>
      <c r="I47" s="68">
        <v>24.000009532017998</v>
      </c>
      <c r="J47" s="68">
        <v>24.000013771926145</v>
      </c>
      <c r="K47" s="69">
        <v>24.00003326284736</v>
      </c>
      <c r="L47" s="69">
        <v>24.000032639555716</v>
      </c>
      <c r="M47" s="69">
        <v>24.000042447871532</v>
      </c>
      <c r="N47" s="69">
        <v>24.002877147254846</v>
      </c>
      <c r="O47" s="69">
        <v>24.020107572623093</v>
      </c>
      <c r="P47" s="69">
        <v>24.13394422159962</v>
      </c>
      <c r="Q47" s="69">
        <v>24.431849853614683</v>
      </c>
      <c r="R47" s="69">
        <v>25.480336243673744</v>
      </c>
      <c r="S47" s="69">
        <v>27.789426780247567</v>
      </c>
      <c r="T47" s="69">
        <v>28.934083736570376</v>
      </c>
      <c r="U47" s="69">
        <v>24.848927989800764</v>
      </c>
      <c r="V47" s="69">
        <v>38.004536697404369</v>
      </c>
      <c r="W47" s="69">
        <v>83.644396041273609</v>
      </c>
    </row>
    <row r="48" spans="2:23">
      <c r="B48" s="1">
        <v>16</v>
      </c>
      <c r="C48" s="1" t="s">
        <v>40</v>
      </c>
      <c r="D48" s="68">
        <v>32.200000060014965</v>
      </c>
      <c r="E48" s="68">
        <v>32.200000234869584</v>
      </c>
      <c r="F48" s="68">
        <v>32.200000898832897</v>
      </c>
      <c r="G48" s="68">
        <v>32.200003283930904</v>
      </c>
      <c r="H48" s="68">
        <v>32.200004898379703</v>
      </c>
      <c r="I48" s="68">
        <v>32.200007214157523</v>
      </c>
      <c r="J48" s="68">
        <v>32.200010584854006</v>
      </c>
      <c r="K48" s="69">
        <v>32.200027852446226</v>
      </c>
      <c r="L48" s="69">
        <v>32.200036286979575</v>
      </c>
      <c r="M48" s="69">
        <v>32.200011094481667</v>
      </c>
      <c r="N48" s="69">
        <v>32.202698601919032</v>
      </c>
      <c r="O48" s="69">
        <v>32.243944467603356</v>
      </c>
      <c r="P48" s="69">
        <v>32.757966827037833</v>
      </c>
      <c r="Q48" s="69">
        <v>33.656059335226871</v>
      </c>
      <c r="R48" s="69">
        <v>36.124479158193537</v>
      </c>
      <c r="S48" s="69">
        <v>41.001048874375051</v>
      </c>
      <c r="T48" s="69">
        <v>42.909788360161713</v>
      </c>
      <c r="U48" s="69">
        <v>32.337180147135548</v>
      </c>
      <c r="V48" s="69">
        <v>88.898106243783815</v>
      </c>
      <c r="W48" s="69">
        <v>160.3713922960286</v>
      </c>
    </row>
    <row r="49" spans="2:23">
      <c r="B49" s="1"/>
      <c r="C49" s="1"/>
      <c r="D49" s="1"/>
      <c r="E49" s="1"/>
      <c r="F49" s="1"/>
      <c r="G49" s="1"/>
      <c r="H49" s="1"/>
      <c r="I49" s="1"/>
      <c r="J49" s="1"/>
      <c r="K49" s="10"/>
      <c r="L49" s="10"/>
      <c r="M49" s="10"/>
      <c r="N49" s="10"/>
      <c r="O49" s="10"/>
      <c r="P49" s="10"/>
      <c r="Q49" s="10"/>
      <c r="R49" s="10"/>
      <c r="S49" s="10"/>
      <c r="T49" s="10"/>
      <c r="U49" s="10"/>
      <c r="V49" s="10"/>
      <c r="W49" s="10"/>
    </row>
    <row r="50" spans="2:23">
      <c r="B50" s="1">
        <v>20</v>
      </c>
      <c r="C50" s="1" t="s">
        <v>41</v>
      </c>
      <c r="D50" s="63">
        <v>22</v>
      </c>
      <c r="E50" s="63">
        <v>22</v>
      </c>
      <c r="F50" s="63">
        <v>22</v>
      </c>
      <c r="G50" s="63">
        <v>22</v>
      </c>
      <c r="H50" s="63">
        <v>22</v>
      </c>
      <c r="I50" s="63">
        <v>22</v>
      </c>
      <c r="J50" s="63">
        <v>22</v>
      </c>
      <c r="K50" s="63">
        <v>22</v>
      </c>
      <c r="L50" s="63">
        <v>22</v>
      </c>
      <c r="M50" s="63">
        <v>22</v>
      </c>
      <c r="N50" s="63">
        <v>22</v>
      </c>
      <c r="O50" s="63">
        <v>22</v>
      </c>
      <c r="P50" s="63">
        <v>22</v>
      </c>
      <c r="Q50" s="63">
        <v>22</v>
      </c>
      <c r="R50" s="63">
        <v>22</v>
      </c>
      <c r="S50" s="63">
        <v>22</v>
      </c>
      <c r="T50" s="63">
        <v>22</v>
      </c>
      <c r="U50" s="63">
        <v>22</v>
      </c>
      <c r="V50" s="63">
        <v>22</v>
      </c>
      <c r="W50" s="63">
        <v>22</v>
      </c>
    </row>
    <row r="51" spans="2:23">
      <c r="B51" s="1">
        <v>20</v>
      </c>
      <c r="C51" s="1" t="s">
        <v>42</v>
      </c>
      <c r="D51" s="63">
        <v>22</v>
      </c>
      <c r="E51" s="63">
        <v>22</v>
      </c>
      <c r="F51" s="63">
        <v>22</v>
      </c>
      <c r="G51" s="63">
        <v>22</v>
      </c>
      <c r="H51" s="63">
        <v>22</v>
      </c>
      <c r="I51" s="63">
        <v>22</v>
      </c>
      <c r="J51" s="63">
        <v>22</v>
      </c>
      <c r="K51" s="63">
        <v>22</v>
      </c>
      <c r="L51" s="63">
        <v>22</v>
      </c>
      <c r="M51" s="63">
        <v>22</v>
      </c>
      <c r="N51" s="63">
        <v>22</v>
      </c>
      <c r="O51" s="63">
        <v>22</v>
      </c>
      <c r="P51" s="63">
        <v>22</v>
      </c>
      <c r="Q51" s="63">
        <v>22</v>
      </c>
      <c r="R51" s="63">
        <v>22</v>
      </c>
      <c r="S51" s="63">
        <v>22</v>
      </c>
      <c r="T51" s="63">
        <v>22</v>
      </c>
      <c r="U51" s="63">
        <v>22</v>
      </c>
      <c r="V51" s="63">
        <v>22</v>
      </c>
      <c r="W51" s="63">
        <v>22</v>
      </c>
    </row>
    <row r="52" spans="2:23">
      <c r="B52" s="1"/>
      <c r="C52" s="1"/>
      <c r="D52" s="1"/>
      <c r="E52" s="1"/>
      <c r="F52" s="1"/>
      <c r="G52" s="1"/>
      <c r="H52" s="1"/>
      <c r="I52" s="1"/>
      <c r="J52" s="1"/>
      <c r="K52" s="10"/>
      <c r="L52" s="10"/>
      <c r="M52" s="10"/>
      <c r="N52" s="10"/>
      <c r="O52" s="10"/>
      <c r="P52" s="10"/>
      <c r="Q52" s="10"/>
      <c r="R52" s="10"/>
      <c r="S52" s="10"/>
      <c r="T52" s="10"/>
      <c r="U52" s="10"/>
      <c r="V52" s="10"/>
      <c r="W52" s="10"/>
    </row>
    <row r="53" spans="2:23">
      <c r="B53" s="1">
        <v>21</v>
      </c>
      <c r="C53" s="1" t="s">
        <v>43</v>
      </c>
      <c r="D53" s="71">
        <v>50</v>
      </c>
      <c r="E53" s="71">
        <v>50</v>
      </c>
      <c r="F53" s="71">
        <v>50</v>
      </c>
      <c r="G53" s="71">
        <v>50</v>
      </c>
      <c r="H53" s="71">
        <v>50</v>
      </c>
      <c r="I53" s="71">
        <v>50</v>
      </c>
      <c r="J53" s="71">
        <v>50</v>
      </c>
      <c r="K53" s="73">
        <v>50</v>
      </c>
      <c r="L53" s="73">
        <v>50</v>
      </c>
      <c r="M53" s="73">
        <v>50</v>
      </c>
      <c r="N53" s="73">
        <v>50</v>
      </c>
      <c r="O53" s="73">
        <v>50</v>
      </c>
      <c r="P53" s="73">
        <v>50</v>
      </c>
      <c r="Q53" s="73">
        <v>50</v>
      </c>
      <c r="R53" s="73">
        <v>50</v>
      </c>
      <c r="S53" s="73">
        <v>50</v>
      </c>
      <c r="T53" s="73">
        <v>50</v>
      </c>
      <c r="U53" s="73">
        <v>50</v>
      </c>
      <c r="V53" s="73">
        <v>50</v>
      </c>
      <c r="W53" s="73">
        <v>50</v>
      </c>
    </row>
    <row r="54" spans="2:23">
      <c r="B54" s="1"/>
      <c r="C54" s="1"/>
      <c r="D54" s="1"/>
      <c r="E54" s="1"/>
      <c r="F54" s="1"/>
      <c r="G54" s="1"/>
      <c r="H54" s="1"/>
      <c r="I54" s="1"/>
      <c r="J54" s="1"/>
      <c r="K54" s="10"/>
      <c r="L54" s="10"/>
      <c r="M54" s="10"/>
      <c r="N54" s="10"/>
      <c r="O54" s="10"/>
      <c r="P54" s="10"/>
      <c r="Q54" s="10"/>
      <c r="R54" s="10"/>
      <c r="S54" s="10"/>
      <c r="T54" s="10"/>
      <c r="U54" s="10"/>
      <c r="V54" s="10"/>
      <c r="W54" s="10"/>
    </row>
    <row r="55" spans="2:23">
      <c r="B55" s="1">
        <v>22</v>
      </c>
      <c r="C55" s="1" t="s">
        <v>44</v>
      </c>
      <c r="D55" s="71">
        <v>35</v>
      </c>
      <c r="E55" s="71">
        <v>9</v>
      </c>
      <c r="F55" s="71">
        <v>3</v>
      </c>
      <c r="G55" s="71">
        <v>1</v>
      </c>
      <c r="H55" s="71">
        <v>3</v>
      </c>
      <c r="I55" s="71">
        <v>2</v>
      </c>
      <c r="J55" s="71">
        <v>2</v>
      </c>
      <c r="K55" s="73">
        <v>1</v>
      </c>
      <c r="L55" s="73">
        <v>0</v>
      </c>
      <c r="M55" s="73">
        <v>0</v>
      </c>
      <c r="N55" s="73">
        <v>0</v>
      </c>
      <c r="O55" s="73">
        <v>0</v>
      </c>
      <c r="P55" s="73">
        <v>10</v>
      </c>
      <c r="Q55" s="73">
        <v>13</v>
      </c>
      <c r="R55" s="73">
        <v>15</v>
      </c>
      <c r="S55" s="73">
        <v>14</v>
      </c>
      <c r="T55" s="73">
        <v>5</v>
      </c>
      <c r="U55" s="73">
        <v>19</v>
      </c>
      <c r="V55" s="73">
        <v>61</v>
      </c>
      <c r="W55" s="73">
        <v>100</v>
      </c>
    </row>
    <row r="56" spans="2:23">
      <c r="B56" s="1"/>
      <c r="C56" s="1"/>
      <c r="D56" s="1"/>
      <c r="E56" s="1"/>
      <c r="F56" s="1"/>
      <c r="G56" s="1"/>
      <c r="H56" s="1"/>
      <c r="I56" s="1"/>
      <c r="J56" s="1"/>
      <c r="K56" s="11"/>
      <c r="L56" s="11"/>
      <c r="M56" s="11"/>
      <c r="N56" s="11"/>
      <c r="O56" s="11"/>
      <c r="P56" s="11"/>
      <c r="Q56" s="11"/>
      <c r="R56" s="11"/>
      <c r="S56" s="11"/>
      <c r="T56" s="11"/>
      <c r="U56" s="11"/>
      <c r="V56" s="11"/>
      <c r="W56" s="11"/>
    </row>
    <row r="57" spans="2:23">
      <c r="B57" s="4"/>
      <c r="C57" s="4" t="s">
        <v>45</v>
      </c>
      <c r="D57" s="15">
        <v>532.64930301524112</v>
      </c>
      <c r="E57" s="15">
        <v>537.34434646407794</v>
      </c>
      <c r="F57" s="15">
        <v>537.82334154040859</v>
      </c>
      <c r="G57" s="15">
        <v>537.70619004063269</v>
      </c>
      <c r="H57" s="15">
        <v>69.276837470383228</v>
      </c>
      <c r="I57" s="15">
        <v>68.041264249788767</v>
      </c>
      <c r="J57" s="15">
        <v>66.979701757864305</v>
      </c>
      <c r="K57" s="15">
        <v>65.092894588025416</v>
      </c>
      <c r="L57" s="15">
        <v>64.356443062084097</v>
      </c>
      <c r="M57" s="15">
        <v>63.635037883259606</v>
      </c>
      <c r="N57" s="15">
        <v>63.523127798252929</v>
      </c>
      <c r="O57" s="15">
        <v>64.130203258312832</v>
      </c>
      <c r="P57" s="15">
        <v>76.074400077730644</v>
      </c>
      <c r="Q57" s="15">
        <v>91.578849458582511</v>
      </c>
      <c r="R57" s="15">
        <v>121.46691856464281</v>
      </c>
      <c r="S57" s="15">
        <v>170.09678581795808</v>
      </c>
      <c r="T57" s="15">
        <v>216.6964793791968</v>
      </c>
      <c r="U57" s="15">
        <v>203.60466090714283</v>
      </c>
      <c r="V57" s="15">
        <v>219.39585949491897</v>
      </c>
      <c r="W57" s="15">
        <v>478.68571103362569</v>
      </c>
    </row>
    <row r="58" spans="2:23">
      <c r="B58" s="16"/>
      <c r="C58" s="17" t="s">
        <v>46</v>
      </c>
      <c r="D58" s="17"/>
      <c r="E58" s="17"/>
      <c r="F58" s="17"/>
      <c r="G58" s="17"/>
      <c r="H58" s="17"/>
      <c r="I58" s="17"/>
      <c r="J58" s="17"/>
      <c r="K58" s="18"/>
      <c r="L58" s="18"/>
      <c r="M58" s="18"/>
      <c r="N58" s="18"/>
      <c r="O58" s="18"/>
      <c r="P58" s="18"/>
      <c r="Q58" s="18"/>
      <c r="R58" s="18"/>
      <c r="S58" s="18"/>
      <c r="T58" s="18"/>
      <c r="U58" s="18"/>
      <c r="V58" s="18"/>
      <c r="W58" s="18"/>
    </row>
    <row r="59" spans="2:23">
      <c r="B59" s="1"/>
      <c r="C59" s="1"/>
      <c r="D59" s="1"/>
      <c r="E59" s="1"/>
      <c r="F59" s="1"/>
      <c r="G59" s="1"/>
      <c r="H59" s="1"/>
      <c r="I59" s="1"/>
      <c r="J59" s="1"/>
      <c r="K59" s="3" t="s">
        <v>47</v>
      </c>
      <c r="L59" s="3"/>
      <c r="M59" s="3"/>
      <c r="N59" s="3"/>
      <c r="O59" s="3"/>
      <c r="P59" s="3"/>
      <c r="Q59" s="3"/>
      <c r="R59" s="3"/>
      <c r="S59" s="3"/>
      <c r="T59" s="3"/>
      <c r="U59" s="3"/>
      <c r="V59" s="3"/>
      <c r="W59" s="3"/>
    </row>
    <row r="60" spans="2:23">
      <c r="B60" s="4"/>
      <c r="C60" s="5" t="s">
        <v>2</v>
      </c>
      <c r="D60" s="5"/>
      <c r="E60" s="5"/>
      <c r="F60" s="5"/>
      <c r="G60" s="5"/>
      <c r="H60" s="5"/>
      <c r="I60" s="5"/>
      <c r="J60" s="5"/>
      <c r="K60" s="6" t="s">
        <v>3</v>
      </c>
      <c r="L60" s="6"/>
      <c r="M60" s="6"/>
      <c r="N60" s="6"/>
      <c r="O60" s="6"/>
      <c r="P60" s="6"/>
      <c r="Q60" s="6"/>
      <c r="R60" s="6"/>
      <c r="S60" s="6"/>
      <c r="T60" s="6"/>
      <c r="U60" s="6"/>
      <c r="V60" s="6"/>
      <c r="W60" s="6"/>
    </row>
    <row r="61" spans="2:23" ht="18">
      <c r="B61" s="7"/>
      <c r="C61" s="8" t="s">
        <v>48</v>
      </c>
      <c r="D61" s="8">
        <v>2</v>
      </c>
      <c r="E61" s="8">
        <v>4</v>
      </c>
      <c r="F61" s="8">
        <v>8</v>
      </c>
      <c r="G61" s="8">
        <v>16</v>
      </c>
      <c r="H61" s="8">
        <v>20</v>
      </c>
      <c r="I61" s="8">
        <v>25</v>
      </c>
      <c r="J61" s="8">
        <v>31.5</v>
      </c>
      <c r="K61" s="9">
        <v>63</v>
      </c>
      <c r="L61" s="9">
        <v>125</v>
      </c>
      <c r="M61" s="9">
        <v>250</v>
      </c>
      <c r="N61" s="9">
        <v>500</v>
      </c>
      <c r="O61" s="9" t="s">
        <v>5</v>
      </c>
      <c r="P61" s="9" t="s">
        <v>6</v>
      </c>
      <c r="Q61" s="9" t="s">
        <v>7</v>
      </c>
      <c r="R61" s="9" t="s">
        <v>8</v>
      </c>
      <c r="S61" s="9" t="s">
        <v>9</v>
      </c>
      <c r="T61" s="9" t="s">
        <v>10</v>
      </c>
      <c r="U61" s="9" t="s">
        <v>11</v>
      </c>
      <c r="V61" s="9" t="s">
        <v>12</v>
      </c>
      <c r="W61" s="9" t="s">
        <v>13</v>
      </c>
    </row>
    <row r="62" spans="2:23">
      <c r="B62" s="1"/>
      <c r="C62" s="1"/>
      <c r="D62" s="1"/>
      <c r="E62" s="1"/>
      <c r="F62" s="1"/>
      <c r="G62" s="1"/>
      <c r="H62" s="1"/>
      <c r="I62" s="1"/>
      <c r="J62" s="1"/>
      <c r="K62" s="1"/>
      <c r="L62" s="1"/>
      <c r="M62" s="1"/>
      <c r="N62" s="1"/>
      <c r="O62" s="1"/>
      <c r="P62" s="1"/>
      <c r="Q62" s="1"/>
      <c r="R62" s="1"/>
      <c r="S62" s="1"/>
      <c r="T62" s="1"/>
      <c r="U62" s="1"/>
      <c r="V62" s="1"/>
      <c r="W62" s="1"/>
    </row>
    <row r="63" spans="2:23">
      <c r="B63" s="1">
        <v>1</v>
      </c>
      <c r="C63" s="1" t="s">
        <v>49</v>
      </c>
      <c r="D63" s="71">
        <v>1200</v>
      </c>
      <c r="E63" s="71">
        <v>250</v>
      </c>
      <c r="F63" s="71">
        <v>150</v>
      </c>
      <c r="G63" s="71">
        <v>100</v>
      </c>
      <c r="H63" s="71">
        <v>100</v>
      </c>
      <c r="I63" s="71">
        <v>100</v>
      </c>
      <c r="J63" s="71">
        <v>100</v>
      </c>
      <c r="K63" s="72">
        <v>100</v>
      </c>
      <c r="L63" s="72">
        <v>100</v>
      </c>
      <c r="M63" s="72">
        <v>100</v>
      </c>
      <c r="N63" s="72">
        <v>100</v>
      </c>
      <c r="O63" s="72">
        <v>100</v>
      </c>
      <c r="P63" s="72">
        <v>100</v>
      </c>
      <c r="Q63" s="72">
        <v>100</v>
      </c>
      <c r="R63" s="72">
        <v>100</v>
      </c>
      <c r="S63" s="72">
        <v>100</v>
      </c>
      <c r="T63" s="72">
        <v>100</v>
      </c>
      <c r="U63" s="72">
        <v>125</v>
      </c>
      <c r="V63" s="72">
        <v>150</v>
      </c>
      <c r="W63" s="72">
        <v>150</v>
      </c>
    </row>
    <row r="64" spans="2:23">
      <c r="B64" s="1"/>
      <c r="C64" s="1"/>
      <c r="D64" s="1"/>
      <c r="E64" s="1"/>
      <c r="F64" s="1"/>
      <c r="G64" s="1"/>
      <c r="H64" s="1"/>
      <c r="I64" s="1"/>
      <c r="J64" s="1"/>
      <c r="K64" s="19"/>
      <c r="L64" s="19"/>
      <c r="M64" s="19"/>
      <c r="N64" s="19"/>
      <c r="O64" s="19"/>
      <c r="P64" s="19"/>
      <c r="Q64" s="19"/>
      <c r="R64" s="19"/>
      <c r="S64" s="19"/>
      <c r="T64" s="19"/>
      <c r="U64" s="19"/>
      <c r="V64" s="19"/>
      <c r="W64" s="19"/>
    </row>
    <row r="65" spans="2:23">
      <c r="B65" s="1">
        <v>8</v>
      </c>
      <c r="C65" s="1" t="s">
        <v>25</v>
      </c>
      <c r="D65" s="63">
        <v>38</v>
      </c>
      <c r="E65" s="63">
        <v>38</v>
      </c>
      <c r="F65" s="63">
        <v>38</v>
      </c>
      <c r="G65" s="63">
        <v>38</v>
      </c>
      <c r="H65" s="63">
        <v>38</v>
      </c>
      <c r="I65" s="63">
        <v>38</v>
      </c>
      <c r="J65" s="63">
        <v>38</v>
      </c>
      <c r="K65" s="70">
        <v>38</v>
      </c>
      <c r="L65" s="70">
        <v>38</v>
      </c>
      <c r="M65" s="70">
        <v>38</v>
      </c>
      <c r="N65" s="70">
        <v>38</v>
      </c>
      <c r="O65" s="70">
        <v>38</v>
      </c>
      <c r="P65" s="70">
        <v>36</v>
      </c>
      <c r="Q65" s="70">
        <v>34</v>
      </c>
      <c r="R65" s="70">
        <v>32</v>
      </c>
      <c r="S65" s="70">
        <v>28</v>
      </c>
      <c r="T65" s="70">
        <v>24</v>
      </c>
      <c r="U65" s="70">
        <v>12</v>
      </c>
      <c r="V65" s="70">
        <v>6</v>
      </c>
      <c r="W65" s="70">
        <v>44</v>
      </c>
    </row>
    <row r="66" spans="2:23">
      <c r="B66" s="1"/>
      <c r="C66" s="1"/>
      <c r="D66" s="1"/>
      <c r="E66" s="1"/>
      <c r="F66" s="1"/>
      <c r="G66" s="1"/>
      <c r="H66" s="1"/>
      <c r="I66" s="1"/>
      <c r="J66" s="1"/>
      <c r="K66" s="1"/>
      <c r="L66" s="1"/>
      <c r="M66" s="1"/>
      <c r="N66" s="1"/>
      <c r="O66" s="1"/>
      <c r="P66" s="1"/>
      <c r="Q66" s="1"/>
      <c r="R66" s="1"/>
      <c r="S66" s="1"/>
      <c r="T66" s="1"/>
      <c r="U66" s="1"/>
      <c r="V66" s="1"/>
      <c r="W66" s="1"/>
    </row>
    <row r="67" spans="2:23">
      <c r="B67" s="4"/>
      <c r="C67" s="4" t="s">
        <v>50</v>
      </c>
      <c r="D67" s="20">
        <v>1200.6015159077554</v>
      </c>
      <c r="E67" s="20">
        <v>252.87150887357794</v>
      </c>
      <c r="F67" s="20">
        <v>154.73848907107759</v>
      </c>
      <c r="G67" s="20">
        <v>106.97663296253066</v>
      </c>
      <c r="H67" s="20">
        <v>106.97663296253066</v>
      </c>
      <c r="I67" s="20">
        <v>106.97663296253066</v>
      </c>
      <c r="J67" s="20">
        <v>106.97663296253066</v>
      </c>
      <c r="K67" s="20">
        <v>106.97663296253066</v>
      </c>
      <c r="L67" s="20">
        <v>106.97663296253066</v>
      </c>
      <c r="M67" s="20">
        <v>106.97663296253066</v>
      </c>
      <c r="N67" s="20">
        <v>106.97663296253066</v>
      </c>
      <c r="O67" s="20">
        <v>106.97663296253066</v>
      </c>
      <c r="P67" s="20">
        <v>106.28264204469139</v>
      </c>
      <c r="Q67" s="20">
        <v>105.62196741208714</v>
      </c>
      <c r="R67" s="20">
        <v>104.9952379872535</v>
      </c>
      <c r="S67" s="20">
        <v>103.84603988597736</v>
      </c>
      <c r="T67" s="20">
        <v>102.83968105745953</v>
      </c>
      <c r="U67" s="20">
        <v>125.57467897629681</v>
      </c>
      <c r="V67" s="20">
        <v>150.11995203836165</v>
      </c>
      <c r="W67" s="20">
        <v>156.32018423735306</v>
      </c>
    </row>
    <row r="68" spans="2:23">
      <c r="B68" s="1"/>
      <c r="C68" s="17" t="s">
        <v>51</v>
      </c>
      <c r="D68" s="17"/>
      <c r="E68" s="17"/>
      <c r="F68" s="17"/>
      <c r="G68" s="17"/>
      <c r="H68" s="17"/>
      <c r="I68" s="17"/>
      <c r="J68" s="17"/>
      <c r="K68" s="1"/>
      <c r="L68" s="1"/>
      <c r="M68" s="1"/>
      <c r="N68" s="1"/>
      <c r="O68" s="1"/>
      <c r="P68" s="1"/>
      <c r="Q68" s="1"/>
      <c r="R68" s="1"/>
      <c r="S68" s="1"/>
      <c r="T68" s="1"/>
      <c r="U68" s="1"/>
      <c r="V68" s="1"/>
      <c r="W68" s="1"/>
    </row>
    <row r="69" spans="2:23">
      <c r="B69" s="1"/>
      <c r="C69" s="1"/>
      <c r="D69" s="1"/>
      <c r="E69" s="1"/>
      <c r="F69" s="1"/>
      <c r="G69" s="1"/>
      <c r="H69" s="1"/>
      <c r="I69" s="1"/>
      <c r="J69" s="1"/>
      <c r="K69" s="3" t="s">
        <v>52</v>
      </c>
      <c r="L69" s="3"/>
      <c r="M69" s="3"/>
      <c r="N69" s="3"/>
      <c r="O69" s="3"/>
      <c r="P69" s="3"/>
      <c r="Q69" s="3"/>
      <c r="R69" s="3"/>
      <c r="S69" s="3"/>
      <c r="T69" s="3"/>
      <c r="U69" s="3"/>
      <c r="V69" s="3"/>
      <c r="W69" s="3"/>
    </row>
    <row r="70" spans="2:23">
      <c r="B70" s="4"/>
      <c r="C70" s="5" t="s">
        <v>2</v>
      </c>
      <c r="D70" s="5"/>
      <c r="E70" s="5"/>
      <c r="F70" s="5"/>
      <c r="G70" s="5"/>
      <c r="H70" s="5"/>
      <c r="I70" s="5"/>
      <c r="J70" s="5"/>
      <c r="K70" s="6" t="s">
        <v>3</v>
      </c>
      <c r="L70" s="6"/>
      <c r="M70" s="6"/>
      <c r="N70" s="6"/>
      <c r="O70" s="6"/>
      <c r="P70" s="6"/>
      <c r="Q70" s="6"/>
      <c r="R70" s="6"/>
      <c r="S70" s="6"/>
      <c r="T70" s="6"/>
      <c r="U70" s="6"/>
      <c r="V70" s="6"/>
      <c r="W70" s="6"/>
    </row>
    <row r="71" spans="2:23">
      <c r="B71" s="7"/>
      <c r="C71" s="7"/>
      <c r="D71" s="8">
        <v>2</v>
      </c>
      <c r="E71" s="8">
        <v>4</v>
      </c>
      <c r="F71" s="8">
        <v>8</v>
      </c>
      <c r="G71" s="8">
        <v>16</v>
      </c>
      <c r="H71" s="8">
        <v>20</v>
      </c>
      <c r="I71" s="8">
        <v>25</v>
      </c>
      <c r="J71" s="8">
        <v>31.5</v>
      </c>
      <c r="K71" s="9">
        <v>63</v>
      </c>
      <c r="L71" s="9">
        <v>125</v>
      </c>
      <c r="M71" s="9">
        <v>250</v>
      </c>
      <c r="N71" s="9">
        <v>500</v>
      </c>
      <c r="O71" s="9" t="s">
        <v>5</v>
      </c>
      <c r="P71" s="9" t="s">
        <v>6</v>
      </c>
      <c r="Q71" s="9" t="s">
        <v>7</v>
      </c>
      <c r="R71" s="9" t="s">
        <v>8</v>
      </c>
      <c r="S71" s="9" t="s">
        <v>9</v>
      </c>
      <c r="T71" s="9" t="s">
        <v>10</v>
      </c>
      <c r="U71" s="9" t="s">
        <v>11</v>
      </c>
      <c r="V71" s="9" t="s">
        <v>12</v>
      </c>
      <c r="W71" s="9" t="s">
        <v>13</v>
      </c>
    </row>
    <row r="72" spans="2:23">
      <c r="B72" s="1"/>
      <c r="C72" s="1"/>
      <c r="D72" s="1"/>
      <c r="E72" s="1"/>
      <c r="F72" s="1"/>
      <c r="G72" s="1"/>
      <c r="H72" s="1"/>
      <c r="I72" s="1"/>
      <c r="J72" s="1"/>
      <c r="K72" s="1"/>
      <c r="L72" s="1"/>
      <c r="M72" s="1"/>
      <c r="N72" s="1"/>
      <c r="O72" s="1"/>
      <c r="P72" s="1"/>
      <c r="Q72" s="1"/>
      <c r="R72" s="1"/>
      <c r="S72" s="1"/>
      <c r="T72" s="1"/>
      <c r="U72" s="1"/>
      <c r="V72" s="1"/>
      <c r="W72" s="1"/>
    </row>
    <row r="73" spans="2:23">
      <c r="B73" s="1"/>
      <c r="C73" s="1" t="s">
        <v>53</v>
      </c>
      <c r="D73" s="14">
        <v>1065.2986060304822</v>
      </c>
      <c r="E73" s="14">
        <v>1074.6886929281559</v>
      </c>
      <c r="F73" s="14">
        <v>1075.6466830808172</v>
      </c>
      <c r="G73" s="14">
        <v>1075.4123800812654</v>
      </c>
      <c r="H73" s="14">
        <v>138.55367494076646</v>
      </c>
      <c r="I73" s="14">
        <v>136.08252849957753</v>
      </c>
      <c r="J73" s="14">
        <v>133.95940351572861</v>
      </c>
      <c r="K73" s="14">
        <v>130.18578917605083</v>
      </c>
      <c r="L73" s="14">
        <v>128.71288612416819</v>
      </c>
      <c r="M73" s="14">
        <v>127.27007576651921</v>
      </c>
      <c r="N73" s="14">
        <v>127.04625559650586</v>
      </c>
      <c r="O73" s="14">
        <v>128.26040651662566</v>
      </c>
      <c r="P73" s="14">
        <v>152.14880015546129</v>
      </c>
      <c r="Q73" s="14">
        <v>183.15769891716502</v>
      </c>
      <c r="R73" s="14">
        <v>242.93383712928562</v>
      </c>
      <c r="S73" s="14">
        <v>340.19357163591616</v>
      </c>
      <c r="T73" s="14">
        <v>433.3929587583936</v>
      </c>
      <c r="U73" s="14">
        <v>407.20932181428566</v>
      </c>
      <c r="V73" s="14">
        <v>438.79171898983793</v>
      </c>
      <c r="W73" s="14">
        <v>957.37142206725139</v>
      </c>
    </row>
    <row r="74" spans="2:23">
      <c r="B74" s="1"/>
      <c r="C74" s="1" t="s">
        <v>54</v>
      </c>
      <c r="D74" s="14">
        <v>2401.2030318155107</v>
      </c>
      <c r="E74" s="14">
        <v>505.74301774715587</v>
      </c>
      <c r="F74" s="14">
        <v>309.47697814215519</v>
      </c>
      <c r="G74" s="14">
        <v>213.95326592506132</v>
      </c>
      <c r="H74" s="14">
        <v>213.95326592506132</v>
      </c>
      <c r="I74" s="14">
        <v>213.95326592506132</v>
      </c>
      <c r="J74" s="14">
        <v>213.95326592506132</v>
      </c>
      <c r="K74" s="14">
        <v>213.95326592506132</v>
      </c>
      <c r="L74" s="14">
        <v>213.95326592506132</v>
      </c>
      <c r="M74" s="14">
        <v>213.95326592506132</v>
      </c>
      <c r="N74" s="14">
        <v>213.95326592506132</v>
      </c>
      <c r="O74" s="14">
        <v>213.95326592506132</v>
      </c>
      <c r="P74" s="14">
        <v>212.56528408938277</v>
      </c>
      <c r="Q74" s="14">
        <v>211.24393482417429</v>
      </c>
      <c r="R74" s="14">
        <v>209.99047597450701</v>
      </c>
      <c r="S74" s="14">
        <v>207.69207977195472</v>
      </c>
      <c r="T74" s="14">
        <v>205.67936211491906</v>
      </c>
      <c r="U74" s="14">
        <v>251.14935795259362</v>
      </c>
      <c r="V74" s="14">
        <v>300.23990407672329</v>
      </c>
      <c r="W74" s="14">
        <v>312.64036847470612</v>
      </c>
    </row>
    <row r="75" spans="2:23">
      <c r="B75" s="1"/>
      <c r="C75" s="1"/>
      <c r="D75" s="1"/>
      <c r="E75" s="1"/>
      <c r="F75" s="1"/>
      <c r="G75" s="1"/>
      <c r="H75" s="1"/>
      <c r="I75" s="1"/>
      <c r="J75" s="1"/>
      <c r="K75" s="14"/>
      <c r="L75" s="14"/>
      <c r="M75" s="14"/>
      <c r="N75" s="14"/>
      <c r="O75" s="14"/>
      <c r="P75" s="14"/>
      <c r="Q75" s="14"/>
      <c r="R75" s="14"/>
      <c r="S75" s="14"/>
      <c r="T75" s="14"/>
      <c r="U75" s="14"/>
      <c r="V75" s="14"/>
      <c r="W75" s="14"/>
    </row>
    <row r="76" spans="2:23">
      <c r="B76" s="4"/>
      <c r="C76" s="4" t="s">
        <v>55</v>
      </c>
      <c r="D76" s="20">
        <v>2626.9063782347648</v>
      </c>
      <c r="E76" s="20">
        <v>1187.7423065242847</v>
      </c>
      <c r="F76" s="20">
        <v>1119.281817427034</v>
      </c>
      <c r="G76" s="20">
        <v>1096.4888450103138</v>
      </c>
      <c r="H76" s="20">
        <v>254.89825585827688</v>
      </c>
      <c r="I76" s="20">
        <v>253.56351189167248</v>
      </c>
      <c r="J76" s="20">
        <v>252.43042960445518</v>
      </c>
      <c r="K76" s="20">
        <v>250.4482775013459</v>
      </c>
      <c r="L76" s="20">
        <v>249.68581668651726</v>
      </c>
      <c r="M76" s="20">
        <v>248.94511882263438</v>
      </c>
      <c r="N76" s="20">
        <v>248.83076791484751</v>
      </c>
      <c r="O76" s="20">
        <v>249.45286504630505</v>
      </c>
      <c r="P76" s="20">
        <v>261.4063070944282</v>
      </c>
      <c r="Q76" s="20">
        <v>279.59031219380773</v>
      </c>
      <c r="R76" s="20">
        <v>321.11189517418734</v>
      </c>
      <c r="S76" s="20">
        <v>398.58206956961976</v>
      </c>
      <c r="T76" s="20">
        <v>479.7222703829317</v>
      </c>
      <c r="U76" s="20">
        <v>478.43017439585731</v>
      </c>
      <c r="V76" s="20">
        <v>531.6786366350043</v>
      </c>
      <c r="W76" s="20">
        <v>1007.1266255000268</v>
      </c>
    </row>
    <row r="77" spans="2:23">
      <c r="B77" s="21"/>
      <c r="C77" s="22" t="s">
        <v>56</v>
      </c>
      <c r="D77" s="22"/>
      <c r="E77" s="22"/>
      <c r="F77" s="22"/>
      <c r="G77" s="22"/>
      <c r="H77" s="22"/>
      <c r="I77" s="22"/>
      <c r="J77" s="23"/>
      <c r="K77" s="24"/>
      <c r="L77" s="24"/>
      <c r="M77" s="24"/>
      <c r="N77" s="24"/>
      <c r="O77" s="24"/>
      <c r="P77" s="24"/>
      <c r="Q77" s="24"/>
      <c r="R77" s="24"/>
      <c r="S77" s="24"/>
      <c r="T77" s="24"/>
      <c r="U77" s="24"/>
      <c r="V77" s="24"/>
      <c r="W77" s="24"/>
    </row>
    <row r="78" spans="2:23">
      <c r="B78" s="25"/>
      <c r="C78" s="26"/>
      <c r="D78" s="26"/>
      <c r="E78" s="26"/>
      <c r="F78" s="26"/>
      <c r="G78" s="26"/>
      <c r="H78" s="26"/>
      <c r="I78" s="26"/>
      <c r="J78" s="26"/>
      <c r="K78" s="26"/>
      <c r="L78" s="26"/>
      <c r="M78" s="26"/>
      <c r="N78" s="26"/>
      <c r="O78" s="26"/>
      <c r="P78" s="26"/>
      <c r="Q78" s="26"/>
      <c r="R78" s="26"/>
      <c r="S78" s="26"/>
      <c r="T78" s="26"/>
      <c r="U78" s="26"/>
      <c r="V78" s="26"/>
      <c r="W78" s="26"/>
    </row>
    <row r="79" spans="2:23">
      <c r="B79" s="25"/>
      <c r="C79" s="7" t="s">
        <v>57</v>
      </c>
      <c r="D79" s="27">
        <v>0.27</v>
      </c>
      <c r="E79" s="27">
        <v>0.12</v>
      </c>
      <c r="F79" s="27">
        <v>0.12</v>
      </c>
      <c r="G79" s="27">
        <v>0.11</v>
      </c>
      <c r="H79" s="27">
        <v>0.03</v>
      </c>
      <c r="I79" s="27">
        <v>0.03</v>
      </c>
      <c r="J79" s="27">
        <v>0.03</v>
      </c>
      <c r="K79" s="27">
        <v>0.03</v>
      </c>
      <c r="L79" s="27">
        <v>0.03</v>
      </c>
      <c r="M79" s="27">
        <v>0.03</v>
      </c>
      <c r="N79" s="27">
        <v>0.03</v>
      </c>
      <c r="O79" s="27">
        <v>0.03</v>
      </c>
      <c r="P79" s="27">
        <v>0.03</v>
      </c>
      <c r="Q79" s="27">
        <v>0.03</v>
      </c>
      <c r="R79" s="27">
        <v>0.04</v>
      </c>
      <c r="S79" s="27">
        <v>0.04</v>
      </c>
      <c r="T79" s="27">
        <v>0.05</v>
      </c>
      <c r="U79" s="27">
        <v>0.05</v>
      </c>
      <c r="V79" s="27">
        <v>6.0000000000000005E-2</v>
      </c>
      <c r="W79" s="27">
        <v>0.11</v>
      </c>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79"/>
  <sheetViews>
    <sheetView workbookViewId="0">
      <selection activeCell="AA55" sqref="AA55"/>
    </sheetView>
  </sheetViews>
  <sheetFormatPr defaultRowHeight="15"/>
  <cols>
    <col min="3" max="3" width="19.7109375" bestFit="1" customWidth="1"/>
    <col min="4" max="4" width="4.5703125" bestFit="1" customWidth="1"/>
    <col min="5" max="5" width="4.28515625" bestFit="1" customWidth="1"/>
    <col min="6" max="23" width="3.85546875" bestFit="1" customWidth="1"/>
  </cols>
  <sheetData>
    <row r="1" spans="1:26" ht="26.25">
      <c r="A1" s="62" t="s">
        <v>766</v>
      </c>
      <c r="B1" s="62" t="s">
        <v>768</v>
      </c>
      <c r="D1" s="75" t="s">
        <v>773</v>
      </c>
      <c r="E1" s="75"/>
      <c r="F1" s="75"/>
      <c r="G1" s="75"/>
      <c r="H1" s="75"/>
      <c r="I1" s="75"/>
      <c r="J1" s="75"/>
      <c r="K1" s="75"/>
      <c r="L1" s="75"/>
      <c r="M1" s="75"/>
      <c r="N1" s="75"/>
      <c r="O1" s="75"/>
      <c r="P1" s="75"/>
      <c r="Q1" s="75"/>
      <c r="R1" s="75"/>
      <c r="S1" s="75"/>
      <c r="T1" s="75"/>
      <c r="U1" s="75"/>
      <c r="V1" s="75"/>
      <c r="W1" s="75"/>
      <c r="X1" s="75"/>
      <c r="Y1" s="75"/>
      <c r="Z1" s="75"/>
    </row>
    <row r="3" spans="1:26">
      <c r="B3" s="28"/>
      <c r="C3" s="29" t="s">
        <v>0</v>
      </c>
      <c r="D3" s="28"/>
      <c r="E3" s="28"/>
      <c r="F3" s="28"/>
      <c r="G3" s="28"/>
      <c r="H3" s="28"/>
      <c r="I3" s="28"/>
      <c r="J3" s="28"/>
      <c r="K3" s="30" t="s">
        <v>58</v>
      </c>
      <c r="L3" s="30"/>
      <c r="M3" s="30"/>
      <c r="N3" s="30"/>
      <c r="O3" s="30"/>
      <c r="P3" s="30"/>
      <c r="Q3" s="30"/>
      <c r="R3" s="30"/>
      <c r="S3" s="30"/>
      <c r="T3" s="30"/>
      <c r="U3" s="30"/>
      <c r="V3" s="30"/>
      <c r="W3" s="30"/>
    </row>
    <row r="4" spans="1:26">
      <c r="B4" s="31"/>
      <c r="C4" s="5" t="s">
        <v>2</v>
      </c>
      <c r="D4" s="5"/>
      <c r="E4" s="5"/>
      <c r="F4" s="5"/>
      <c r="G4" s="5"/>
      <c r="H4" s="5"/>
      <c r="I4" s="5"/>
      <c r="J4" s="5" t="s">
        <v>59</v>
      </c>
      <c r="K4" s="6" t="s">
        <v>3</v>
      </c>
      <c r="L4" s="6"/>
      <c r="M4" s="6"/>
      <c r="N4" s="6"/>
      <c r="O4" s="6"/>
      <c r="P4" s="6"/>
      <c r="Q4" s="6"/>
      <c r="R4" s="6"/>
      <c r="S4" s="6"/>
      <c r="T4" s="6"/>
      <c r="U4" s="6"/>
      <c r="V4" s="6"/>
      <c r="W4" s="6"/>
    </row>
    <row r="5" spans="1:26" ht="18">
      <c r="B5" s="32"/>
      <c r="C5" s="8" t="s">
        <v>4</v>
      </c>
      <c r="D5" s="8">
        <v>2</v>
      </c>
      <c r="E5" s="8">
        <v>4</v>
      </c>
      <c r="F5" s="8">
        <v>8</v>
      </c>
      <c r="G5" s="8">
        <v>16</v>
      </c>
      <c r="H5" s="8">
        <v>20</v>
      </c>
      <c r="I5" s="8">
        <v>25</v>
      </c>
      <c r="J5" s="8">
        <v>31.5</v>
      </c>
      <c r="K5" s="9">
        <v>63</v>
      </c>
      <c r="L5" s="9">
        <v>125</v>
      </c>
      <c r="M5" s="9">
        <v>250</v>
      </c>
      <c r="N5" s="9">
        <v>500</v>
      </c>
      <c r="O5" s="9" t="s">
        <v>5</v>
      </c>
      <c r="P5" s="9" t="s">
        <v>6</v>
      </c>
      <c r="Q5" s="9" t="s">
        <v>7</v>
      </c>
      <c r="R5" s="9" t="s">
        <v>8</v>
      </c>
      <c r="S5" s="9" t="s">
        <v>9</v>
      </c>
      <c r="T5" s="9" t="s">
        <v>10</v>
      </c>
      <c r="U5" s="9" t="s">
        <v>11</v>
      </c>
      <c r="V5" s="9" t="s">
        <v>12</v>
      </c>
      <c r="W5" s="9" t="s">
        <v>13</v>
      </c>
    </row>
    <row r="6" spans="1:26">
      <c r="B6" s="28"/>
      <c r="C6" s="1"/>
      <c r="D6" s="1"/>
      <c r="E6" s="1"/>
      <c r="F6" s="1"/>
      <c r="G6" s="1"/>
      <c r="H6" s="1"/>
      <c r="I6" s="1"/>
      <c r="J6" s="1"/>
      <c r="K6" s="1"/>
      <c r="L6" s="1"/>
      <c r="M6" s="1"/>
      <c r="N6" s="1"/>
      <c r="O6" s="1"/>
      <c r="P6" s="1"/>
      <c r="Q6" s="1"/>
      <c r="R6" s="1"/>
      <c r="S6" s="1"/>
      <c r="T6" s="1"/>
      <c r="U6" s="1"/>
      <c r="V6" s="1"/>
      <c r="W6" s="1"/>
    </row>
    <row r="7" spans="1:26">
      <c r="B7" s="28">
        <v>1</v>
      </c>
      <c r="C7" s="1" t="s">
        <v>14</v>
      </c>
      <c r="D7" s="64">
        <v>9</v>
      </c>
      <c r="E7" s="64">
        <v>4</v>
      </c>
      <c r="F7" s="64">
        <v>2</v>
      </c>
      <c r="G7" s="64">
        <v>1</v>
      </c>
      <c r="H7" s="63">
        <v>1</v>
      </c>
      <c r="I7" s="63">
        <v>1</v>
      </c>
      <c r="J7" s="63">
        <v>2</v>
      </c>
      <c r="K7" s="65">
        <v>1</v>
      </c>
      <c r="L7" s="65">
        <v>1</v>
      </c>
      <c r="M7" s="65">
        <v>1</v>
      </c>
      <c r="N7" s="65">
        <v>1</v>
      </c>
      <c r="O7" s="65">
        <v>1</v>
      </c>
      <c r="P7" s="65">
        <v>2</v>
      </c>
      <c r="Q7" s="65">
        <v>1</v>
      </c>
      <c r="R7" s="65">
        <v>2</v>
      </c>
      <c r="S7" s="65">
        <v>2</v>
      </c>
      <c r="T7" s="65">
        <v>1</v>
      </c>
      <c r="U7" s="65">
        <v>1</v>
      </c>
      <c r="V7" s="65">
        <v>2</v>
      </c>
      <c r="W7" s="65">
        <v>1</v>
      </c>
    </row>
    <row r="8" spans="1:26">
      <c r="B8" s="28">
        <v>1</v>
      </c>
      <c r="C8" s="1" t="s">
        <v>15</v>
      </c>
      <c r="D8" s="64">
        <v>491</v>
      </c>
      <c r="E8" s="64">
        <v>250</v>
      </c>
      <c r="F8" s="64">
        <v>125</v>
      </c>
      <c r="G8" s="64">
        <v>63</v>
      </c>
      <c r="H8" s="63">
        <v>0</v>
      </c>
      <c r="I8" s="63">
        <v>0</v>
      </c>
      <c r="J8" s="63">
        <v>0</v>
      </c>
      <c r="K8" s="65">
        <v>0</v>
      </c>
      <c r="L8" s="65">
        <v>0</v>
      </c>
      <c r="M8" s="65">
        <v>0</v>
      </c>
      <c r="N8" s="65">
        <v>0</v>
      </c>
      <c r="O8" s="65">
        <v>0</v>
      </c>
      <c r="P8" s="65">
        <v>0</v>
      </c>
      <c r="Q8" s="65">
        <v>0</v>
      </c>
      <c r="R8" s="65">
        <v>0</v>
      </c>
      <c r="S8" s="65">
        <v>0</v>
      </c>
      <c r="T8" s="65">
        <v>0</v>
      </c>
      <c r="U8" s="65">
        <v>0</v>
      </c>
      <c r="V8" s="65">
        <v>0</v>
      </c>
      <c r="W8" s="65">
        <v>0</v>
      </c>
    </row>
    <row r="9" spans="1:26">
      <c r="B9" s="28">
        <v>1</v>
      </c>
      <c r="C9" s="1" t="s">
        <v>16</v>
      </c>
      <c r="D9" s="64"/>
      <c r="E9" s="64"/>
      <c r="F9" s="64"/>
      <c r="G9" s="64"/>
      <c r="H9" s="63">
        <v>1900</v>
      </c>
      <c r="I9" s="63">
        <v>1900</v>
      </c>
      <c r="J9" s="63">
        <v>1900</v>
      </c>
      <c r="K9" s="63">
        <v>1900</v>
      </c>
      <c r="L9" s="63">
        <v>1900</v>
      </c>
      <c r="M9" s="63">
        <v>1900</v>
      </c>
      <c r="N9" s="63">
        <v>1900</v>
      </c>
      <c r="O9" s="63">
        <v>1900</v>
      </c>
      <c r="P9" s="63">
        <v>1900</v>
      </c>
      <c r="Q9" s="63">
        <v>1900</v>
      </c>
      <c r="R9" s="63">
        <v>1900</v>
      </c>
      <c r="S9" s="63">
        <v>1900</v>
      </c>
      <c r="T9" s="63">
        <v>1900</v>
      </c>
      <c r="U9" s="63">
        <v>1900</v>
      </c>
      <c r="V9" s="63">
        <v>1900</v>
      </c>
      <c r="W9" s="63">
        <v>1900</v>
      </c>
    </row>
    <row r="10" spans="1:26">
      <c r="B10" s="28">
        <v>1</v>
      </c>
      <c r="C10" s="1" t="s">
        <v>17</v>
      </c>
      <c r="D10" s="63">
        <v>2500</v>
      </c>
      <c r="E10" s="63">
        <v>2500</v>
      </c>
      <c r="F10" s="63">
        <v>2500</v>
      </c>
      <c r="G10" s="63">
        <v>2000</v>
      </c>
      <c r="H10" s="63">
        <v>2000</v>
      </c>
      <c r="I10" s="63">
        <v>2000</v>
      </c>
      <c r="J10" s="63">
        <v>2000</v>
      </c>
      <c r="K10" s="63">
        <v>2000</v>
      </c>
      <c r="L10" s="63">
        <v>2000</v>
      </c>
      <c r="M10" s="63">
        <v>2000</v>
      </c>
      <c r="N10" s="63">
        <v>2000</v>
      </c>
      <c r="O10" s="63">
        <v>2000</v>
      </c>
      <c r="P10" s="63">
        <v>2000</v>
      </c>
      <c r="Q10" s="63">
        <v>2000</v>
      </c>
      <c r="R10" s="63">
        <v>2000</v>
      </c>
      <c r="S10" s="63">
        <v>2000</v>
      </c>
      <c r="T10" s="63">
        <v>2000</v>
      </c>
      <c r="U10" s="63">
        <v>2000</v>
      </c>
      <c r="V10" s="63">
        <v>2000</v>
      </c>
      <c r="W10" s="63">
        <v>2000</v>
      </c>
    </row>
    <row r="11" spans="1:26">
      <c r="B11" s="28"/>
      <c r="C11" s="1"/>
      <c r="D11" s="1"/>
      <c r="E11" s="1"/>
      <c r="F11" s="1"/>
      <c r="G11" s="1"/>
      <c r="H11" s="1"/>
      <c r="I11" s="1"/>
      <c r="J11" s="1"/>
      <c r="K11" s="11"/>
      <c r="L11" s="11"/>
      <c r="M11" s="11"/>
      <c r="N11" s="11"/>
      <c r="O11" s="11"/>
      <c r="P11" s="11"/>
      <c r="Q11" s="11"/>
      <c r="R11" s="11"/>
      <c r="S11" s="11"/>
      <c r="T11" s="11"/>
      <c r="U11" s="11"/>
      <c r="V11" s="11"/>
      <c r="W11" s="11"/>
    </row>
    <row r="12" spans="1:26">
      <c r="B12" s="28">
        <v>2</v>
      </c>
      <c r="C12" s="1" t="s">
        <v>18</v>
      </c>
      <c r="D12" s="63">
        <v>2</v>
      </c>
      <c r="E12" s="63">
        <v>1</v>
      </c>
      <c r="F12" s="63">
        <v>1</v>
      </c>
      <c r="G12" s="63">
        <v>1</v>
      </c>
      <c r="H12" s="63">
        <v>1</v>
      </c>
      <c r="I12" s="63">
        <v>1</v>
      </c>
      <c r="J12" s="63">
        <v>0</v>
      </c>
      <c r="K12" s="66">
        <v>0</v>
      </c>
      <c r="L12" s="66">
        <v>0</v>
      </c>
      <c r="M12" s="66">
        <v>0</v>
      </c>
      <c r="N12" s="66">
        <v>0</v>
      </c>
      <c r="O12" s="66">
        <v>1</v>
      </c>
      <c r="P12" s="66">
        <v>1</v>
      </c>
      <c r="Q12" s="66">
        <v>2</v>
      </c>
      <c r="R12" s="66">
        <v>2</v>
      </c>
      <c r="S12" s="66">
        <v>2</v>
      </c>
      <c r="T12" s="66">
        <v>2</v>
      </c>
      <c r="U12" s="66">
        <v>1</v>
      </c>
      <c r="V12" s="66">
        <v>7</v>
      </c>
      <c r="W12" s="66">
        <v>16</v>
      </c>
    </row>
    <row r="13" spans="1:26">
      <c r="B13" s="28"/>
      <c r="C13" s="1"/>
      <c r="D13" s="1"/>
      <c r="E13" s="1"/>
      <c r="F13" s="1"/>
      <c r="G13" s="1"/>
      <c r="H13" s="1"/>
      <c r="I13" s="1"/>
      <c r="J13" s="1"/>
      <c r="K13" s="11"/>
      <c r="L13" s="11"/>
      <c r="M13" s="11"/>
      <c r="N13" s="11"/>
      <c r="O13" s="11"/>
      <c r="P13" s="11"/>
      <c r="Q13" s="11"/>
      <c r="R13" s="11"/>
      <c r="S13" s="11"/>
      <c r="T13" s="11"/>
      <c r="U13" s="11"/>
      <c r="V13" s="11"/>
      <c r="W13" s="11"/>
    </row>
    <row r="14" spans="1:26">
      <c r="B14" s="28">
        <v>3</v>
      </c>
      <c r="C14" s="1" t="s">
        <v>19</v>
      </c>
      <c r="D14" s="63">
        <v>4</v>
      </c>
      <c r="E14" s="63">
        <v>3</v>
      </c>
      <c r="F14" s="63">
        <v>3</v>
      </c>
      <c r="G14" s="63">
        <v>2</v>
      </c>
      <c r="H14" s="63">
        <v>2</v>
      </c>
      <c r="I14" s="63">
        <v>1</v>
      </c>
      <c r="J14" s="63">
        <v>1</v>
      </c>
      <c r="K14" s="65">
        <v>1</v>
      </c>
      <c r="L14" s="65">
        <v>0</v>
      </c>
      <c r="M14" s="65">
        <v>1</v>
      </c>
      <c r="N14" s="65">
        <v>2</v>
      </c>
      <c r="O14" s="65">
        <v>5</v>
      </c>
      <c r="P14" s="65">
        <v>12</v>
      </c>
      <c r="Q14" s="65">
        <v>15</v>
      </c>
      <c r="R14" s="65">
        <v>20</v>
      </c>
      <c r="S14" s="65">
        <v>28</v>
      </c>
      <c r="T14" s="65">
        <v>39</v>
      </c>
      <c r="U14" s="65">
        <v>53</v>
      </c>
      <c r="V14" s="65">
        <v>67</v>
      </c>
      <c r="W14" s="65">
        <v>78</v>
      </c>
    </row>
    <row r="15" spans="1:26">
      <c r="B15" s="33"/>
      <c r="C15" s="12"/>
      <c r="D15" s="12"/>
      <c r="E15" s="12"/>
      <c r="F15" s="12"/>
      <c r="G15" s="12"/>
      <c r="H15" s="12"/>
      <c r="I15" s="12"/>
      <c r="J15" s="12"/>
      <c r="K15" s="12"/>
      <c r="L15" s="12"/>
      <c r="M15" s="12"/>
      <c r="N15" s="12"/>
      <c r="O15" s="12"/>
      <c r="P15" s="12"/>
      <c r="Q15" s="12"/>
      <c r="R15" s="12"/>
      <c r="S15" s="12"/>
      <c r="T15" s="12"/>
      <c r="U15" s="12"/>
      <c r="V15" s="12"/>
      <c r="W15" s="12"/>
    </row>
    <row r="16" spans="1:26">
      <c r="B16" s="28">
        <v>4</v>
      </c>
      <c r="C16" s="1" t="s">
        <v>20</v>
      </c>
      <c r="D16" s="63">
        <v>161</v>
      </c>
      <c r="E16" s="63">
        <v>123</v>
      </c>
      <c r="F16" s="63">
        <v>92</v>
      </c>
      <c r="G16" s="63">
        <v>67</v>
      </c>
      <c r="H16" s="63">
        <v>61</v>
      </c>
      <c r="I16" s="63">
        <v>55</v>
      </c>
      <c r="J16" s="63">
        <v>49</v>
      </c>
      <c r="K16" s="66">
        <v>35</v>
      </c>
      <c r="L16" s="66">
        <v>26</v>
      </c>
      <c r="M16" s="66">
        <v>18</v>
      </c>
      <c r="N16" s="66">
        <v>13</v>
      </c>
      <c r="O16" s="66">
        <v>9</v>
      </c>
      <c r="P16" s="66">
        <v>6</v>
      </c>
      <c r="Q16" s="66">
        <v>5</v>
      </c>
      <c r="R16" s="66">
        <v>4</v>
      </c>
      <c r="S16" s="66">
        <v>4</v>
      </c>
      <c r="T16" s="66">
        <v>3</v>
      </c>
      <c r="U16" s="66">
        <v>2</v>
      </c>
      <c r="V16" s="66">
        <v>0</v>
      </c>
      <c r="W16" s="66">
        <v>2</v>
      </c>
    </row>
    <row r="17" spans="2:23">
      <c r="B17" s="28"/>
      <c r="C17" s="1"/>
      <c r="D17" s="1"/>
      <c r="E17" s="1"/>
      <c r="F17" s="1"/>
      <c r="G17" s="1"/>
      <c r="H17" s="1"/>
      <c r="I17" s="1"/>
      <c r="J17" s="1"/>
      <c r="K17" s="11"/>
      <c r="L17" s="11"/>
      <c r="M17" s="11"/>
      <c r="N17" s="11"/>
      <c r="O17" s="11"/>
      <c r="P17" s="11"/>
      <c r="Q17" s="11"/>
      <c r="R17" s="11"/>
      <c r="S17" s="11"/>
      <c r="T17" s="11"/>
      <c r="U17" s="11"/>
      <c r="V17" s="11"/>
      <c r="W17" s="11"/>
    </row>
    <row r="18" spans="2:23">
      <c r="B18" s="28">
        <v>5</v>
      </c>
      <c r="C18" s="1" t="s">
        <v>21</v>
      </c>
      <c r="D18" s="63">
        <v>9</v>
      </c>
      <c r="E18" s="63">
        <v>7</v>
      </c>
      <c r="F18" s="63">
        <v>5</v>
      </c>
      <c r="G18" s="63">
        <v>4</v>
      </c>
      <c r="H18" s="63">
        <v>4</v>
      </c>
      <c r="I18" s="63">
        <v>3</v>
      </c>
      <c r="J18" s="63">
        <v>3</v>
      </c>
      <c r="K18" s="66">
        <v>2</v>
      </c>
      <c r="L18" s="66">
        <v>1</v>
      </c>
      <c r="M18" s="66">
        <v>1</v>
      </c>
      <c r="N18" s="66">
        <v>0</v>
      </c>
      <c r="O18" s="66">
        <v>1</v>
      </c>
      <c r="P18" s="66">
        <v>3</v>
      </c>
      <c r="Q18" s="66">
        <v>4</v>
      </c>
      <c r="R18" s="66">
        <v>5</v>
      </c>
      <c r="S18" s="66">
        <v>6</v>
      </c>
      <c r="T18" s="66">
        <v>6</v>
      </c>
      <c r="U18" s="66">
        <v>4</v>
      </c>
      <c r="V18" s="66">
        <v>2</v>
      </c>
      <c r="W18" s="66">
        <v>10</v>
      </c>
    </row>
    <row r="19" spans="2:23">
      <c r="B19" s="28"/>
      <c r="C19" s="1"/>
      <c r="D19" s="1"/>
      <c r="E19" s="1"/>
      <c r="F19" s="1"/>
      <c r="G19" s="1"/>
      <c r="H19" s="1"/>
      <c r="I19" s="1"/>
      <c r="J19" s="1"/>
      <c r="K19" s="11"/>
      <c r="L19" s="11"/>
      <c r="M19" s="11"/>
      <c r="N19" s="11"/>
      <c r="O19" s="11"/>
      <c r="P19" s="11"/>
      <c r="Q19" s="11"/>
      <c r="R19" s="11"/>
      <c r="S19" s="11"/>
      <c r="T19" s="11"/>
      <c r="U19" s="11"/>
      <c r="V19" s="11"/>
      <c r="W19" s="11"/>
    </row>
    <row r="20" spans="2:23">
      <c r="B20" s="28">
        <v>6</v>
      </c>
      <c r="C20" s="1" t="s">
        <v>22</v>
      </c>
      <c r="D20" s="63">
        <v>0</v>
      </c>
      <c r="E20" s="63">
        <v>0</v>
      </c>
      <c r="F20" s="63">
        <v>0</v>
      </c>
      <c r="G20" s="63">
        <v>0</v>
      </c>
      <c r="H20" s="63">
        <v>0</v>
      </c>
      <c r="I20" s="63">
        <v>0</v>
      </c>
      <c r="J20" s="63">
        <v>0</v>
      </c>
      <c r="K20" s="65">
        <v>0</v>
      </c>
      <c r="L20" s="65">
        <v>0</v>
      </c>
      <c r="M20" s="65">
        <v>0</v>
      </c>
      <c r="N20" s="65">
        <v>1</v>
      </c>
      <c r="O20" s="65">
        <v>1</v>
      </c>
      <c r="P20" s="65">
        <v>3</v>
      </c>
      <c r="Q20" s="65">
        <v>3</v>
      </c>
      <c r="R20" s="65">
        <v>4</v>
      </c>
      <c r="S20" s="65">
        <v>5</v>
      </c>
      <c r="T20" s="65">
        <v>5</v>
      </c>
      <c r="U20" s="65">
        <v>3</v>
      </c>
      <c r="V20" s="65">
        <v>2</v>
      </c>
      <c r="W20" s="65">
        <v>8</v>
      </c>
    </row>
    <row r="21" spans="2:23">
      <c r="B21" s="28"/>
      <c r="C21" s="1"/>
      <c r="D21" s="1"/>
      <c r="E21" s="1"/>
      <c r="F21" s="1"/>
      <c r="G21" s="1"/>
      <c r="H21" s="1"/>
      <c r="I21" s="1"/>
      <c r="J21" s="1"/>
      <c r="K21" s="11"/>
      <c r="L21" s="11"/>
      <c r="M21" s="11"/>
      <c r="N21" s="11"/>
      <c r="O21" s="11"/>
      <c r="P21" s="11"/>
      <c r="Q21" s="11"/>
      <c r="R21" s="11"/>
      <c r="S21" s="11"/>
      <c r="T21" s="11"/>
      <c r="U21" s="11"/>
      <c r="V21" s="11"/>
      <c r="W21" s="11"/>
    </row>
    <row r="22" spans="2:23">
      <c r="B22" s="28">
        <v>7</v>
      </c>
      <c r="C22" s="1" t="s">
        <v>23</v>
      </c>
      <c r="D22" s="63">
        <v>11</v>
      </c>
      <c r="E22" s="63">
        <v>9</v>
      </c>
      <c r="F22" s="63">
        <v>6</v>
      </c>
      <c r="G22" s="63">
        <v>5</v>
      </c>
      <c r="H22" s="63">
        <v>4</v>
      </c>
      <c r="I22" s="63">
        <v>4</v>
      </c>
      <c r="J22" s="63">
        <v>3</v>
      </c>
      <c r="K22" s="66">
        <v>3</v>
      </c>
      <c r="L22" s="66">
        <v>2</v>
      </c>
      <c r="M22" s="66">
        <v>2</v>
      </c>
      <c r="N22" s="66">
        <v>2</v>
      </c>
      <c r="O22" s="66">
        <v>4</v>
      </c>
      <c r="P22" s="66">
        <v>7</v>
      </c>
      <c r="Q22" s="66">
        <v>9</v>
      </c>
      <c r="R22" s="66">
        <v>13</v>
      </c>
      <c r="S22" s="66">
        <v>19</v>
      </c>
      <c r="T22" s="66">
        <v>30</v>
      </c>
      <c r="U22" s="66">
        <v>49</v>
      </c>
      <c r="V22" s="66">
        <v>74</v>
      </c>
      <c r="W22" s="66">
        <v>99</v>
      </c>
    </row>
    <row r="23" spans="2:23">
      <c r="B23" s="28">
        <v>7</v>
      </c>
      <c r="C23" s="1" t="s">
        <v>24</v>
      </c>
      <c r="D23" s="63">
        <v>26</v>
      </c>
      <c r="E23" s="63">
        <v>20</v>
      </c>
      <c r="F23" s="63">
        <v>16</v>
      </c>
      <c r="G23" s="63">
        <v>12</v>
      </c>
      <c r="H23" s="63">
        <v>10</v>
      </c>
      <c r="I23" s="63">
        <v>10</v>
      </c>
      <c r="J23" s="63">
        <v>8</v>
      </c>
      <c r="K23" s="66">
        <v>6</v>
      </c>
      <c r="L23" s="66">
        <v>4</v>
      </c>
      <c r="M23" s="66">
        <v>4</v>
      </c>
      <c r="N23" s="66">
        <v>2</v>
      </c>
      <c r="O23" s="66">
        <v>2</v>
      </c>
      <c r="P23" s="66">
        <v>1</v>
      </c>
      <c r="Q23" s="66">
        <v>2</v>
      </c>
      <c r="R23" s="66">
        <v>4</v>
      </c>
      <c r="S23" s="66">
        <v>8</v>
      </c>
      <c r="T23" s="66">
        <v>18</v>
      </c>
      <c r="U23" s="66">
        <v>38</v>
      </c>
      <c r="V23" s="66">
        <v>60</v>
      </c>
      <c r="W23" s="66">
        <v>64</v>
      </c>
    </row>
    <row r="24" spans="2:23">
      <c r="B24" s="28"/>
      <c r="C24" s="1"/>
      <c r="D24" s="1"/>
      <c r="E24" s="1"/>
      <c r="F24" s="1"/>
      <c r="G24" s="1"/>
      <c r="H24" s="1"/>
      <c r="I24" s="1"/>
      <c r="J24" s="1"/>
      <c r="K24" s="11"/>
      <c r="L24" s="11"/>
      <c r="M24" s="11"/>
      <c r="N24" s="11"/>
      <c r="O24" s="11"/>
      <c r="P24" s="11"/>
      <c r="Q24" s="11"/>
      <c r="R24" s="11"/>
      <c r="S24" s="11"/>
      <c r="T24" s="11"/>
      <c r="U24" s="11"/>
      <c r="V24" s="11"/>
      <c r="W24" s="11"/>
    </row>
    <row r="25" spans="2:23">
      <c r="B25" s="28">
        <v>8</v>
      </c>
      <c r="C25" s="1" t="s">
        <v>25</v>
      </c>
      <c r="D25" s="63">
        <v>32</v>
      </c>
      <c r="E25" s="63">
        <v>26</v>
      </c>
      <c r="F25" s="63">
        <v>18</v>
      </c>
      <c r="G25" s="63">
        <v>14</v>
      </c>
      <c r="H25" s="63">
        <v>12</v>
      </c>
      <c r="I25" s="63">
        <v>12</v>
      </c>
      <c r="J25" s="63">
        <v>10</v>
      </c>
      <c r="K25" s="66">
        <v>8</v>
      </c>
      <c r="L25" s="66">
        <v>6</v>
      </c>
      <c r="M25" s="66">
        <v>4</v>
      </c>
      <c r="N25" s="66">
        <v>4</v>
      </c>
      <c r="O25" s="66">
        <v>6</v>
      </c>
      <c r="P25" s="66">
        <v>8</v>
      </c>
      <c r="Q25" s="66">
        <v>10</v>
      </c>
      <c r="R25" s="66">
        <v>14</v>
      </c>
      <c r="S25" s="66">
        <v>18</v>
      </c>
      <c r="T25" s="66">
        <v>24</v>
      </c>
      <c r="U25" s="66">
        <v>32</v>
      </c>
      <c r="V25" s="66">
        <v>46</v>
      </c>
      <c r="W25" s="66">
        <v>74</v>
      </c>
    </row>
    <row r="26" spans="2:23">
      <c r="B26" s="28">
        <v>8</v>
      </c>
      <c r="C26" s="1" t="s">
        <v>26</v>
      </c>
      <c r="D26" s="68">
        <v>0</v>
      </c>
      <c r="E26" s="68">
        <v>0</v>
      </c>
      <c r="F26" s="68">
        <v>0</v>
      </c>
      <c r="G26" s="68">
        <v>0</v>
      </c>
      <c r="H26" s="68">
        <v>0.5</v>
      </c>
      <c r="I26" s="68">
        <v>0.5</v>
      </c>
      <c r="J26" s="68">
        <v>0.5</v>
      </c>
      <c r="K26" s="68">
        <v>1</v>
      </c>
      <c r="L26" s="68">
        <v>1.5</v>
      </c>
      <c r="M26" s="68">
        <v>3</v>
      </c>
      <c r="N26" s="68">
        <v>6.5</v>
      </c>
      <c r="O26" s="68">
        <v>12.5</v>
      </c>
      <c r="P26" s="67">
        <v>31.5</v>
      </c>
      <c r="Q26" s="67">
        <v>38</v>
      </c>
      <c r="R26" s="67">
        <v>47.5</v>
      </c>
      <c r="S26" s="67">
        <v>61.5</v>
      </c>
      <c r="T26" s="67">
        <v>81.5</v>
      </c>
      <c r="U26" s="67">
        <v>113.5</v>
      </c>
      <c r="V26" s="67">
        <v>164</v>
      </c>
      <c r="W26" s="67">
        <v>261.5</v>
      </c>
    </row>
    <row r="27" spans="2:23">
      <c r="B27" s="28"/>
      <c r="C27" s="1"/>
      <c r="D27" s="1"/>
      <c r="E27" s="1"/>
      <c r="F27" s="1"/>
      <c r="G27" s="1"/>
      <c r="H27" s="1"/>
      <c r="I27" s="1"/>
      <c r="J27" s="1"/>
      <c r="K27" s="11"/>
      <c r="L27" s="11"/>
      <c r="M27" s="11"/>
      <c r="N27" s="11"/>
      <c r="O27" s="11"/>
      <c r="P27" s="11"/>
      <c r="Q27" s="11"/>
      <c r="R27" s="11"/>
      <c r="S27" s="11"/>
      <c r="T27" s="11"/>
      <c r="U27" s="11"/>
      <c r="V27" s="11"/>
      <c r="W27" s="11"/>
    </row>
    <row r="28" spans="2:23">
      <c r="B28" s="28">
        <v>9</v>
      </c>
      <c r="C28" s="1" t="s">
        <v>27</v>
      </c>
      <c r="D28" s="63">
        <v>2</v>
      </c>
      <c r="E28" s="63">
        <v>6</v>
      </c>
      <c r="F28" s="63">
        <v>12</v>
      </c>
      <c r="G28" s="63">
        <v>24</v>
      </c>
      <c r="H28" s="63">
        <v>30</v>
      </c>
      <c r="I28" s="63">
        <v>38</v>
      </c>
      <c r="J28" s="63">
        <v>46</v>
      </c>
      <c r="K28" s="65">
        <v>94</v>
      </c>
      <c r="L28" s="65">
        <v>190</v>
      </c>
      <c r="M28" s="65">
        <v>380</v>
      </c>
      <c r="N28" s="65">
        <v>764</v>
      </c>
      <c r="O28" s="65">
        <v>1528</v>
      </c>
      <c r="P28" s="65">
        <v>3008</v>
      </c>
      <c r="Q28" s="65">
        <v>3684</v>
      </c>
      <c r="R28" s="65">
        <v>4414</v>
      </c>
      <c r="S28" s="65">
        <v>4918</v>
      </c>
      <c r="T28" s="65">
        <v>4466</v>
      </c>
      <c r="U28" s="65">
        <v>2460</v>
      </c>
      <c r="V28" s="65">
        <v>1474</v>
      </c>
      <c r="W28" s="65">
        <v>3828</v>
      </c>
    </row>
    <row r="29" spans="2:23">
      <c r="B29" s="28">
        <v>9</v>
      </c>
      <c r="C29" s="1" t="s">
        <v>28</v>
      </c>
      <c r="D29" s="63">
        <v>0</v>
      </c>
      <c r="E29" s="63">
        <v>0</v>
      </c>
      <c r="F29" s="63">
        <v>0</v>
      </c>
      <c r="G29" s="63">
        <v>0</v>
      </c>
      <c r="H29" s="63">
        <v>0</v>
      </c>
      <c r="I29" s="63">
        <v>0</v>
      </c>
      <c r="J29" s="63">
        <v>0</v>
      </c>
      <c r="K29" s="65">
        <v>0</v>
      </c>
      <c r="L29" s="65">
        <v>0</v>
      </c>
      <c r="M29" s="65">
        <v>0</v>
      </c>
      <c r="N29" s="65">
        <v>2</v>
      </c>
      <c r="O29" s="65">
        <v>10</v>
      </c>
      <c r="P29" s="65">
        <v>84</v>
      </c>
      <c r="Q29" s="65">
        <v>162</v>
      </c>
      <c r="R29" s="65">
        <v>312</v>
      </c>
      <c r="S29" s="65">
        <v>570</v>
      </c>
      <c r="T29" s="65">
        <v>824</v>
      </c>
      <c r="U29" s="65">
        <v>664</v>
      </c>
      <c r="V29" s="65">
        <v>368</v>
      </c>
      <c r="W29" s="65">
        <v>2166</v>
      </c>
    </row>
    <row r="30" spans="2:23">
      <c r="B30" s="28">
        <v>9</v>
      </c>
      <c r="C30" s="1" t="s">
        <v>29</v>
      </c>
      <c r="D30" s="63">
        <v>2</v>
      </c>
      <c r="E30" s="63">
        <v>2</v>
      </c>
      <c r="F30" s="63">
        <v>6</v>
      </c>
      <c r="G30" s="63">
        <v>12</v>
      </c>
      <c r="H30" s="63">
        <v>14</v>
      </c>
      <c r="I30" s="63">
        <v>18</v>
      </c>
      <c r="J30" s="63">
        <v>22</v>
      </c>
      <c r="K30" s="65">
        <v>44</v>
      </c>
      <c r="L30" s="65">
        <v>90</v>
      </c>
      <c r="M30" s="65">
        <v>180</v>
      </c>
      <c r="N30" s="65">
        <v>358</v>
      </c>
      <c r="O30" s="65">
        <v>696</v>
      </c>
      <c r="P30" s="65">
        <v>1220</v>
      </c>
      <c r="Q30" s="65">
        <v>1350</v>
      </c>
      <c r="R30" s="65">
        <v>1332</v>
      </c>
      <c r="S30" s="65">
        <v>928</v>
      </c>
      <c r="T30" s="65">
        <v>12</v>
      </c>
      <c r="U30" s="65">
        <v>756</v>
      </c>
      <c r="V30" s="65">
        <v>836</v>
      </c>
      <c r="W30" s="65">
        <v>2330</v>
      </c>
    </row>
    <row r="31" spans="2:23">
      <c r="B31" s="28"/>
      <c r="C31" s="1"/>
      <c r="D31" s="1"/>
      <c r="E31" s="1"/>
      <c r="F31" s="1"/>
      <c r="G31" s="1"/>
      <c r="H31" s="1"/>
      <c r="I31" s="1"/>
      <c r="J31" s="1"/>
      <c r="K31" s="11"/>
      <c r="L31" s="11"/>
      <c r="M31" s="11"/>
      <c r="N31" s="11"/>
      <c r="O31" s="11"/>
      <c r="P31" s="11"/>
      <c r="Q31" s="11"/>
      <c r="R31" s="11"/>
      <c r="S31" s="11"/>
      <c r="T31" s="11"/>
      <c r="U31" s="11"/>
      <c r="V31" s="11"/>
      <c r="W31" s="11"/>
    </row>
    <row r="32" spans="2:23">
      <c r="B32" s="28">
        <v>10</v>
      </c>
      <c r="C32" s="1" t="s">
        <v>30</v>
      </c>
      <c r="D32" s="63">
        <v>0</v>
      </c>
      <c r="E32" s="63">
        <v>0</v>
      </c>
      <c r="F32" s="63">
        <v>0</v>
      </c>
      <c r="G32" s="63">
        <v>0</v>
      </c>
      <c r="H32" s="63">
        <v>0</v>
      </c>
      <c r="I32" s="63">
        <v>0</v>
      </c>
      <c r="J32" s="63">
        <v>0</v>
      </c>
      <c r="K32" s="66">
        <v>0</v>
      </c>
      <c r="L32" s="66">
        <v>0</v>
      </c>
      <c r="M32" s="66">
        <v>0</v>
      </c>
      <c r="N32" s="66">
        <v>0</v>
      </c>
      <c r="O32" s="66">
        <v>0</v>
      </c>
      <c r="P32" s="66">
        <v>0</v>
      </c>
      <c r="Q32" s="66">
        <v>0</v>
      </c>
      <c r="R32" s="66">
        <v>0</v>
      </c>
      <c r="S32" s="66">
        <v>0</v>
      </c>
      <c r="T32" s="66">
        <v>0</v>
      </c>
      <c r="U32" s="66">
        <v>0</v>
      </c>
      <c r="V32" s="66">
        <v>0</v>
      </c>
      <c r="W32" s="66">
        <v>0</v>
      </c>
    </row>
    <row r="33" spans="2:23">
      <c r="B33" s="28">
        <v>10</v>
      </c>
      <c r="C33" s="1" t="s">
        <v>31</v>
      </c>
      <c r="D33" s="63">
        <v>1407</v>
      </c>
      <c r="E33" s="63">
        <v>1072</v>
      </c>
      <c r="F33" s="63">
        <v>800</v>
      </c>
      <c r="G33" s="63">
        <v>588</v>
      </c>
      <c r="H33" s="63">
        <v>531</v>
      </c>
      <c r="I33" s="63">
        <v>479</v>
      </c>
      <c r="J33" s="63">
        <v>430</v>
      </c>
      <c r="K33" s="66">
        <v>310</v>
      </c>
      <c r="L33" s="66">
        <v>223</v>
      </c>
      <c r="M33" s="66">
        <v>159</v>
      </c>
      <c r="N33" s="66">
        <v>113</v>
      </c>
      <c r="O33" s="66">
        <v>79</v>
      </c>
      <c r="P33" s="66">
        <v>53</v>
      </c>
      <c r="Q33" s="66">
        <v>46</v>
      </c>
      <c r="R33" s="66">
        <v>39</v>
      </c>
      <c r="S33" s="66">
        <v>31</v>
      </c>
      <c r="T33" s="66">
        <v>23</v>
      </c>
      <c r="U33" s="66">
        <v>14</v>
      </c>
      <c r="V33" s="66">
        <v>1</v>
      </c>
      <c r="W33" s="66">
        <v>19</v>
      </c>
    </row>
    <row r="34" spans="2:23">
      <c r="B34" s="1">
        <v>10</v>
      </c>
      <c r="C34" s="1" t="s">
        <v>32</v>
      </c>
      <c r="D34" s="63">
        <v>187</v>
      </c>
      <c r="E34" s="63">
        <v>139</v>
      </c>
      <c r="F34" s="63">
        <v>103</v>
      </c>
      <c r="G34" s="63">
        <v>80</v>
      </c>
      <c r="H34" s="63">
        <v>72</v>
      </c>
      <c r="I34" s="63">
        <v>63</v>
      </c>
      <c r="J34" s="63">
        <v>60</v>
      </c>
      <c r="K34" s="66">
        <v>42</v>
      </c>
      <c r="L34" s="66">
        <v>30</v>
      </c>
      <c r="M34" s="66">
        <v>24</v>
      </c>
      <c r="N34" s="66">
        <v>18</v>
      </c>
      <c r="O34" s="66">
        <v>11</v>
      </c>
      <c r="P34" s="66">
        <v>10</v>
      </c>
      <c r="Q34" s="66">
        <v>8</v>
      </c>
      <c r="R34" s="66">
        <v>12</v>
      </c>
      <c r="S34" s="66">
        <v>11</v>
      </c>
      <c r="T34" s="66">
        <v>11</v>
      </c>
      <c r="U34" s="66">
        <v>7</v>
      </c>
      <c r="V34" s="66">
        <v>3</v>
      </c>
      <c r="W34" s="66">
        <v>10</v>
      </c>
    </row>
    <row r="35" spans="2:23">
      <c r="B35" s="28"/>
      <c r="C35" s="1"/>
      <c r="D35" s="1"/>
      <c r="E35" s="1"/>
      <c r="F35" s="1"/>
      <c r="G35" s="1"/>
      <c r="H35" s="1"/>
      <c r="I35" s="1"/>
      <c r="J35" s="1"/>
      <c r="K35" s="11"/>
      <c r="L35" s="11"/>
      <c r="M35" s="11"/>
      <c r="N35" s="11"/>
      <c r="O35" s="11"/>
      <c r="P35" s="11"/>
      <c r="Q35" s="11"/>
      <c r="R35" s="11"/>
      <c r="S35" s="11"/>
      <c r="T35" s="11"/>
      <c r="U35" s="11"/>
      <c r="V35" s="11"/>
      <c r="W35" s="11"/>
    </row>
    <row r="36" spans="2:23">
      <c r="B36" s="28">
        <v>11</v>
      </c>
      <c r="C36" s="1" t="s">
        <v>33</v>
      </c>
      <c r="D36" s="63">
        <v>0</v>
      </c>
      <c r="E36" s="63">
        <v>0</v>
      </c>
      <c r="F36" s="63">
        <v>0</v>
      </c>
      <c r="G36" s="63">
        <v>0</v>
      </c>
      <c r="H36" s="63">
        <v>0</v>
      </c>
      <c r="I36" s="63">
        <v>0</v>
      </c>
      <c r="J36" s="63">
        <v>0</v>
      </c>
      <c r="K36" s="63">
        <v>0</v>
      </c>
      <c r="L36" s="63">
        <v>0</v>
      </c>
      <c r="M36" s="63">
        <v>0</v>
      </c>
      <c r="N36" s="63">
        <v>0</v>
      </c>
      <c r="O36" s="63">
        <v>0</v>
      </c>
      <c r="P36" s="63">
        <v>0</v>
      </c>
      <c r="Q36" s="63">
        <v>0</v>
      </c>
      <c r="R36" s="63">
        <v>0</v>
      </c>
      <c r="S36" s="74">
        <v>0</v>
      </c>
      <c r="T36" s="74">
        <v>0</v>
      </c>
      <c r="U36" s="74">
        <v>0</v>
      </c>
      <c r="V36" s="74">
        <v>0</v>
      </c>
      <c r="W36" s="74">
        <v>0</v>
      </c>
    </row>
    <row r="37" spans="2:23">
      <c r="B37" s="28">
        <v>11</v>
      </c>
      <c r="C37" s="1" t="s">
        <v>34</v>
      </c>
      <c r="D37" s="63">
        <v>0</v>
      </c>
      <c r="E37" s="63">
        <v>0</v>
      </c>
      <c r="F37" s="63">
        <v>0</v>
      </c>
      <c r="G37" s="63">
        <v>0</v>
      </c>
      <c r="H37" s="63">
        <v>0</v>
      </c>
      <c r="I37" s="63">
        <v>0</v>
      </c>
      <c r="J37" s="63">
        <v>0</v>
      </c>
      <c r="K37" s="63">
        <v>0</v>
      </c>
      <c r="L37" s="63">
        <v>0</v>
      </c>
      <c r="M37" s="63">
        <v>0</v>
      </c>
      <c r="N37" s="63">
        <v>0</v>
      </c>
      <c r="O37" s="63">
        <v>0</v>
      </c>
      <c r="P37" s="63">
        <v>0</v>
      </c>
      <c r="Q37" s="63">
        <v>0</v>
      </c>
      <c r="R37" s="63">
        <v>0</v>
      </c>
      <c r="S37" s="74">
        <v>0</v>
      </c>
      <c r="T37" s="74">
        <v>0</v>
      </c>
      <c r="U37" s="74">
        <v>0</v>
      </c>
      <c r="V37" s="74">
        <v>0</v>
      </c>
      <c r="W37" s="74">
        <v>0</v>
      </c>
    </row>
    <row r="38" spans="2:23">
      <c r="B38" s="28"/>
      <c r="C38" s="1"/>
      <c r="D38" s="1"/>
      <c r="E38" s="1"/>
      <c r="F38" s="1"/>
      <c r="G38" s="1"/>
      <c r="H38" s="1"/>
      <c r="I38" s="1"/>
      <c r="J38" s="1"/>
      <c r="K38" s="1"/>
      <c r="L38" s="1"/>
      <c r="M38" s="1"/>
      <c r="N38" s="1"/>
      <c r="O38" s="1"/>
      <c r="P38" s="1"/>
      <c r="Q38" s="1"/>
      <c r="R38" s="1"/>
      <c r="S38" s="1"/>
      <c r="T38" s="1"/>
      <c r="U38" s="1"/>
      <c r="V38" s="1"/>
      <c r="W38" s="1"/>
    </row>
    <row r="39" spans="2:23">
      <c r="B39" s="28">
        <v>12</v>
      </c>
      <c r="C39" s="1" t="s">
        <v>35</v>
      </c>
      <c r="D39" s="63">
        <v>4</v>
      </c>
      <c r="E39" s="63">
        <v>3</v>
      </c>
      <c r="F39" s="63">
        <v>2</v>
      </c>
      <c r="G39" s="63">
        <v>2</v>
      </c>
      <c r="H39" s="63">
        <v>1</v>
      </c>
      <c r="I39" s="63">
        <v>1</v>
      </c>
      <c r="J39" s="63">
        <v>1</v>
      </c>
      <c r="K39" s="66">
        <v>1</v>
      </c>
      <c r="L39" s="66">
        <v>1</v>
      </c>
      <c r="M39" s="66">
        <v>0</v>
      </c>
      <c r="N39" s="66">
        <v>0</v>
      </c>
      <c r="O39" s="66">
        <v>0</v>
      </c>
      <c r="P39" s="66">
        <v>0</v>
      </c>
      <c r="Q39" s="66">
        <v>0</v>
      </c>
      <c r="R39" s="66">
        <v>1</v>
      </c>
      <c r="S39" s="66">
        <v>1</v>
      </c>
      <c r="T39" s="66">
        <v>2</v>
      </c>
      <c r="U39" s="66">
        <v>6</v>
      </c>
      <c r="V39" s="66">
        <v>13</v>
      </c>
      <c r="W39" s="66">
        <v>20</v>
      </c>
    </row>
    <row r="40" spans="2:23">
      <c r="B40" s="28"/>
      <c r="C40" s="1"/>
      <c r="D40" s="1"/>
      <c r="E40" s="1"/>
      <c r="F40" s="1"/>
      <c r="G40" s="1"/>
      <c r="H40" s="1"/>
      <c r="I40" s="1"/>
      <c r="J40" s="1"/>
      <c r="K40" s="11"/>
      <c r="L40" s="11"/>
      <c r="M40" s="11"/>
      <c r="N40" s="11"/>
      <c r="O40" s="11"/>
      <c r="P40" s="11"/>
      <c r="Q40" s="11"/>
      <c r="R40" s="11"/>
      <c r="S40" s="11"/>
      <c r="T40" s="11"/>
      <c r="U40" s="11"/>
      <c r="V40" s="11"/>
      <c r="W40" s="11"/>
    </row>
    <row r="41" spans="2:23">
      <c r="B41" s="28">
        <v>13</v>
      </c>
      <c r="C41" s="1" t="s">
        <v>36</v>
      </c>
      <c r="D41" s="63">
        <v>0</v>
      </c>
      <c r="E41" s="63">
        <v>0</v>
      </c>
      <c r="F41" s="63">
        <v>0</v>
      </c>
      <c r="G41" s="63">
        <v>0</v>
      </c>
      <c r="H41" s="63">
        <v>0</v>
      </c>
      <c r="I41" s="63">
        <v>0</v>
      </c>
      <c r="J41" s="63">
        <v>0</v>
      </c>
      <c r="K41" s="63">
        <v>0</v>
      </c>
      <c r="L41" s="63">
        <v>0</v>
      </c>
      <c r="M41" s="63">
        <v>0</v>
      </c>
      <c r="N41" s="63">
        <v>0</v>
      </c>
      <c r="O41" s="63">
        <v>0</v>
      </c>
      <c r="P41" s="63">
        <v>0</v>
      </c>
      <c r="Q41" s="63">
        <v>0</v>
      </c>
      <c r="R41" s="63">
        <v>0</v>
      </c>
      <c r="S41" s="63">
        <v>0</v>
      </c>
      <c r="T41" s="63">
        <v>0</v>
      </c>
      <c r="U41" s="63">
        <v>0</v>
      </c>
      <c r="V41" s="63">
        <v>0</v>
      </c>
      <c r="W41" s="63">
        <v>0</v>
      </c>
    </row>
    <row r="42" spans="2:23">
      <c r="B42" s="28"/>
      <c r="C42" s="1"/>
      <c r="D42" s="1"/>
      <c r="E42" s="1"/>
      <c r="F42" s="1"/>
      <c r="G42" s="1"/>
      <c r="H42" s="1"/>
      <c r="I42" s="1"/>
      <c r="J42" s="1"/>
      <c r="K42" s="11"/>
      <c r="L42" s="11"/>
      <c r="M42" s="11"/>
      <c r="N42" s="11"/>
      <c r="O42" s="11"/>
      <c r="P42" s="11"/>
      <c r="Q42" s="11"/>
      <c r="R42" s="11"/>
      <c r="S42" s="11"/>
      <c r="T42" s="11"/>
      <c r="U42" s="11"/>
      <c r="V42" s="11"/>
      <c r="W42" s="11"/>
    </row>
    <row r="43" spans="2:23">
      <c r="B43" s="28">
        <v>14</v>
      </c>
      <c r="C43" s="1" t="s">
        <v>37</v>
      </c>
      <c r="D43" s="63">
        <v>29</v>
      </c>
      <c r="E43" s="63">
        <v>23</v>
      </c>
      <c r="F43" s="63">
        <v>17</v>
      </c>
      <c r="G43" s="63">
        <v>13</v>
      </c>
      <c r="H43" s="63">
        <v>12</v>
      </c>
      <c r="I43" s="63">
        <v>11</v>
      </c>
      <c r="J43" s="63">
        <v>10</v>
      </c>
      <c r="K43" s="66">
        <v>7</v>
      </c>
      <c r="L43" s="66">
        <v>5</v>
      </c>
      <c r="M43" s="66">
        <v>4</v>
      </c>
      <c r="N43" s="66">
        <v>3</v>
      </c>
      <c r="O43" s="66">
        <v>2</v>
      </c>
      <c r="P43" s="66">
        <v>2</v>
      </c>
      <c r="Q43" s="66">
        <v>2</v>
      </c>
      <c r="R43" s="66">
        <v>3</v>
      </c>
      <c r="S43" s="66">
        <v>6</v>
      </c>
      <c r="T43" s="66">
        <v>13</v>
      </c>
      <c r="U43" s="66">
        <v>29</v>
      </c>
      <c r="V43" s="66">
        <v>54</v>
      </c>
      <c r="W43" s="66">
        <v>80</v>
      </c>
    </row>
    <row r="44" spans="2:23">
      <c r="B44" s="28"/>
      <c r="C44" s="1"/>
      <c r="D44" s="1"/>
      <c r="E44" s="1"/>
      <c r="F44" s="1"/>
      <c r="G44" s="1"/>
      <c r="H44" s="1"/>
      <c r="I44" s="1"/>
      <c r="J44" s="1"/>
      <c r="K44" s="11"/>
      <c r="L44" s="11"/>
      <c r="M44" s="11"/>
      <c r="N44" s="11"/>
      <c r="O44" s="11"/>
      <c r="P44" s="11"/>
      <c r="Q44" s="11"/>
      <c r="R44" s="11"/>
      <c r="S44" s="11"/>
      <c r="T44" s="11"/>
      <c r="U44" s="11"/>
      <c r="V44" s="11"/>
      <c r="W44" s="11"/>
    </row>
    <row r="45" spans="2:23">
      <c r="B45" s="28">
        <v>15</v>
      </c>
      <c r="C45" s="1" t="s">
        <v>38</v>
      </c>
      <c r="D45" s="1"/>
      <c r="E45" s="1"/>
      <c r="F45" s="1"/>
      <c r="G45" s="1"/>
      <c r="H45" s="1"/>
      <c r="I45" s="1"/>
      <c r="J45" s="1"/>
      <c r="K45" s="11"/>
      <c r="L45" s="11"/>
      <c r="M45" s="11"/>
      <c r="N45" s="13"/>
      <c r="O45" s="13"/>
      <c r="P45" s="13"/>
      <c r="Q45" s="13"/>
      <c r="R45" s="13"/>
      <c r="S45" s="13"/>
      <c r="T45" s="13"/>
      <c r="U45" s="13"/>
      <c r="V45" s="13"/>
      <c r="W45" s="13"/>
    </row>
    <row r="46" spans="2:23">
      <c r="B46" s="28"/>
      <c r="C46" s="1"/>
      <c r="D46" s="1"/>
      <c r="E46" s="1"/>
      <c r="F46" s="1"/>
      <c r="G46" s="1"/>
      <c r="H46" s="1"/>
      <c r="I46" s="1"/>
      <c r="J46" s="1"/>
      <c r="K46" s="11"/>
      <c r="L46" s="11"/>
      <c r="M46" s="11"/>
      <c r="N46" s="11"/>
      <c r="O46" s="11"/>
      <c r="P46" s="11"/>
      <c r="Q46" s="11"/>
      <c r="R46" s="11"/>
      <c r="S46" s="11"/>
      <c r="T46" s="11"/>
      <c r="U46" s="11"/>
      <c r="V46" s="11"/>
      <c r="W46" s="11"/>
    </row>
    <row r="47" spans="2:23">
      <c r="B47" s="28">
        <v>16</v>
      </c>
      <c r="C47" s="1" t="s">
        <v>39</v>
      </c>
      <c r="D47" s="68">
        <v>0</v>
      </c>
      <c r="E47" s="68">
        <v>0</v>
      </c>
      <c r="F47" s="68">
        <v>0</v>
      </c>
      <c r="G47" s="68">
        <v>0</v>
      </c>
      <c r="H47" s="68">
        <v>0</v>
      </c>
      <c r="I47" s="68">
        <v>0</v>
      </c>
      <c r="J47" s="68">
        <v>4.9504477104194061E-2</v>
      </c>
      <c r="K47" s="69">
        <v>0.11132553997664758</v>
      </c>
      <c r="L47" s="69">
        <v>0.26696321676550178</v>
      </c>
      <c r="M47" s="69">
        <v>0.70413360332474284</v>
      </c>
      <c r="N47" s="69">
        <v>1.9746117586511431</v>
      </c>
      <c r="O47" s="69">
        <v>5.4517974687204749</v>
      </c>
      <c r="P47" s="69">
        <v>12.775560786748134</v>
      </c>
      <c r="Q47" s="69">
        <v>15.598353800114396</v>
      </c>
      <c r="R47" s="69">
        <v>18.055604345093883</v>
      </c>
      <c r="S47" s="69">
        <v>19.21439627747792</v>
      </c>
      <c r="T47" s="69">
        <v>17.783454141193285</v>
      </c>
      <c r="U47" s="69">
        <v>10.805409521306528</v>
      </c>
      <c r="V47" s="69">
        <v>12.550613762819545</v>
      </c>
      <c r="W47" s="69">
        <v>76.661315227685122</v>
      </c>
    </row>
    <row r="48" spans="2:23">
      <c r="B48" s="28">
        <v>16</v>
      </c>
      <c r="C48" s="1" t="s">
        <v>40</v>
      </c>
      <c r="D48" s="68">
        <v>6.1393451129698011E-3</v>
      </c>
      <c r="E48" s="68">
        <v>1.2577165830526895E-2</v>
      </c>
      <c r="F48" s="68">
        <v>2.6339691684563175E-2</v>
      </c>
      <c r="G48" s="68">
        <v>5.7352984008817234E-2</v>
      </c>
      <c r="H48" s="68">
        <v>7.4570185845480003E-2</v>
      </c>
      <c r="I48" s="68">
        <v>9.7662269295605203E-2</v>
      </c>
      <c r="J48" s="68">
        <v>0.13024142956242893</v>
      </c>
      <c r="K48" s="69">
        <v>0.32696760451165363</v>
      </c>
      <c r="L48" s="69">
        <v>0.8794735177352192</v>
      </c>
      <c r="M48" s="69">
        <v>2.4822425702959663</v>
      </c>
      <c r="N48" s="69">
        <v>6.5601981465188066</v>
      </c>
      <c r="O48" s="69">
        <v>13.429669013374168</v>
      </c>
      <c r="P48" s="69">
        <v>13.760557377341639</v>
      </c>
      <c r="Q48" s="69">
        <v>6.4015233639422311</v>
      </c>
      <c r="R48" s="69">
        <v>16.913476701348721</v>
      </c>
      <c r="S48" s="69">
        <v>88.19123416381602</v>
      </c>
      <c r="T48" s="69">
        <v>248.11654813039937</v>
      </c>
      <c r="U48" s="69">
        <v>514.90511131405628</v>
      </c>
      <c r="V48" s="69">
        <v>585.20648437856062</v>
      </c>
      <c r="W48" s="69">
        <v>192.3883891637754</v>
      </c>
    </row>
    <row r="49" spans="2:23">
      <c r="B49" s="28"/>
      <c r="C49" s="1"/>
      <c r="D49" s="1"/>
      <c r="E49" s="1"/>
      <c r="F49" s="1"/>
      <c r="G49" s="1"/>
      <c r="H49" s="1"/>
      <c r="I49" s="1"/>
      <c r="J49" s="1"/>
      <c r="K49" s="10"/>
      <c r="L49" s="10"/>
      <c r="M49" s="10"/>
      <c r="N49" s="10"/>
      <c r="O49" s="10"/>
      <c r="P49" s="10"/>
      <c r="Q49" s="10"/>
      <c r="R49" s="10"/>
      <c r="S49" s="10"/>
      <c r="T49" s="10"/>
      <c r="U49" s="10"/>
      <c r="V49" s="10"/>
      <c r="W49" s="10"/>
    </row>
    <row r="50" spans="2:23">
      <c r="B50" s="28">
        <v>20</v>
      </c>
      <c r="C50" s="1" t="s">
        <v>41</v>
      </c>
      <c r="D50" s="63">
        <v>20</v>
      </c>
      <c r="E50" s="63">
        <v>10</v>
      </c>
      <c r="F50" s="63">
        <v>5</v>
      </c>
      <c r="G50" s="63">
        <v>3</v>
      </c>
      <c r="H50" s="63">
        <v>2</v>
      </c>
      <c r="I50" s="63">
        <v>2</v>
      </c>
      <c r="J50" s="63">
        <v>1</v>
      </c>
      <c r="K50" s="65">
        <v>1</v>
      </c>
      <c r="L50" s="65">
        <v>0</v>
      </c>
      <c r="M50" s="65">
        <v>0</v>
      </c>
      <c r="N50" s="65">
        <v>0</v>
      </c>
      <c r="O50" s="65">
        <v>0</v>
      </c>
      <c r="P50" s="65">
        <v>0</v>
      </c>
      <c r="Q50" s="65">
        <v>0</v>
      </c>
      <c r="R50" s="65">
        <v>0</v>
      </c>
      <c r="S50" s="65">
        <v>0</v>
      </c>
      <c r="T50" s="65">
        <v>0</v>
      </c>
      <c r="U50" s="65">
        <v>0</v>
      </c>
      <c r="V50" s="65">
        <v>0</v>
      </c>
      <c r="W50" s="65">
        <v>0</v>
      </c>
    </row>
    <row r="51" spans="2:23">
      <c r="B51" s="28">
        <v>20</v>
      </c>
      <c r="C51" s="1" t="s">
        <v>42</v>
      </c>
      <c r="D51" s="63">
        <v>20</v>
      </c>
      <c r="E51" s="63">
        <v>10</v>
      </c>
      <c r="F51" s="63">
        <v>5</v>
      </c>
      <c r="G51" s="63">
        <v>3</v>
      </c>
      <c r="H51" s="63">
        <v>2</v>
      </c>
      <c r="I51" s="63">
        <v>2</v>
      </c>
      <c r="J51" s="63">
        <v>1</v>
      </c>
      <c r="K51" s="65">
        <v>1</v>
      </c>
      <c r="L51" s="65">
        <v>0</v>
      </c>
      <c r="M51" s="65">
        <v>0</v>
      </c>
      <c r="N51" s="65">
        <v>0</v>
      </c>
      <c r="O51" s="65">
        <v>0</v>
      </c>
      <c r="P51" s="65">
        <v>0</v>
      </c>
      <c r="Q51" s="65">
        <v>0</v>
      </c>
      <c r="R51" s="65">
        <v>0</v>
      </c>
      <c r="S51" s="65">
        <v>0</v>
      </c>
      <c r="T51" s="65">
        <v>0</v>
      </c>
      <c r="U51" s="65">
        <v>0</v>
      </c>
      <c r="V51" s="65">
        <v>0</v>
      </c>
      <c r="W51" s="65">
        <v>0</v>
      </c>
    </row>
    <row r="52" spans="2:23">
      <c r="B52" s="28"/>
      <c r="C52" s="1"/>
      <c r="D52" s="1"/>
      <c r="E52" s="1"/>
      <c r="F52" s="1"/>
      <c r="G52" s="1"/>
      <c r="H52" s="1"/>
      <c r="I52" s="1"/>
      <c r="J52" s="1"/>
      <c r="K52" s="10"/>
      <c r="L52" s="10"/>
      <c r="M52" s="10"/>
      <c r="N52" s="10"/>
      <c r="O52" s="10"/>
      <c r="P52" s="10"/>
      <c r="Q52" s="10"/>
      <c r="R52" s="10"/>
      <c r="S52" s="10"/>
      <c r="T52" s="10"/>
      <c r="U52" s="10"/>
      <c r="V52" s="10"/>
      <c r="W52" s="10"/>
    </row>
    <row r="53" spans="2:23">
      <c r="B53" s="28">
        <v>21</v>
      </c>
      <c r="C53" s="1" t="s">
        <v>43</v>
      </c>
      <c r="D53" s="71">
        <v>500</v>
      </c>
      <c r="E53" s="71">
        <v>500</v>
      </c>
      <c r="F53" s="71">
        <v>500</v>
      </c>
      <c r="G53" s="71">
        <v>500</v>
      </c>
      <c r="H53" s="71">
        <v>500</v>
      </c>
      <c r="I53" s="71">
        <v>500</v>
      </c>
      <c r="J53" s="71">
        <v>500</v>
      </c>
      <c r="K53" s="71">
        <v>500</v>
      </c>
      <c r="L53" s="71">
        <v>500</v>
      </c>
      <c r="M53" s="71">
        <v>500</v>
      </c>
      <c r="N53" s="71">
        <v>500</v>
      </c>
      <c r="O53" s="71">
        <v>500</v>
      </c>
      <c r="P53" s="71">
        <v>500</v>
      </c>
      <c r="Q53" s="71">
        <v>500</v>
      </c>
      <c r="R53" s="71">
        <v>500</v>
      </c>
      <c r="S53" s="71">
        <v>500</v>
      </c>
      <c r="T53" s="71">
        <v>500</v>
      </c>
      <c r="U53" s="71">
        <v>500</v>
      </c>
      <c r="V53" s="71">
        <v>500</v>
      </c>
      <c r="W53" s="71">
        <v>500</v>
      </c>
    </row>
    <row r="54" spans="2:23">
      <c r="B54" s="28"/>
      <c r="C54" s="1"/>
      <c r="D54" s="1"/>
      <c r="E54" s="1"/>
      <c r="F54" s="1"/>
      <c r="G54" s="1"/>
      <c r="H54" s="1"/>
      <c r="I54" s="1"/>
      <c r="J54" s="1"/>
      <c r="K54" s="1"/>
      <c r="L54" s="1"/>
      <c r="M54" s="1"/>
      <c r="N54" s="1"/>
      <c r="O54" s="1"/>
      <c r="P54" s="1"/>
      <c r="Q54" s="1"/>
      <c r="R54" s="1"/>
      <c r="S54" s="1"/>
      <c r="T54" s="1"/>
      <c r="U54" s="1"/>
      <c r="V54" s="1"/>
      <c r="W54" s="1"/>
    </row>
    <row r="55" spans="2:23">
      <c r="B55" s="28">
        <v>22</v>
      </c>
      <c r="C55" s="1" t="s">
        <v>44</v>
      </c>
      <c r="D55" s="71">
        <v>0</v>
      </c>
      <c r="E55" s="71">
        <v>0</v>
      </c>
      <c r="F55" s="71">
        <v>0</v>
      </c>
      <c r="G55" s="71">
        <v>0</v>
      </c>
      <c r="H55" s="71">
        <v>2</v>
      </c>
      <c r="I55" s="71">
        <v>2</v>
      </c>
      <c r="J55" s="71">
        <v>2</v>
      </c>
      <c r="K55" s="71">
        <v>3</v>
      </c>
      <c r="L55" s="71">
        <v>3</v>
      </c>
      <c r="M55" s="71">
        <v>29</v>
      </c>
      <c r="N55" s="71">
        <v>32</v>
      </c>
      <c r="O55" s="71">
        <v>37</v>
      </c>
      <c r="P55" s="71">
        <v>416</v>
      </c>
      <c r="Q55" s="71">
        <v>438</v>
      </c>
      <c r="R55" s="71">
        <v>475</v>
      </c>
      <c r="S55" s="71">
        <v>542</v>
      </c>
      <c r="T55" s="71">
        <v>640</v>
      </c>
      <c r="U55" s="71">
        <v>746</v>
      </c>
      <c r="V55" s="71">
        <v>724</v>
      </c>
      <c r="W55" s="71">
        <v>378</v>
      </c>
    </row>
    <row r="56" spans="2:23">
      <c r="B56" s="28"/>
      <c r="C56" s="1"/>
      <c r="D56" s="1"/>
      <c r="E56" s="1"/>
      <c r="F56" s="1"/>
      <c r="G56" s="1"/>
      <c r="H56" s="1"/>
      <c r="I56" s="1"/>
      <c r="J56" s="1"/>
      <c r="K56" s="11"/>
      <c r="L56" s="11"/>
      <c r="M56" s="11"/>
      <c r="N56" s="11"/>
      <c r="O56" s="11"/>
      <c r="P56" s="11"/>
      <c r="Q56" s="11"/>
      <c r="R56" s="11"/>
      <c r="S56" s="11"/>
      <c r="T56" s="11"/>
      <c r="U56" s="11"/>
      <c r="V56" s="11"/>
      <c r="W56" s="11"/>
    </row>
    <row r="57" spans="2:23">
      <c r="B57" s="31"/>
      <c r="C57" s="4" t="s">
        <v>45</v>
      </c>
      <c r="D57" s="15">
        <v>1711.2654187313835</v>
      </c>
      <c r="E57" s="15">
        <v>1607.0826570899815</v>
      </c>
      <c r="F57" s="15">
        <v>1546.5958317860313</v>
      </c>
      <c r="G57" s="15">
        <v>1239.8790267991692</v>
      </c>
      <c r="H57" s="15">
        <v>1648.4741687957699</v>
      </c>
      <c r="I57" s="15">
        <v>1643.0266035113286</v>
      </c>
      <c r="J57" s="15">
        <v>1638.4744194334685</v>
      </c>
      <c r="K57" s="15">
        <v>1629.9323216319126</v>
      </c>
      <c r="L57" s="15">
        <v>1628.455412831745</v>
      </c>
      <c r="M57" s="15">
        <v>1639.5012104633438</v>
      </c>
      <c r="N57" s="15">
        <v>1691.7720675169101</v>
      </c>
      <c r="O57" s="15">
        <v>1887.4645540252714</v>
      </c>
      <c r="P57" s="15">
        <v>2488.7179308426221</v>
      </c>
      <c r="Q57" s="15">
        <v>2797.4286579013146</v>
      </c>
      <c r="R57" s="15">
        <v>3132.9420848217837</v>
      </c>
      <c r="S57" s="15">
        <v>3343.7124147075233</v>
      </c>
      <c r="T57" s="15">
        <v>3107.3362291356743</v>
      </c>
      <c r="U57" s="15">
        <v>2292.560815662423</v>
      </c>
      <c r="V57" s="15">
        <v>1981.542256868333</v>
      </c>
      <c r="W57" s="15">
        <v>3312.6695931195973</v>
      </c>
    </row>
    <row r="58" spans="2:23">
      <c r="B58" s="34"/>
      <c r="C58" s="17" t="s">
        <v>46</v>
      </c>
      <c r="D58" s="17"/>
      <c r="E58" s="17"/>
      <c r="F58" s="17"/>
      <c r="G58" s="17"/>
      <c r="H58" s="17"/>
      <c r="I58" s="17"/>
      <c r="J58" s="17"/>
      <c r="K58" s="18"/>
      <c r="L58" s="18"/>
      <c r="M58" s="18"/>
      <c r="N58" s="18"/>
      <c r="O58" s="18"/>
      <c r="P58" s="18"/>
      <c r="Q58" s="18"/>
      <c r="R58" s="18"/>
      <c r="S58" s="18"/>
      <c r="T58" s="18"/>
      <c r="U58" s="18"/>
      <c r="V58" s="18"/>
      <c r="W58" s="18"/>
    </row>
    <row r="59" spans="2:23">
      <c r="B59" s="28"/>
      <c r="C59" s="1"/>
      <c r="D59" s="1"/>
      <c r="E59" s="1"/>
      <c r="F59" s="1"/>
      <c r="G59" s="1"/>
      <c r="H59" s="1"/>
      <c r="I59" s="1"/>
      <c r="J59" s="1"/>
      <c r="K59" s="3" t="s">
        <v>60</v>
      </c>
      <c r="L59" s="3"/>
      <c r="M59" s="3"/>
      <c r="N59" s="3"/>
      <c r="O59" s="3"/>
      <c r="P59" s="3"/>
      <c r="Q59" s="3"/>
      <c r="R59" s="3"/>
      <c r="S59" s="3"/>
      <c r="T59" s="3"/>
      <c r="U59" s="3"/>
      <c r="V59" s="3"/>
      <c r="W59" s="3"/>
    </row>
    <row r="60" spans="2:23">
      <c r="B60" s="31"/>
      <c r="C60" s="5" t="s">
        <v>2</v>
      </c>
      <c r="D60" s="5"/>
      <c r="E60" s="5"/>
      <c r="F60" s="5"/>
      <c r="G60" s="5"/>
      <c r="H60" s="5"/>
      <c r="I60" s="5"/>
      <c r="J60" s="5"/>
      <c r="K60" s="6" t="s">
        <v>3</v>
      </c>
      <c r="L60" s="6"/>
      <c r="M60" s="6"/>
      <c r="N60" s="6"/>
      <c r="O60" s="6"/>
      <c r="P60" s="6"/>
      <c r="Q60" s="6"/>
      <c r="R60" s="6"/>
      <c r="S60" s="6"/>
      <c r="T60" s="6"/>
      <c r="U60" s="6"/>
      <c r="V60" s="6"/>
      <c r="W60" s="6"/>
    </row>
    <row r="61" spans="2:23" ht="18">
      <c r="B61" s="32"/>
      <c r="C61" s="8" t="s">
        <v>48</v>
      </c>
      <c r="D61" s="8">
        <v>2</v>
      </c>
      <c r="E61" s="8">
        <v>4</v>
      </c>
      <c r="F61" s="8">
        <v>8</v>
      </c>
      <c r="G61" s="8">
        <v>16</v>
      </c>
      <c r="H61" s="8">
        <v>20</v>
      </c>
      <c r="I61" s="8">
        <v>25</v>
      </c>
      <c r="J61" s="8">
        <v>31.5</v>
      </c>
      <c r="K61" s="9">
        <v>63</v>
      </c>
      <c r="L61" s="9">
        <v>125</v>
      </c>
      <c r="M61" s="9">
        <v>250</v>
      </c>
      <c r="N61" s="9">
        <v>500</v>
      </c>
      <c r="O61" s="9" t="s">
        <v>5</v>
      </c>
      <c r="P61" s="9" t="s">
        <v>6</v>
      </c>
      <c r="Q61" s="9" t="s">
        <v>7</v>
      </c>
      <c r="R61" s="9" t="s">
        <v>8</v>
      </c>
      <c r="S61" s="9" t="s">
        <v>9</v>
      </c>
      <c r="T61" s="9" t="s">
        <v>10</v>
      </c>
      <c r="U61" s="9" t="s">
        <v>11</v>
      </c>
      <c r="V61" s="9" t="s">
        <v>12</v>
      </c>
      <c r="W61" s="9" t="s">
        <v>13</v>
      </c>
    </row>
    <row r="62" spans="2:23">
      <c r="B62" s="28"/>
      <c r="C62" s="1"/>
      <c r="D62" s="1"/>
      <c r="E62" s="1"/>
      <c r="F62" s="1"/>
      <c r="G62" s="1"/>
      <c r="H62" s="1"/>
      <c r="I62" s="1"/>
      <c r="J62" s="1"/>
      <c r="K62" s="1"/>
      <c r="L62" s="1"/>
      <c r="M62" s="1"/>
      <c r="N62" s="1"/>
      <c r="O62" s="1"/>
      <c r="P62" s="1"/>
      <c r="Q62" s="1"/>
      <c r="R62" s="1"/>
      <c r="S62" s="1"/>
      <c r="T62" s="1"/>
      <c r="U62" s="1"/>
      <c r="V62" s="1"/>
      <c r="W62" s="1"/>
    </row>
    <row r="63" spans="2:23">
      <c r="B63" s="28">
        <v>1</v>
      </c>
      <c r="C63" s="1" t="s">
        <v>49</v>
      </c>
      <c r="D63" s="71">
        <v>16000</v>
      </c>
      <c r="E63" s="71">
        <v>7000</v>
      </c>
      <c r="F63" s="71">
        <v>3500</v>
      </c>
      <c r="G63" s="71">
        <v>2000</v>
      </c>
      <c r="H63" s="71">
        <v>1500</v>
      </c>
      <c r="I63" s="71">
        <v>1000</v>
      </c>
      <c r="J63" s="71">
        <v>1000</v>
      </c>
      <c r="K63" s="71">
        <v>1000</v>
      </c>
      <c r="L63" s="71">
        <v>1000</v>
      </c>
      <c r="M63" s="71">
        <v>1000</v>
      </c>
      <c r="N63" s="71">
        <v>1000</v>
      </c>
      <c r="O63" s="71">
        <v>1000</v>
      </c>
      <c r="P63" s="71">
        <v>1000</v>
      </c>
      <c r="Q63" s="71">
        <v>1000</v>
      </c>
      <c r="R63" s="71">
        <v>1000</v>
      </c>
      <c r="S63" s="71">
        <v>1000</v>
      </c>
      <c r="T63" s="71">
        <v>1000</v>
      </c>
      <c r="U63" s="71">
        <v>1000</v>
      </c>
      <c r="V63" s="71">
        <v>1500</v>
      </c>
      <c r="W63" s="71">
        <v>2000</v>
      </c>
    </row>
    <row r="64" spans="2:23">
      <c r="B64" s="28"/>
      <c r="C64" s="1"/>
      <c r="D64" s="1"/>
      <c r="E64" s="1"/>
      <c r="F64" s="1"/>
      <c r="G64" s="1"/>
      <c r="H64" s="1"/>
      <c r="I64" s="1"/>
      <c r="J64" s="1"/>
      <c r="K64" s="19"/>
      <c r="L64" s="19"/>
      <c r="M64" s="19"/>
      <c r="N64" s="19"/>
      <c r="O64" s="19"/>
      <c r="P64" s="19"/>
      <c r="Q64" s="19"/>
      <c r="R64" s="19"/>
      <c r="S64" s="19"/>
      <c r="T64" s="19"/>
      <c r="U64" s="19"/>
      <c r="V64" s="19"/>
      <c r="W64" s="19"/>
    </row>
    <row r="65" spans="2:23">
      <c r="B65" s="28">
        <v>8</v>
      </c>
      <c r="C65" s="1" t="s">
        <v>25</v>
      </c>
      <c r="D65" s="63">
        <v>48</v>
      </c>
      <c r="E65" s="63">
        <v>39</v>
      </c>
      <c r="F65" s="63">
        <v>28</v>
      </c>
      <c r="G65" s="63">
        <v>22</v>
      </c>
      <c r="H65" s="63">
        <v>20</v>
      </c>
      <c r="I65" s="63">
        <v>19</v>
      </c>
      <c r="J65" s="63">
        <v>16</v>
      </c>
      <c r="K65" s="70">
        <v>12</v>
      </c>
      <c r="L65" s="70">
        <v>8</v>
      </c>
      <c r="M65" s="70">
        <v>8</v>
      </c>
      <c r="N65" s="70">
        <v>6</v>
      </c>
      <c r="O65" s="70">
        <v>8</v>
      </c>
      <c r="P65" s="70">
        <v>14</v>
      </c>
      <c r="Q65" s="70">
        <v>16</v>
      </c>
      <c r="R65" s="70">
        <v>20</v>
      </c>
      <c r="S65" s="70">
        <v>26</v>
      </c>
      <c r="T65" s="70">
        <v>34</v>
      </c>
      <c r="U65" s="70">
        <v>48</v>
      </c>
      <c r="V65" s="70">
        <v>70</v>
      </c>
      <c r="W65" s="70">
        <v>112</v>
      </c>
    </row>
    <row r="66" spans="2:23">
      <c r="B66" s="28"/>
      <c r="C66" s="1"/>
      <c r="D66" s="1"/>
      <c r="E66" s="1"/>
      <c r="F66" s="1"/>
      <c r="G66" s="1"/>
      <c r="H66" s="1"/>
      <c r="I66" s="1"/>
      <c r="J66" s="1"/>
      <c r="K66" s="1"/>
      <c r="L66" s="1"/>
      <c r="M66" s="1"/>
      <c r="N66" s="1"/>
      <c r="O66" s="1"/>
      <c r="P66" s="1"/>
      <c r="Q66" s="1"/>
      <c r="R66" s="1"/>
      <c r="S66" s="1"/>
      <c r="T66" s="1"/>
      <c r="U66" s="1"/>
      <c r="V66" s="1"/>
      <c r="W66" s="1"/>
    </row>
    <row r="67" spans="2:23">
      <c r="B67" s="31"/>
      <c r="C67" s="4" t="s">
        <v>50</v>
      </c>
      <c r="D67" s="20">
        <v>16000.071999838001</v>
      </c>
      <c r="E67" s="20">
        <v>7000.1086420140655</v>
      </c>
      <c r="F67" s="20">
        <v>3500.1119982080572</v>
      </c>
      <c r="G67" s="20">
        <v>2000.1209963399715</v>
      </c>
      <c r="H67" s="20">
        <v>1500.1333274079341</v>
      </c>
      <c r="I67" s="20">
        <v>1000.1804837128147</v>
      </c>
      <c r="J67" s="20">
        <v>1000.1279918090484</v>
      </c>
      <c r="K67" s="20">
        <v>1000.0719974081866</v>
      </c>
      <c r="L67" s="20">
        <v>1000.0319994880164</v>
      </c>
      <c r="M67" s="20">
        <v>1000.0319994880164</v>
      </c>
      <c r="N67" s="20">
        <v>1000.0179998380029</v>
      </c>
      <c r="O67" s="20">
        <v>1000.0319994880164</v>
      </c>
      <c r="P67" s="20">
        <v>1000.0979951984706</v>
      </c>
      <c r="Q67" s="20">
        <v>1000.1279918090484</v>
      </c>
      <c r="R67" s="20">
        <v>1000.199980003999</v>
      </c>
      <c r="S67" s="20">
        <v>1000.3379428972991</v>
      </c>
      <c r="T67" s="20">
        <v>1000.5778330544806</v>
      </c>
      <c r="U67" s="20">
        <v>1001.1513372113129</v>
      </c>
      <c r="V67" s="20">
        <v>1501.6324450410627</v>
      </c>
      <c r="W67" s="20">
        <v>2003.133545223583</v>
      </c>
    </row>
    <row r="68" spans="2:23">
      <c r="B68" s="28"/>
      <c r="C68" s="17" t="s">
        <v>51</v>
      </c>
      <c r="D68" s="17"/>
      <c r="E68" s="17"/>
      <c r="F68" s="17"/>
      <c r="G68" s="17"/>
      <c r="H68" s="17"/>
      <c r="I68" s="17"/>
      <c r="J68" s="17"/>
      <c r="K68" s="1"/>
      <c r="L68" s="1"/>
      <c r="M68" s="1"/>
      <c r="N68" s="1"/>
      <c r="O68" s="1"/>
      <c r="P68" s="1"/>
      <c r="Q68" s="1"/>
      <c r="R68" s="1"/>
      <c r="S68" s="1"/>
      <c r="T68" s="1"/>
      <c r="U68" s="1"/>
      <c r="V68" s="1"/>
      <c r="W68" s="1"/>
    </row>
    <row r="69" spans="2:23">
      <c r="B69" s="28"/>
      <c r="C69" s="1"/>
      <c r="D69" s="1"/>
      <c r="E69" s="1"/>
      <c r="F69" s="1"/>
      <c r="G69" s="1"/>
      <c r="H69" s="1"/>
      <c r="I69" s="1"/>
      <c r="J69" s="1"/>
      <c r="K69" s="3" t="s">
        <v>52</v>
      </c>
      <c r="L69" s="3"/>
      <c r="M69" s="3"/>
      <c r="N69" s="3"/>
      <c r="O69" s="3"/>
      <c r="P69" s="3"/>
      <c r="Q69" s="3"/>
      <c r="R69" s="3"/>
      <c r="S69" s="3"/>
      <c r="T69" s="3"/>
      <c r="U69" s="3"/>
      <c r="V69" s="3"/>
      <c r="W69" s="3"/>
    </row>
    <row r="70" spans="2:23">
      <c r="B70" s="31"/>
      <c r="C70" s="5" t="s">
        <v>2</v>
      </c>
      <c r="D70" s="5"/>
      <c r="E70" s="5"/>
      <c r="F70" s="5"/>
      <c r="G70" s="5"/>
      <c r="H70" s="5"/>
      <c r="I70" s="5"/>
      <c r="J70" s="5"/>
      <c r="K70" s="6" t="s">
        <v>3</v>
      </c>
      <c r="L70" s="6"/>
      <c r="M70" s="6"/>
      <c r="N70" s="6"/>
      <c r="O70" s="6"/>
      <c r="P70" s="6"/>
      <c r="Q70" s="6"/>
      <c r="R70" s="6"/>
      <c r="S70" s="6"/>
      <c r="T70" s="6"/>
      <c r="U70" s="6"/>
      <c r="V70" s="6"/>
      <c r="W70" s="6"/>
    </row>
    <row r="71" spans="2:23">
      <c r="B71" s="32"/>
      <c r="C71" s="7"/>
      <c r="D71" s="8">
        <v>2</v>
      </c>
      <c r="E71" s="8">
        <v>4</v>
      </c>
      <c r="F71" s="8">
        <v>8</v>
      </c>
      <c r="G71" s="8">
        <v>16</v>
      </c>
      <c r="H71" s="8">
        <v>20</v>
      </c>
      <c r="I71" s="8">
        <v>25</v>
      </c>
      <c r="J71" s="8">
        <v>31.5</v>
      </c>
      <c r="K71" s="9">
        <v>63</v>
      </c>
      <c r="L71" s="9">
        <v>125</v>
      </c>
      <c r="M71" s="9">
        <v>250</v>
      </c>
      <c r="N71" s="9">
        <v>500</v>
      </c>
      <c r="O71" s="9" t="s">
        <v>5</v>
      </c>
      <c r="P71" s="9" t="s">
        <v>6</v>
      </c>
      <c r="Q71" s="9" t="s">
        <v>7</v>
      </c>
      <c r="R71" s="9" t="s">
        <v>8</v>
      </c>
      <c r="S71" s="9" t="s">
        <v>9</v>
      </c>
      <c r="T71" s="9" t="s">
        <v>10</v>
      </c>
      <c r="U71" s="9" t="s">
        <v>11</v>
      </c>
      <c r="V71" s="9" t="s">
        <v>12</v>
      </c>
      <c r="W71" s="9" t="s">
        <v>13</v>
      </c>
    </row>
    <row r="72" spans="2:23">
      <c r="B72" s="28"/>
      <c r="C72" s="1"/>
      <c r="D72" s="1"/>
      <c r="E72" s="1"/>
      <c r="F72" s="1"/>
      <c r="G72" s="1"/>
      <c r="H72" s="1"/>
      <c r="I72" s="1"/>
      <c r="J72" s="1"/>
      <c r="K72" s="1"/>
      <c r="L72" s="1"/>
      <c r="M72" s="1"/>
      <c r="N72" s="1"/>
      <c r="O72" s="1"/>
      <c r="P72" s="1"/>
      <c r="Q72" s="1"/>
      <c r="R72" s="1"/>
      <c r="S72" s="1"/>
      <c r="T72" s="1"/>
      <c r="U72" s="1"/>
      <c r="V72" s="1"/>
      <c r="W72" s="1"/>
    </row>
    <row r="73" spans="2:23">
      <c r="B73" s="28"/>
      <c r="C73" s="1" t="s">
        <v>53</v>
      </c>
      <c r="D73" s="14">
        <v>3422.5308374627671</v>
      </c>
      <c r="E73" s="14">
        <v>3214.1653141799629</v>
      </c>
      <c r="F73" s="14">
        <v>3093.1916635720627</v>
      </c>
      <c r="G73" s="14">
        <v>2479.7580535983384</v>
      </c>
      <c r="H73" s="14">
        <v>3296.9483375915397</v>
      </c>
      <c r="I73" s="14">
        <v>3286.0532070226573</v>
      </c>
      <c r="J73" s="14">
        <v>3276.948838866937</v>
      </c>
      <c r="K73" s="14">
        <v>3259.8646432638252</v>
      </c>
      <c r="L73" s="14">
        <v>3256.91082566349</v>
      </c>
      <c r="M73" s="14">
        <v>3279.0024209266876</v>
      </c>
      <c r="N73" s="14">
        <v>3383.5441350338201</v>
      </c>
      <c r="O73" s="14">
        <v>3774.9291080505427</v>
      </c>
      <c r="P73" s="14">
        <v>4977.4358616852442</v>
      </c>
      <c r="Q73" s="14">
        <v>5594.8573158026293</v>
      </c>
      <c r="R73" s="14">
        <v>6265.8841696435675</v>
      </c>
      <c r="S73" s="14">
        <v>6687.4248294150466</v>
      </c>
      <c r="T73" s="14">
        <v>6214.6724582713487</v>
      </c>
      <c r="U73" s="14">
        <v>4585.121631324846</v>
      </c>
      <c r="V73" s="14">
        <v>3963.0845137366659</v>
      </c>
      <c r="W73" s="14">
        <v>6625.3391862391945</v>
      </c>
    </row>
    <row r="74" spans="2:23">
      <c r="B74" s="28"/>
      <c r="C74" s="1" t="s">
        <v>54</v>
      </c>
      <c r="D74" s="14">
        <v>32000.143999676002</v>
      </c>
      <c r="E74" s="14">
        <v>14000.217284028131</v>
      </c>
      <c r="F74" s="14">
        <v>7000.2239964161145</v>
      </c>
      <c r="G74" s="14">
        <v>4000.241992679943</v>
      </c>
      <c r="H74" s="14">
        <v>3000.2666548158682</v>
      </c>
      <c r="I74" s="14">
        <v>2000.3609674256295</v>
      </c>
      <c r="J74" s="14">
        <v>2000.2559836180967</v>
      </c>
      <c r="K74" s="14">
        <v>2000.1439948163732</v>
      </c>
      <c r="L74" s="14">
        <v>2000.0639989760327</v>
      </c>
      <c r="M74" s="14">
        <v>2000.0639989760327</v>
      </c>
      <c r="N74" s="14">
        <v>2000.0359996760058</v>
      </c>
      <c r="O74" s="14">
        <v>2000.0639989760327</v>
      </c>
      <c r="P74" s="14">
        <v>2000.1959903969412</v>
      </c>
      <c r="Q74" s="14">
        <v>2000.2559836180967</v>
      </c>
      <c r="R74" s="14">
        <v>2000.3999600079981</v>
      </c>
      <c r="S74" s="14">
        <v>2000.6758857945981</v>
      </c>
      <c r="T74" s="14">
        <v>2001.1556661089612</v>
      </c>
      <c r="U74" s="14">
        <v>2002.3026744226258</v>
      </c>
      <c r="V74" s="14">
        <v>3003.2648900821255</v>
      </c>
      <c r="W74" s="14">
        <v>4006.2670904471661</v>
      </c>
    </row>
    <row r="75" spans="2:23">
      <c r="B75" s="28"/>
      <c r="C75" s="1"/>
      <c r="D75" s="1"/>
      <c r="E75" s="1"/>
      <c r="F75" s="1"/>
      <c r="G75" s="1"/>
      <c r="H75" s="1"/>
      <c r="I75" s="1"/>
      <c r="J75" s="1"/>
      <c r="K75" s="14"/>
      <c r="L75" s="14"/>
      <c r="M75" s="14"/>
      <c r="N75" s="14"/>
      <c r="O75" s="14"/>
      <c r="P75" s="14"/>
      <c r="Q75" s="14"/>
      <c r="R75" s="14"/>
      <c r="S75" s="14"/>
      <c r="T75" s="14"/>
      <c r="U75" s="14"/>
      <c r="V75" s="14"/>
      <c r="W75" s="14"/>
    </row>
    <row r="76" spans="2:23">
      <c r="B76" s="31"/>
      <c r="C76" s="4" t="s">
        <v>55</v>
      </c>
      <c r="D76" s="20">
        <v>32182.64956981298</v>
      </c>
      <c r="E76" s="20">
        <v>14364.433252546987</v>
      </c>
      <c r="F76" s="20">
        <v>7653.1673617915676</v>
      </c>
      <c r="G76" s="20">
        <v>4706.4993364905322</v>
      </c>
      <c r="H76" s="20">
        <v>4457.7425162011787</v>
      </c>
      <c r="I76" s="20">
        <v>3847.0234830819386</v>
      </c>
      <c r="J76" s="20">
        <v>3839.1949276575378</v>
      </c>
      <c r="K76" s="20">
        <v>3824.5644840166556</v>
      </c>
      <c r="L76" s="20">
        <v>3822.0052493846779</v>
      </c>
      <c r="M76" s="20">
        <v>3840.8479371674007</v>
      </c>
      <c r="N76" s="20">
        <v>3930.4598857794954</v>
      </c>
      <c r="O76" s="20">
        <v>4272.0423418790297</v>
      </c>
      <c r="P76" s="20">
        <v>5364.2941527465036</v>
      </c>
      <c r="Q76" s="20">
        <v>5941.6708411178588</v>
      </c>
      <c r="R76" s="20">
        <v>6577.4542512578419</v>
      </c>
      <c r="S76" s="20">
        <v>6980.2832928955586</v>
      </c>
      <c r="T76" s="20">
        <v>6528.9185753535357</v>
      </c>
      <c r="U76" s="20">
        <v>5003.2545781763911</v>
      </c>
      <c r="V76" s="20">
        <v>4972.48819636803</v>
      </c>
      <c r="W76" s="20">
        <v>7742.4347160771486</v>
      </c>
    </row>
    <row r="77" spans="2:23">
      <c r="B77" s="35"/>
      <c r="C77" s="22" t="s">
        <v>56</v>
      </c>
      <c r="D77" s="22"/>
      <c r="E77" s="22"/>
      <c r="F77" s="22"/>
      <c r="G77" s="22"/>
      <c r="H77" s="22"/>
      <c r="I77" s="22"/>
      <c r="J77" s="22"/>
      <c r="K77" s="21"/>
      <c r="L77" s="21"/>
      <c r="M77" s="21"/>
      <c r="N77" s="21"/>
      <c r="O77" s="21"/>
      <c r="P77" s="36"/>
      <c r="Q77" s="36"/>
      <c r="R77" s="36"/>
      <c r="S77" s="36"/>
      <c r="T77" s="36"/>
      <c r="U77" s="36"/>
      <c r="V77" s="36"/>
      <c r="W77" s="36"/>
    </row>
    <row r="78" spans="2:23">
      <c r="B78" s="33"/>
      <c r="C78" s="26"/>
      <c r="D78" s="26"/>
      <c r="E78" s="26"/>
      <c r="F78" s="26"/>
      <c r="G78" s="26"/>
      <c r="H78" s="26"/>
      <c r="I78" s="26"/>
      <c r="J78" s="26"/>
      <c r="K78" s="26"/>
      <c r="L78" s="26"/>
      <c r="M78" s="26"/>
      <c r="N78" s="26"/>
      <c r="O78" s="26"/>
      <c r="P78" s="26"/>
      <c r="Q78" s="26"/>
      <c r="R78" s="26"/>
      <c r="S78" s="26"/>
      <c r="T78" s="26"/>
      <c r="U78" s="26"/>
      <c r="V78" s="26"/>
      <c r="W78" s="26"/>
    </row>
    <row r="79" spans="2:23">
      <c r="B79" s="33"/>
      <c r="C79" s="7" t="s">
        <v>61</v>
      </c>
      <c r="D79" s="37">
        <v>3.3000000000000003</v>
      </c>
      <c r="E79" s="37">
        <v>1.5</v>
      </c>
      <c r="F79" s="37">
        <v>0.79999999999999993</v>
      </c>
      <c r="G79" s="37">
        <v>0.5</v>
      </c>
      <c r="H79" s="37">
        <v>0.5</v>
      </c>
      <c r="I79" s="37">
        <v>0.4</v>
      </c>
      <c r="J79" s="37">
        <v>0.4</v>
      </c>
      <c r="K79" s="37">
        <v>0.4</v>
      </c>
      <c r="L79" s="37">
        <v>0.4</v>
      </c>
      <c r="M79" s="37">
        <v>0.4</v>
      </c>
      <c r="N79" s="37">
        <v>0.4</v>
      </c>
      <c r="O79" s="37">
        <v>0.5</v>
      </c>
      <c r="P79" s="37">
        <v>0.6</v>
      </c>
      <c r="Q79" s="37">
        <v>0.6</v>
      </c>
      <c r="R79" s="37">
        <v>0.7</v>
      </c>
      <c r="S79" s="37">
        <v>0.7</v>
      </c>
      <c r="T79" s="37">
        <v>0.7</v>
      </c>
      <c r="U79" s="37">
        <v>0.6</v>
      </c>
      <c r="V79" s="37">
        <v>0.5</v>
      </c>
      <c r="W79" s="37">
        <v>0.79999999999999993</v>
      </c>
    </row>
  </sheetData>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M15" sqref="M15"/>
    </sheetView>
  </sheetViews>
  <sheetFormatPr defaultRowHeight="15"/>
  <sheetData>
    <row r="1" spans="1:2" ht="26.25">
      <c r="A1" s="62" t="s">
        <v>774</v>
      </c>
      <c r="B1" s="62" t="s">
        <v>767</v>
      </c>
    </row>
    <row r="3" spans="1:2">
      <c r="B3" s="76" t="s">
        <v>776</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B3" sqref="B3"/>
    </sheetView>
  </sheetViews>
  <sheetFormatPr defaultRowHeight="15"/>
  <sheetData>
    <row r="1" spans="1:2" ht="26.25">
      <c r="A1" s="62" t="s">
        <v>774</v>
      </c>
      <c r="B1" s="62" t="s">
        <v>768</v>
      </c>
    </row>
    <row r="3" spans="1:2">
      <c r="B3" s="76" t="s">
        <v>775</v>
      </c>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2"/>
  <sheetViews>
    <sheetView workbookViewId="0">
      <selection activeCell="A3" sqref="A3"/>
    </sheetView>
  </sheetViews>
  <sheetFormatPr defaultRowHeight="15"/>
  <cols>
    <col min="1" max="1" width="12.140625" bestFit="1" customWidth="1"/>
  </cols>
  <sheetData>
    <row r="1" spans="1:18" s="62" customFormat="1" ht="26.25">
      <c r="A1" s="62" t="s">
        <v>769</v>
      </c>
      <c r="B1" s="62" t="s">
        <v>767</v>
      </c>
    </row>
    <row r="3" spans="1:18" ht="15.75" thickBot="1">
      <c r="B3" s="38" t="s">
        <v>223</v>
      </c>
    </row>
    <row r="4" spans="1:18" ht="15.75" thickBot="1">
      <c r="B4" s="41" t="s">
        <v>44</v>
      </c>
      <c r="C4" s="42" t="s">
        <v>69</v>
      </c>
      <c r="D4" s="43" t="s">
        <v>224</v>
      </c>
      <c r="E4" s="43" t="s">
        <v>225</v>
      </c>
      <c r="F4" s="43" t="s">
        <v>226</v>
      </c>
      <c r="G4" s="43" t="s">
        <v>227</v>
      </c>
      <c r="H4" s="43" t="s">
        <v>228</v>
      </c>
      <c r="I4" s="43" t="s">
        <v>229</v>
      </c>
      <c r="J4" s="43" t="s">
        <v>230</v>
      </c>
      <c r="K4" s="43" t="s">
        <v>231</v>
      </c>
      <c r="L4" s="43" t="s">
        <v>232</v>
      </c>
      <c r="M4" s="43" t="s">
        <v>233</v>
      </c>
      <c r="N4" s="43" t="s">
        <v>234</v>
      </c>
      <c r="O4" s="43" t="s">
        <v>235</v>
      </c>
      <c r="P4" s="43" t="s">
        <v>236</v>
      </c>
      <c r="Q4" s="43" t="s">
        <v>237</v>
      </c>
      <c r="R4" s="43" t="s">
        <v>238</v>
      </c>
    </row>
    <row r="5" spans="1:18" ht="15.75" thickBot="1">
      <c r="B5" s="44" t="s">
        <v>239</v>
      </c>
      <c r="C5" s="45" t="s">
        <v>240</v>
      </c>
      <c r="D5" s="46" t="s">
        <v>241</v>
      </c>
      <c r="E5" s="46" t="s">
        <v>241</v>
      </c>
      <c r="F5" s="46" t="s">
        <v>241</v>
      </c>
      <c r="G5" s="46" t="s">
        <v>241</v>
      </c>
      <c r="H5" s="46" t="s">
        <v>241</v>
      </c>
      <c r="I5" s="46" t="s">
        <v>241</v>
      </c>
      <c r="J5" s="46" t="s">
        <v>241</v>
      </c>
      <c r="K5" s="46" t="s">
        <v>241</v>
      </c>
      <c r="L5" s="46" t="s">
        <v>241</v>
      </c>
      <c r="M5" s="46" t="s">
        <v>241</v>
      </c>
      <c r="N5" s="46" t="s">
        <v>241</v>
      </c>
      <c r="O5" s="46" t="s">
        <v>93</v>
      </c>
      <c r="P5" s="46" t="s">
        <v>93</v>
      </c>
      <c r="Q5" s="46" t="s">
        <v>96</v>
      </c>
      <c r="R5" s="46" t="s">
        <v>95</v>
      </c>
    </row>
    <row r="6" spans="1:18" ht="18.75" thickBot="1">
      <c r="B6" s="44" t="s">
        <v>221</v>
      </c>
      <c r="C6" s="45" t="s">
        <v>240</v>
      </c>
      <c r="D6" s="46" t="s">
        <v>241</v>
      </c>
      <c r="E6" s="46" t="s">
        <v>241</v>
      </c>
      <c r="F6" s="46" t="s">
        <v>241</v>
      </c>
      <c r="G6" s="46" t="s">
        <v>241</v>
      </c>
      <c r="H6" s="46" t="s">
        <v>241</v>
      </c>
      <c r="I6" s="46" t="s">
        <v>241</v>
      </c>
      <c r="J6" s="46" t="s">
        <v>241</v>
      </c>
      <c r="K6" s="46" t="s">
        <v>241</v>
      </c>
      <c r="L6" s="46" t="s">
        <v>241</v>
      </c>
      <c r="M6" s="46" t="s">
        <v>241</v>
      </c>
      <c r="N6" s="46" t="s">
        <v>241</v>
      </c>
      <c r="O6" s="46" t="s">
        <v>241</v>
      </c>
      <c r="P6" s="46" t="s">
        <v>93</v>
      </c>
      <c r="Q6" s="46" t="s">
        <v>93</v>
      </c>
      <c r="R6" s="46" t="s">
        <v>93</v>
      </c>
    </row>
    <row r="7" spans="1:18" ht="18.75" thickBot="1">
      <c r="B7" s="44" t="s">
        <v>220</v>
      </c>
      <c r="C7" s="45" t="s">
        <v>240</v>
      </c>
      <c r="D7" s="46" t="s">
        <v>242</v>
      </c>
      <c r="E7" s="46" t="s">
        <v>243</v>
      </c>
      <c r="F7" s="46" t="s">
        <v>244</v>
      </c>
      <c r="G7" s="46" t="s">
        <v>245</v>
      </c>
      <c r="H7" s="46" t="s">
        <v>246</v>
      </c>
      <c r="I7" s="46" t="s">
        <v>77</v>
      </c>
      <c r="J7" s="46" t="s">
        <v>247</v>
      </c>
      <c r="K7" s="46" t="s">
        <v>248</v>
      </c>
      <c r="L7" s="46" t="s">
        <v>249</v>
      </c>
      <c r="M7" s="46" t="s">
        <v>250</v>
      </c>
      <c r="N7" s="46" t="s">
        <v>251</v>
      </c>
      <c r="O7" s="46" t="s">
        <v>252</v>
      </c>
      <c r="P7" s="46" t="s">
        <v>253</v>
      </c>
      <c r="Q7" s="46" t="s">
        <v>254</v>
      </c>
      <c r="R7" s="46" t="s">
        <v>255</v>
      </c>
    </row>
    <row r="8" spans="1:18" ht="18.75" thickBot="1">
      <c r="B8" s="44" t="s">
        <v>217</v>
      </c>
      <c r="C8" s="45" t="s">
        <v>240</v>
      </c>
      <c r="D8" s="46" t="s">
        <v>99</v>
      </c>
      <c r="E8" s="46" t="s">
        <v>99</v>
      </c>
      <c r="F8" s="46" t="s">
        <v>99</v>
      </c>
      <c r="G8" s="46" t="s">
        <v>99</v>
      </c>
      <c r="H8" s="46" t="s">
        <v>99</v>
      </c>
      <c r="I8" s="46" t="s">
        <v>99</v>
      </c>
      <c r="J8" s="46" t="s">
        <v>99</v>
      </c>
      <c r="K8" s="46" t="s">
        <v>99</v>
      </c>
      <c r="L8" s="46" t="s">
        <v>99</v>
      </c>
      <c r="M8" s="46" t="s">
        <v>99</v>
      </c>
      <c r="N8" s="46" t="s">
        <v>99</v>
      </c>
      <c r="O8" s="46" t="s">
        <v>99</v>
      </c>
      <c r="P8" s="46" t="s">
        <v>99</v>
      </c>
      <c r="Q8" s="46" t="s">
        <v>99</v>
      </c>
      <c r="R8" s="46" t="s">
        <v>99</v>
      </c>
    </row>
    <row r="9" spans="1:18" ht="18.75" thickBot="1">
      <c r="B9" s="44" t="s">
        <v>67</v>
      </c>
      <c r="C9" s="45" t="s">
        <v>240</v>
      </c>
      <c r="D9" s="46" t="s">
        <v>115</v>
      </c>
      <c r="E9" s="46" t="s">
        <v>115</v>
      </c>
      <c r="F9" s="46" t="s">
        <v>115</v>
      </c>
      <c r="G9" s="46" t="s">
        <v>115</v>
      </c>
      <c r="H9" s="46" t="s">
        <v>115</v>
      </c>
      <c r="I9" s="46" t="s">
        <v>115</v>
      </c>
      <c r="J9" s="46" t="s">
        <v>115</v>
      </c>
      <c r="K9" s="46" t="s">
        <v>115</v>
      </c>
      <c r="L9" s="46" t="s">
        <v>115</v>
      </c>
      <c r="M9" s="46" t="s">
        <v>115</v>
      </c>
      <c r="N9" s="46" t="s">
        <v>115</v>
      </c>
      <c r="O9" s="46" t="s">
        <v>104</v>
      </c>
      <c r="P9" s="46" t="s">
        <v>104</v>
      </c>
      <c r="Q9" s="46" t="s">
        <v>104</v>
      </c>
      <c r="R9" s="46" t="s">
        <v>115</v>
      </c>
    </row>
    <row r="10" spans="1:18" ht="18.75" thickBot="1">
      <c r="B10" s="44" t="s">
        <v>256</v>
      </c>
      <c r="C10" s="45" t="s">
        <v>240</v>
      </c>
      <c r="D10" s="46" t="s">
        <v>120</v>
      </c>
      <c r="E10" s="46" t="s">
        <v>120</v>
      </c>
      <c r="F10" s="46" t="s">
        <v>120</v>
      </c>
      <c r="G10" s="46" t="s">
        <v>120</v>
      </c>
      <c r="H10" s="46" t="s">
        <v>120</v>
      </c>
      <c r="I10" s="46" t="s">
        <v>120</v>
      </c>
      <c r="J10" s="46" t="s">
        <v>257</v>
      </c>
      <c r="K10" s="46" t="s">
        <v>258</v>
      </c>
      <c r="L10" s="46" t="s">
        <v>120</v>
      </c>
      <c r="M10" s="46" t="s">
        <v>195</v>
      </c>
      <c r="N10" s="46" t="s">
        <v>259</v>
      </c>
      <c r="O10" s="46" t="s">
        <v>260</v>
      </c>
      <c r="P10" s="46" t="s">
        <v>148</v>
      </c>
      <c r="Q10" s="46" t="s">
        <v>261</v>
      </c>
      <c r="R10" s="46" t="s">
        <v>157</v>
      </c>
    </row>
    <row r="11" spans="1:18" ht="18.75" thickBot="1">
      <c r="B11" s="44" t="s">
        <v>218</v>
      </c>
      <c r="C11" s="45" t="s">
        <v>240</v>
      </c>
      <c r="D11" s="46" t="s">
        <v>90</v>
      </c>
      <c r="E11" s="46" t="s">
        <v>90</v>
      </c>
      <c r="F11" s="46" t="s">
        <v>90</v>
      </c>
      <c r="G11" s="46" t="s">
        <v>90</v>
      </c>
      <c r="H11" s="46" t="s">
        <v>90</v>
      </c>
      <c r="I11" s="46" t="s">
        <v>90</v>
      </c>
      <c r="J11" s="46" t="s">
        <v>109</v>
      </c>
      <c r="K11" s="46" t="s">
        <v>109</v>
      </c>
      <c r="L11" s="46" t="s">
        <v>109</v>
      </c>
      <c r="M11" s="46" t="s">
        <v>109</v>
      </c>
      <c r="N11" s="46" t="s">
        <v>109</v>
      </c>
      <c r="O11" s="46" t="s">
        <v>109</v>
      </c>
      <c r="P11" s="46" t="s">
        <v>109</v>
      </c>
      <c r="Q11" s="46" t="s">
        <v>109</v>
      </c>
      <c r="R11" s="46" t="s">
        <v>109</v>
      </c>
    </row>
    <row r="12" spans="1:18" ht="15.75" thickBot="1">
      <c r="B12" s="44" t="s">
        <v>37</v>
      </c>
      <c r="C12" s="45" t="s">
        <v>240</v>
      </c>
      <c r="D12" s="46" t="s">
        <v>135</v>
      </c>
      <c r="E12" s="46" t="s">
        <v>90</v>
      </c>
      <c r="F12" s="46" t="s">
        <v>109</v>
      </c>
      <c r="G12" s="46" t="s">
        <v>109</v>
      </c>
      <c r="H12" s="46" t="s">
        <v>262</v>
      </c>
      <c r="I12" s="46" t="s">
        <v>262</v>
      </c>
      <c r="J12" s="46" t="s">
        <v>129</v>
      </c>
      <c r="K12" s="46" t="s">
        <v>129</v>
      </c>
      <c r="L12" s="46" t="s">
        <v>133</v>
      </c>
      <c r="M12" s="46" t="s">
        <v>133</v>
      </c>
      <c r="N12" s="46" t="s">
        <v>133</v>
      </c>
      <c r="O12" s="46" t="s">
        <v>133</v>
      </c>
      <c r="P12" s="46" t="s">
        <v>133</v>
      </c>
      <c r="Q12" s="46" t="s">
        <v>133</v>
      </c>
      <c r="R12" s="46" t="s">
        <v>129</v>
      </c>
    </row>
    <row r="13" spans="1:18" ht="18.75" thickBot="1">
      <c r="B13" s="44" t="s">
        <v>219</v>
      </c>
      <c r="C13" s="45" t="s">
        <v>240</v>
      </c>
      <c r="D13" s="46" t="s">
        <v>84</v>
      </c>
      <c r="E13" s="46" t="s">
        <v>98</v>
      </c>
      <c r="F13" s="46" t="s">
        <v>263</v>
      </c>
      <c r="G13" s="46" t="s">
        <v>108</v>
      </c>
      <c r="H13" s="46" t="s">
        <v>82</v>
      </c>
      <c r="I13" s="46" t="s">
        <v>81</v>
      </c>
      <c r="J13" s="46" t="s">
        <v>81</v>
      </c>
      <c r="K13" s="46" t="s">
        <v>80</v>
      </c>
      <c r="L13" s="46" t="s">
        <v>75</v>
      </c>
      <c r="M13" s="46" t="s">
        <v>75</v>
      </c>
      <c r="N13" s="46" t="s">
        <v>95</v>
      </c>
      <c r="O13" s="46" t="s">
        <v>95</v>
      </c>
      <c r="P13" s="46" t="s">
        <v>96</v>
      </c>
      <c r="Q13" s="46" t="s">
        <v>96</v>
      </c>
      <c r="R13" s="46" t="s">
        <v>97</v>
      </c>
    </row>
    <row r="14" spans="1:18" ht="18.75" thickBot="1">
      <c r="B14" s="44" t="s">
        <v>264</v>
      </c>
      <c r="C14" s="45" t="s">
        <v>240</v>
      </c>
      <c r="D14" s="46" t="s">
        <v>265</v>
      </c>
      <c r="E14" s="46" t="s">
        <v>204</v>
      </c>
      <c r="F14" s="46" t="s">
        <v>266</v>
      </c>
      <c r="G14" s="46" t="s">
        <v>153</v>
      </c>
      <c r="H14" s="46" t="s">
        <v>267</v>
      </c>
      <c r="I14" s="46" t="s">
        <v>268</v>
      </c>
      <c r="J14" s="46" t="s">
        <v>269</v>
      </c>
      <c r="K14" s="46" t="s">
        <v>209</v>
      </c>
      <c r="L14" s="46" t="s">
        <v>270</v>
      </c>
      <c r="M14" s="46" t="s">
        <v>270</v>
      </c>
      <c r="N14" s="46" t="s">
        <v>201</v>
      </c>
      <c r="O14" s="46" t="s">
        <v>271</v>
      </c>
      <c r="P14" s="46" t="s">
        <v>271</v>
      </c>
      <c r="Q14" s="46" t="s">
        <v>271</v>
      </c>
      <c r="R14" s="46" t="s">
        <v>272</v>
      </c>
    </row>
    <row r="15" spans="1:18" ht="27.75" thickBot="1">
      <c r="B15" s="44" t="s">
        <v>273</v>
      </c>
      <c r="C15" s="45" t="s">
        <v>240</v>
      </c>
      <c r="D15" s="46" t="s">
        <v>274</v>
      </c>
      <c r="E15" s="46" t="s">
        <v>274</v>
      </c>
      <c r="F15" s="46" t="s">
        <v>274</v>
      </c>
      <c r="G15" s="46" t="s">
        <v>274</v>
      </c>
      <c r="H15" s="46" t="s">
        <v>274</v>
      </c>
      <c r="I15" s="46" t="s">
        <v>274</v>
      </c>
      <c r="J15" s="46" t="s">
        <v>274</v>
      </c>
      <c r="K15" s="46" t="s">
        <v>274</v>
      </c>
      <c r="L15" s="46" t="s">
        <v>275</v>
      </c>
      <c r="M15" s="46" t="s">
        <v>275</v>
      </c>
      <c r="N15" s="46" t="s">
        <v>275</v>
      </c>
      <c r="O15" s="46" t="s">
        <v>275</v>
      </c>
      <c r="P15" s="46" t="s">
        <v>275</v>
      </c>
      <c r="Q15" s="46" t="s">
        <v>274</v>
      </c>
      <c r="R15" s="46" t="s">
        <v>274</v>
      </c>
    </row>
    <row r="16" spans="1:18" ht="18.75" thickBot="1">
      <c r="B16" s="44" t="s">
        <v>276</v>
      </c>
      <c r="C16" s="45" t="s">
        <v>240</v>
      </c>
      <c r="D16" s="46" t="s">
        <v>160</v>
      </c>
      <c r="E16" s="46" t="s">
        <v>160</v>
      </c>
      <c r="F16" s="46" t="s">
        <v>160</v>
      </c>
      <c r="G16" s="46" t="s">
        <v>160</v>
      </c>
      <c r="H16" s="46" t="s">
        <v>160</v>
      </c>
      <c r="I16" s="46" t="s">
        <v>160</v>
      </c>
      <c r="J16" s="46" t="s">
        <v>160</v>
      </c>
      <c r="K16" s="46" t="s">
        <v>160</v>
      </c>
      <c r="L16" s="46" t="s">
        <v>160</v>
      </c>
      <c r="M16" s="46" t="s">
        <v>160</v>
      </c>
      <c r="N16" s="46" t="s">
        <v>160</v>
      </c>
      <c r="O16" s="46" t="s">
        <v>160</v>
      </c>
      <c r="P16" s="46" t="s">
        <v>160</v>
      </c>
      <c r="Q16" s="46" t="s">
        <v>160</v>
      </c>
      <c r="R16" s="46" t="s">
        <v>160</v>
      </c>
    </row>
    <row r="17" spans="2:18" ht="18.75" thickBot="1">
      <c r="B17" s="44" t="s">
        <v>277</v>
      </c>
      <c r="C17" s="45" t="s">
        <v>240</v>
      </c>
      <c r="D17" s="46" t="s">
        <v>124</v>
      </c>
      <c r="E17" s="46" t="s">
        <v>109</v>
      </c>
      <c r="F17" s="46" t="s">
        <v>106</v>
      </c>
      <c r="G17" s="46" t="s">
        <v>105</v>
      </c>
      <c r="H17" s="46" t="s">
        <v>88</v>
      </c>
      <c r="I17" s="46" t="s">
        <v>278</v>
      </c>
      <c r="J17" s="46" t="s">
        <v>101</v>
      </c>
      <c r="K17" s="46" t="s">
        <v>119</v>
      </c>
      <c r="L17" s="46" t="s">
        <v>103</v>
      </c>
      <c r="M17" s="46" t="s">
        <v>92</v>
      </c>
      <c r="N17" s="46" t="s">
        <v>104</v>
      </c>
      <c r="O17" s="46" t="s">
        <v>84</v>
      </c>
      <c r="P17" s="46" t="s">
        <v>110</v>
      </c>
      <c r="Q17" s="46" t="s">
        <v>110</v>
      </c>
      <c r="R17" s="46" t="s">
        <v>115</v>
      </c>
    </row>
    <row r="18" spans="2:18" ht="15.75" thickBot="1">
      <c r="B18" s="44" t="s">
        <v>279</v>
      </c>
      <c r="C18" s="45" t="s">
        <v>240</v>
      </c>
      <c r="D18" s="46" t="s">
        <v>280</v>
      </c>
      <c r="E18" s="46" t="s">
        <v>280</v>
      </c>
      <c r="F18" s="46" t="s">
        <v>280</v>
      </c>
      <c r="G18" s="46" t="s">
        <v>280</v>
      </c>
      <c r="H18" s="46" t="s">
        <v>280</v>
      </c>
      <c r="I18" s="46" t="s">
        <v>280</v>
      </c>
      <c r="J18" s="46" t="s">
        <v>280</v>
      </c>
      <c r="K18" s="46" t="s">
        <v>280</v>
      </c>
      <c r="L18" s="46" t="s">
        <v>280</v>
      </c>
      <c r="M18" s="46" t="s">
        <v>280</v>
      </c>
      <c r="N18" s="46" t="s">
        <v>280</v>
      </c>
      <c r="O18" s="46" t="s">
        <v>280</v>
      </c>
      <c r="P18" s="46" t="s">
        <v>280</v>
      </c>
      <c r="Q18" s="46" t="s">
        <v>280</v>
      </c>
      <c r="R18" s="46" t="s">
        <v>280</v>
      </c>
    </row>
    <row r="19" spans="2:18" ht="18.75" thickBot="1">
      <c r="B19" s="44" t="s">
        <v>43</v>
      </c>
      <c r="C19" s="45" t="s">
        <v>240</v>
      </c>
      <c r="D19" s="46" t="s">
        <v>281</v>
      </c>
      <c r="E19" s="46" t="s">
        <v>281</v>
      </c>
      <c r="F19" s="46" t="s">
        <v>281</v>
      </c>
      <c r="G19" s="46" t="s">
        <v>281</v>
      </c>
      <c r="H19" s="46" t="s">
        <v>281</v>
      </c>
      <c r="I19" s="46" t="s">
        <v>281</v>
      </c>
      <c r="J19" s="46" t="s">
        <v>281</v>
      </c>
      <c r="K19" s="46" t="s">
        <v>281</v>
      </c>
      <c r="L19" s="46" t="s">
        <v>281</v>
      </c>
      <c r="M19" s="46" t="s">
        <v>281</v>
      </c>
      <c r="N19" s="46" t="s">
        <v>281</v>
      </c>
      <c r="O19" s="46" t="s">
        <v>281</v>
      </c>
      <c r="P19" s="46" t="s">
        <v>281</v>
      </c>
      <c r="Q19" s="46" t="s">
        <v>281</v>
      </c>
      <c r="R19" s="46" t="s">
        <v>281</v>
      </c>
    </row>
    <row r="20" spans="2:18" ht="15.75" thickBot="1">
      <c r="B20" s="44" t="s">
        <v>222</v>
      </c>
      <c r="C20" s="45" t="s">
        <v>240</v>
      </c>
      <c r="D20" s="46" t="s">
        <v>282</v>
      </c>
      <c r="E20" s="46" t="s">
        <v>283</v>
      </c>
      <c r="F20" s="46" t="s">
        <v>284</v>
      </c>
      <c r="G20" s="46" t="s">
        <v>285</v>
      </c>
      <c r="H20" s="46" t="s">
        <v>286</v>
      </c>
      <c r="I20" s="46" t="s">
        <v>287</v>
      </c>
      <c r="J20" s="46" t="s">
        <v>172</v>
      </c>
      <c r="K20" s="46" t="s">
        <v>288</v>
      </c>
      <c r="L20" s="46" t="s">
        <v>177</v>
      </c>
      <c r="M20" s="46" t="s">
        <v>114</v>
      </c>
      <c r="N20" s="46" t="s">
        <v>150</v>
      </c>
      <c r="O20" s="46" t="s">
        <v>289</v>
      </c>
      <c r="P20" s="46" t="s">
        <v>290</v>
      </c>
      <c r="Q20" s="46" t="s">
        <v>261</v>
      </c>
      <c r="R20" s="46" t="s">
        <v>290</v>
      </c>
    </row>
    <row r="21" spans="2:18" ht="15.75" thickBot="1">
      <c r="B21" s="44" t="s">
        <v>291</v>
      </c>
      <c r="C21" s="45" t="s">
        <v>240</v>
      </c>
      <c r="D21" s="46" t="s">
        <v>292</v>
      </c>
      <c r="E21" s="46" t="s">
        <v>293</v>
      </c>
      <c r="F21" s="46" t="s">
        <v>294</v>
      </c>
      <c r="G21" s="46" t="s">
        <v>295</v>
      </c>
      <c r="H21" s="46" t="s">
        <v>296</v>
      </c>
      <c r="I21" s="46" t="s">
        <v>297</v>
      </c>
      <c r="J21" s="46" t="s">
        <v>208</v>
      </c>
      <c r="K21" s="46" t="s">
        <v>298</v>
      </c>
      <c r="L21" s="46" t="s">
        <v>299</v>
      </c>
      <c r="M21" s="46" t="s">
        <v>300</v>
      </c>
      <c r="N21" s="46" t="s">
        <v>301</v>
      </c>
      <c r="O21" s="46" t="s">
        <v>302</v>
      </c>
      <c r="P21" s="46" t="s">
        <v>303</v>
      </c>
      <c r="Q21" s="46" t="s">
        <v>304</v>
      </c>
      <c r="R21" s="46" t="s">
        <v>167</v>
      </c>
    </row>
    <row r="22" spans="2:18" ht="27.75" thickBot="1">
      <c r="B22" s="44" t="s">
        <v>305</v>
      </c>
      <c r="C22" s="45" t="s">
        <v>59</v>
      </c>
      <c r="D22" s="46">
        <v>67</v>
      </c>
      <c r="E22" s="46">
        <v>198</v>
      </c>
      <c r="F22" s="46">
        <v>458</v>
      </c>
      <c r="G22" s="46">
        <v>808</v>
      </c>
      <c r="H22" s="46" t="s">
        <v>306</v>
      </c>
      <c r="I22" s="46" t="s">
        <v>306</v>
      </c>
      <c r="J22" s="46" t="s">
        <v>306</v>
      </c>
      <c r="K22" s="46" t="s">
        <v>306</v>
      </c>
      <c r="L22" s="46" t="s">
        <v>306</v>
      </c>
      <c r="M22" s="46" t="s">
        <v>306</v>
      </c>
      <c r="N22" s="46" t="s">
        <v>306</v>
      </c>
      <c r="O22" s="46" t="s">
        <v>306</v>
      </c>
      <c r="P22" s="46" t="s">
        <v>306</v>
      </c>
      <c r="Q22" s="46" t="s">
        <v>306</v>
      </c>
      <c r="R22" s="46" t="s">
        <v>306</v>
      </c>
    </row>
    <row r="23" spans="2:18" ht="15.75" thickBot="1">
      <c r="B23" s="44" t="s">
        <v>307</v>
      </c>
      <c r="C23" s="45" t="s">
        <v>59</v>
      </c>
      <c r="D23" s="46" t="s">
        <v>308</v>
      </c>
      <c r="E23" s="46" t="s">
        <v>309</v>
      </c>
      <c r="F23" s="46" t="s">
        <v>309</v>
      </c>
      <c r="G23" s="46" t="s">
        <v>116</v>
      </c>
      <c r="H23" s="46" t="s">
        <v>116</v>
      </c>
      <c r="I23" s="46" t="s">
        <v>116</v>
      </c>
      <c r="J23" s="46" t="s">
        <v>116</v>
      </c>
      <c r="K23" s="46" t="s">
        <v>116</v>
      </c>
      <c r="L23" s="46" t="s">
        <v>116</v>
      </c>
      <c r="M23" s="46" t="s">
        <v>116</v>
      </c>
      <c r="N23" s="46" t="s">
        <v>116</v>
      </c>
      <c r="O23" s="46" t="s">
        <v>116</v>
      </c>
      <c r="P23" s="46" t="s">
        <v>116</v>
      </c>
      <c r="Q23" s="46" t="s">
        <v>116</v>
      </c>
      <c r="R23" s="46" t="s">
        <v>116</v>
      </c>
    </row>
    <row r="24" spans="2:18" ht="15.75" thickBot="1">
      <c r="B24" s="44" t="s">
        <v>310</v>
      </c>
      <c r="C24" s="45" t="s">
        <v>63</v>
      </c>
      <c r="D24" s="46" t="s">
        <v>311</v>
      </c>
      <c r="E24" s="46" t="s">
        <v>312</v>
      </c>
      <c r="F24" s="46" t="s">
        <v>313</v>
      </c>
      <c r="G24" s="46" t="s">
        <v>313</v>
      </c>
      <c r="H24" s="46" t="s">
        <v>313</v>
      </c>
      <c r="I24" s="46" t="s">
        <v>313</v>
      </c>
      <c r="J24" s="46" t="s">
        <v>313</v>
      </c>
      <c r="K24" s="46" t="s">
        <v>313</v>
      </c>
      <c r="L24" s="46" t="s">
        <v>313</v>
      </c>
      <c r="M24" s="46" t="s">
        <v>314</v>
      </c>
      <c r="N24" s="46" t="s">
        <v>314</v>
      </c>
      <c r="O24" s="46" t="s">
        <v>314</v>
      </c>
      <c r="P24" s="46" t="s">
        <v>314</v>
      </c>
      <c r="Q24" s="46" t="s">
        <v>314</v>
      </c>
      <c r="R24" s="46" t="s">
        <v>314</v>
      </c>
    </row>
    <row r="25" spans="2:18" ht="15.75" thickBot="1">
      <c r="B25" s="44" t="s">
        <v>315</v>
      </c>
      <c r="C25" s="45" t="s">
        <v>63</v>
      </c>
      <c r="D25" s="46" t="s">
        <v>96</v>
      </c>
      <c r="E25" s="46" t="s">
        <v>96</v>
      </c>
      <c r="F25" s="46" t="s">
        <v>96</v>
      </c>
      <c r="G25" s="46" t="s">
        <v>96</v>
      </c>
      <c r="H25" s="46" t="s">
        <v>96</v>
      </c>
      <c r="I25" s="46" t="s">
        <v>96</v>
      </c>
      <c r="J25" s="46" t="s">
        <v>96</v>
      </c>
      <c r="K25" s="46" t="s">
        <v>96</v>
      </c>
      <c r="L25" s="46" t="s">
        <v>96</v>
      </c>
      <c r="M25" s="46" t="s">
        <v>96</v>
      </c>
      <c r="N25" s="46" t="s">
        <v>96</v>
      </c>
      <c r="O25" s="46" t="s">
        <v>96</v>
      </c>
      <c r="P25" s="46" t="s">
        <v>96</v>
      </c>
      <c r="Q25" s="46" t="s">
        <v>96</v>
      </c>
      <c r="R25" s="46" t="s">
        <v>96</v>
      </c>
    </row>
    <row r="26" spans="2:18" ht="15.75" thickBot="1">
      <c r="B26" s="38" t="s">
        <v>316</v>
      </c>
    </row>
    <row r="27" spans="2:18" ht="15.75" thickBot="1">
      <c r="B27" s="41" t="s">
        <v>44</v>
      </c>
      <c r="C27" s="47" t="s">
        <v>69</v>
      </c>
      <c r="D27" s="43" t="s">
        <v>317</v>
      </c>
      <c r="E27" s="43" t="s">
        <v>318</v>
      </c>
      <c r="F27" s="43" t="s">
        <v>319</v>
      </c>
      <c r="G27" s="43" t="s">
        <v>320</v>
      </c>
      <c r="H27" s="43" t="s">
        <v>321</v>
      </c>
      <c r="I27" s="43" t="s">
        <v>322</v>
      </c>
      <c r="J27" s="43" t="s">
        <v>323</v>
      </c>
      <c r="K27" s="43" t="s">
        <v>324</v>
      </c>
      <c r="L27" s="43" t="s">
        <v>325</v>
      </c>
      <c r="M27" s="43" t="s">
        <v>326</v>
      </c>
      <c r="N27" s="43" t="s">
        <v>327</v>
      </c>
      <c r="O27" s="43" t="s">
        <v>328</v>
      </c>
      <c r="P27" s="43" t="s">
        <v>329</v>
      </c>
    </row>
    <row r="28" spans="2:18" ht="15.75" thickBot="1">
      <c r="B28" s="44" t="s">
        <v>239</v>
      </c>
      <c r="C28" s="48" t="s">
        <v>240</v>
      </c>
      <c r="D28" s="46" t="s">
        <v>81</v>
      </c>
      <c r="E28" s="46" t="s">
        <v>99</v>
      </c>
      <c r="F28" s="46" t="s">
        <v>92</v>
      </c>
      <c r="G28" s="46" t="s">
        <v>133</v>
      </c>
      <c r="H28" s="46" t="s">
        <v>278</v>
      </c>
      <c r="I28" s="46" t="s">
        <v>126</v>
      </c>
      <c r="J28" s="46" t="s">
        <v>330</v>
      </c>
      <c r="K28" s="46" t="s">
        <v>178</v>
      </c>
      <c r="L28" s="46" t="s">
        <v>331</v>
      </c>
      <c r="M28" s="46" t="s">
        <v>332</v>
      </c>
      <c r="N28" s="46" t="s">
        <v>333</v>
      </c>
      <c r="O28" s="46" t="s">
        <v>334</v>
      </c>
      <c r="P28" s="46" t="s">
        <v>156</v>
      </c>
    </row>
    <row r="29" spans="2:18" ht="18.75" thickBot="1">
      <c r="B29" s="44" t="s">
        <v>221</v>
      </c>
      <c r="C29" s="48" t="s">
        <v>240</v>
      </c>
      <c r="D29" s="46" t="s">
        <v>97</v>
      </c>
      <c r="E29" s="46" t="s">
        <v>96</v>
      </c>
      <c r="F29" s="46" t="s">
        <v>95</v>
      </c>
      <c r="G29" s="46" t="s">
        <v>80</v>
      </c>
      <c r="H29" s="46" t="s">
        <v>82</v>
      </c>
      <c r="I29" s="46" t="s">
        <v>108</v>
      </c>
      <c r="J29" s="46" t="s">
        <v>263</v>
      </c>
      <c r="K29" s="46" t="s">
        <v>82</v>
      </c>
      <c r="L29" s="46" t="s">
        <v>262</v>
      </c>
      <c r="M29" s="46" t="s">
        <v>335</v>
      </c>
      <c r="N29" s="46" t="s">
        <v>336</v>
      </c>
      <c r="O29" s="46" t="s">
        <v>337</v>
      </c>
      <c r="P29" s="46" t="s">
        <v>338</v>
      </c>
    </row>
    <row r="30" spans="2:18" ht="18.75" thickBot="1">
      <c r="B30" s="44" t="s">
        <v>220</v>
      </c>
      <c r="C30" s="48" t="s">
        <v>240</v>
      </c>
      <c r="D30" s="46" t="s">
        <v>255</v>
      </c>
      <c r="E30" s="46" t="s">
        <v>254</v>
      </c>
      <c r="F30" s="46" t="s">
        <v>252</v>
      </c>
      <c r="G30" s="46" t="s">
        <v>339</v>
      </c>
      <c r="H30" s="46" t="s">
        <v>340</v>
      </c>
      <c r="I30" s="46" t="s">
        <v>244</v>
      </c>
      <c r="J30" s="46" t="s">
        <v>341</v>
      </c>
      <c r="K30" s="46" t="s">
        <v>342</v>
      </c>
      <c r="L30" s="46" t="s">
        <v>343</v>
      </c>
      <c r="M30" s="46" t="s">
        <v>344</v>
      </c>
      <c r="N30" s="46" t="s">
        <v>179</v>
      </c>
      <c r="O30" s="46" t="s">
        <v>345</v>
      </c>
      <c r="P30" s="46" t="s">
        <v>346</v>
      </c>
    </row>
    <row r="31" spans="2:18" ht="18.75" thickBot="1">
      <c r="B31" s="44" t="s">
        <v>217</v>
      </c>
      <c r="C31" s="48" t="s">
        <v>240</v>
      </c>
      <c r="D31" s="46" t="s">
        <v>99</v>
      </c>
      <c r="E31" s="46" t="s">
        <v>99</v>
      </c>
      <c r="F31" s="46" t="s">
        <v>99</v>
      </c>
      <c r="G31" s="46" t="s">
        <v>99</v>
      </c>
      <c r="H31" s="46" t="s">
        <v>99</v>
      </c>
      <c r="I31" s="46" t="s">
        <v>99</v>
      </c>
      <c r="J31" s="46" t="s">
        <v>263</v>
      </c>
      <c r="K31" s="46" t="s">
        <v>263</v>
      </c>
      <c r="L31" s="46" t="s">
        <v>108</v>
      </c>
      <c r="M31" s="46" t="s">
        <v>82</v>
      </c>
      <c r="N31" s="46" t="s">
        <v>80</v>
      </c>
      <c r="O31" s="46" t="s">
        <v>95</v>
      </c>
      <c r="P31" s="46" t="s">
        <v>97</v>
      </c>
    </row>
    <row r="32" spans="2:18" ht="18.75" thickBot="1">
      <c r="B32" s="44" t="s">
        <v>67</v>
      </c>
      <c r="C32" s="48" t="s">
        <v>240</v>
      </c>
      <c r="D32" s="46" t="s">
        <v>115</v>
      </c>
      <c r="E32" s="46" t="s">
        <v>115</v>
      </c>
      <c r="F32" s="46" t="s">
        <v>115</v>
      </c>
      <c r="G32" s="46" t="s">
        <v>115</v>
      </c>
      <c r="H32" s="46" t="s">
        <v>115</v>
      </c>
      <c r="I32" s="46" t="s">
        <v>115</v>
      </c>
      <c r="J32" s="46" t="s">
        <v>115</v>
      </c>
      <c r="K32" s="46" t="s">
        <v>94</v>
      </c>
      <c r="L32" s="46" t="s">
        <v>110</v>
      </c>
      <c r="M32" s="46" t="s">
        <v>99</v>
      </c>
      <c r="N32" s="46" t="s">
        <v>82</v>
      </c>
      <c r="O32" s="46" t="s">
        <v>96</v>
      </c>
      <c r="P32" s="46" t="s">
        <v>75</v>
      </c>
    </row>
    <row r="33" spans="2:16" ht="18.75" thickBot="1">
      <c r="B33" s="44" t="s">
        <v>256</v>
      </c>
      <c r="C33" s="48" t="s">
        <v>240</v>
      </c>
      <c r="D33" s="46" t="s">
        <v>198</v>
      </c>
      <c r="E33" s="46" t="s">
        <v>347</v>
      </c>
      <c r="F33" s="46" t="s">
        <v>157</v>
      </c>
      <c r="G33" s="46" t="s">
        <v>196</v>
      </c>
      <c r="H33" s="46" t="s">
        <v>213</v>
      </c>
      <c r="I33" s="46" t="s">
        <v>157</v>
      </c>
      <c r="J33" s="46" t="s">
        <v>177</v>
      </c>
      <c r="K33" s="46" t="s">
        <v>348</v>
      </c>
      <c r="L33" s="46" t="s">
        <v>349</v>
      </c>
      <c r="M33" s="46" t="s">
        <v>349</v>
      </c>
      <c r="N33" s="46" t="s">
        <v>178</v>
      </c>
      <c r="O33" s="46" t="s">
        <v>178</v>
      </c>
      <c r="P33" s="46" t="s">
        <v>349</v>
      </c>
    </row>
    <row r="34" spans="2:16" ht="18.75" thickBot="1">
      <c r="B34" s="44" t="s">
        <v>218</v>
      </c>
      <c r="C34" s="48" t="s">
        <v>240</v>
      </c>
      <c r="D34" s="46" t="s">
        <v>109</v>
      </c>
      <c r="E34" s="46" t="s">
        <v>109</v>
      </c>
      <c r="F34" s="46" t="s">
        <v>90</v>
      </c>
      <c r="G34" s="46" t="s">
        <v>90</v>
      </c>
      <c r="H34" s="46" t="s">
        <v>135</v>
      </c>
      <c r="I34" s="46" t="s">
        <v>130</v>
      </c>
      <c r="J34" s="46" t="s">
        <v>89</v>
      </c>
      <c r="K34" s="46" t="s">
        <v>87</v>
      </c>
      <c r="L34" s="46" t="s">
        <v>350</v>
      </c>
      <c r="M34" s="46" t="s">
        <v>194</v>
      </c>
      <c r="N34" s="46" t="s">
        <v>131</v>
      </c>
      <c r="O34" s="46" t="s">
        <v>127</v>
      </c>
      <c r="P34" s="46" t="s">
        <v>262</v>
      </c>
    </row>
    <row r="35" spans="2:16" ht="15.75" thickBot="1">
      <c r="B35" s="44" t="s">
        <v>37</v>
      </c>
      <c r="C35" s="48" t="s">
        <v>240</v>
      </c>
      <c r="D35" s="46" t="s">
        <v>262</v>
      </c>
      <c r="E35" s="46" t="s">
        <v>90</v>
      </c>
      <c r="F35" s="46" t="s">
        <v>130</v>
      </c>
      <c r="G35" s="46" t="s">
        <v>87</v>
      </c>
      <c r="H35" s="46" t="s">
        <v>350</v>
      </c>
      <c r="I35" s="46" t="s">
        <v>124</v>
      </c>
      <c r="J35" s="46" t="s">
        <v>351</v>
      </c>
      <c r="K35" s="46" t="s">
        <v>352</v>
      </c>
      <c r="L35" s="46" t="s">
        <v>289</v>
      </c>
      <c r="M35" s="46" t="s">
        <v>353</v>
      </c>
      <c r="N35" s="46" t="s">
        <v>354</v>
      </c>
      <c r="O35" s="46" t="s">
        <v>119</v>
      </c>
      <c r="P35" s="46" t="s">
        <v>355</v>
      </c>
    </row>
    <row r="36" spans="2:16" ht="18.75" thickBot="1">
      <c r="B36" s="44" t="s">
        <v>219</v>
      </c>
      <c r="C36" s="48" t="s">
        <v>240</v>
      </c>
      <c r="D36" s="46" t="s">
        <v>97</v>
      </c>
      <c r="E36" s="46" t="s">
        <v>97</v>
      </c>
      <c r="F36" s="46" t="s">
        <v>93</v>
      </c>
      <c r="G36" s="46" t="s">
        <v>241</v>
      </c>
      <c r="H36" s="46" t="s">
        <v>241</v>
      </c>
      <c r="I36" s="46" t="s">
        <v>97</v>
      </c>
      <c r="J36" s="46" t="s">
        <v>95</v>
      </c>
      <c r="K36" s="46" t="s">
        <v>81</v>
      </c>
      <c r="L36" s="46" t="s">
        <v>99</v>
      </c>
      <c r="M36" s="46" t="s">
        <v>111</v>
      </c>
      <c r="N36" s="46" t="s">
        <v>109</v>
      </c>
      <c r="O36" s="46" t="s">
        <v>90</v>
      </c>
      <c r="P36" s="46" t="s">
        <v>91</v>
      </c>
    </row>
    <row r="37" spans="2:16" ht="18.75" thickBot="1">
      <c r="B37" s="44" t="s">
        <v>264</v>
      </c>
      <c r="C37" s="48" t="s">
        <v>240</v>
      </c>
      <c r="D37" s="46" t="s">
        <v>271</v>
      </c>
      <c r="E37" s="46" t="s">
        <v>271</v>
      </c>
      <c r="F37" s="46" t="s">
        <v>201</v>
      </c>
      <c r="G37" s="46" t="s">
        <v>209</v>
      </c>
      <c r="H37" s="46" t="s">
        <v>267</v>
      </c>
      <c r="I37" s="46" t="s">
        <v>204</v>
      </c>
      <c r="J37" s="46" t="s">
        <v>356</v>
      </c>
      <c r="K37" s="46" t="s">
        <v>274</v>
      </c>
      <c r="L37" s="46" t="s">
        <v>357</v>
      </c>
      <c r="M37" s="46" t="s">
        <v>358</v>
      </c>
      <c r="N37" s="46" t="s">
        <v>359</v>
      </c>
      <c r="O37" s="46" t="s">
        <v>192</v>
      </c>
      <c r="P37" s="46" t="s">
        <v>198</v>
      </c>
    </row>
    <row r="38" spans="2:16" ht="27.75" thickBot="1">
      <c r="B38" s="44" t="s">
        <v>273</v>
      </c>
      <c r="C38" s="48" t="s">
        <v>240</v>
      </c>
      <c r="D38" s="46" t="s">
        <v>360</v>
      </c>
      <c r="E38" s="46" t="s">
        <v>361</v>
      </c>
      <c r="F38" s="46" t="s">
        <v>362</v>
      </c>
      <c r="G38" s="46" t="s">
        <v>363</v>
      </c>
      <c r="H38" s="46" t="s">
        <v>364</v>
      </c>
      <c r="I38" s="46" t="s">
        <v>365</v>
      </c>
      <c r="J38" s="46" t="s">
        <v>366</v>
      </c>
      <c r="K38" s="46" t="s">
        <v>367</v>
      </c>
      <c r="L38" s="46" t="s">
        <v>190</v>
      </c>
      <c r="M38" s="46" t="s">
        <v>191</v>
      </c>
      <c r="N38" s="46" t="s">
        <v>368</v>
      </c>
      <c r="O38" s="46" t="s">
        <v>369</v>
      </c>
      <c r="P38" s="46" t="s">
        <v>370</v>
      </c>
    </row>
    <row r="39" spans="2:16" ht="18.75" thickBot="1">
      <c r="B39" s="44" t="s">
        <v>276</v>
      </c>
      <c r="C39" s="48" t="s">
        <v>240</v>
      </c>
      <c r="D39" s="46" t="s">
        <v>160</v>
      </c>
      <c r="E39" s="46" t="s">
        <v>160</v>
      </c>
      <c r="F39" s="46" t="s">
        <v>160</v>
      </c>
      <c r="G39" s="46" t="s">
        <v>160</v>
      </c>
      <c r="H39" s="46" t="s">
        <v>160</v>
      </c>
      <c r="I39" s="46" t="s">
        <v>160</v>
      </c>
      <c r="J39" s="46" t="s">
        <v>160</v>
      </c>
      <c r="K39" s="46" t="s">
        <v>160</v>
      </c>
      <c r="L39" s="46" t="s">
        <v>160</v>
      </c>
      <c r="M39" s="46" t="s">
        <v>160</v>
      </c>
      <c r="N39" s="46" t="s">
        <v>160</v>
      </c>
      <c r="O39" s="46" t="s">
        <v>160</v>
      </c>
      <c r="P39" s="46" t="s">
        <v>160</v>
      </c>
    </row>
    <row r="40" spans="2:16" ht="18.75" thickBot="1">
      <c r="B40" s="44" t="s">
        <v>277</v>
      </c>
      <c r="C40" s="48" t="s">
        <v>240</v>
      </c>
      <c r="D40" s="46" t="s">
        <v>92</v>
      </c>
      <c r="E40" s="46" t="s">
        <v>100</v>
      </c>
      <c r="F40" s="46" t="s">
        <v>107</v>
      </c>
      <c r="G40" s="46" t="s">
        <v>91</v>
      </c>
      <c r="H40" s="46" t="s">
        <v>135</v>
      </c>
      <c r="I40" s="46" t="s">
        <v>371</v>
      </c>
      <c r="J40" s="46" t="s">
        <v>372</v>
      </c>
      <c r="K40" s="46" t="s">
        <v>373</v>
      </c>
      <c r="L40" s="46" t="s">
        <v>212</v>
      </c>
      <c r="M40" s="46" t="s">
        <v>155</v>
      </c>
      <c r="N40" s="46" t="s">
        <v>374</v>
      </c>
      <c r="O40" s="46" t="s">
        <v>171</v>
      </c>
      <c r="P40" s="46" t="s">
        <v>345</v>
      </c>
    </row>
    <row r="41" spans="2:16" ht="15.75" thickBot="1">
      <c r="B41" s="44" t="s">
        <v>279</v>
      </c>
      <c r="C41" s="48" t="s">
        <v>240</v>
      </c>
      <c r="D41" s="46" t="s">
        <v>280</v>
      </c>
      <c r="E41" s="46" t="s">
        <v>280</v>
      </c>
      <c r="F41" s="46" t="s">
        <v>280</v>
      </c>
      <c r="G41" s="46" t="s">
        <v>280</v>
      </c>
      <c r="H41" s="46" t="s">
        <v>280</v>
      </c>
      <c r="I41" s="46" t="s">
        <v>280</v>
      </c>
      <c r="J41" s="46" t="s">
        <v>280</v>
      </c>
      <c r="K41" s="46" t="s">
        <v>280</v>
      </c>
      <c r="L41" s="46" t="s">
        <v>280</v>
      </c>
      <c r="M41" s="46" t="s">
        <v>280</v>
      </c>
      <c r="N41" s="46" t="s">
        <v>280</v>
      </c>
      <c r="O41" s="46" t="s">
        <v>280</v>
      </c>
      <c r="P41" s="46" t="s">
        <v>280</v>
      </c>
    </row>
    <row r="42" spans="2:16" ht="18.75" thickBot="1">
      <c r="B42" s="44" t="s">
        <v>43</v>
      </c>
      <c r="C42" s="48" t="s">
        <v>240</v>
      </c>
      <c r="D42" s="46" t="s">
        <v>281</v>
      </c>
      <c r="E42" s="46" t="s">
        <v>281</v>
      </c>
      <c r="F42" s="46" t="s">
        <v>281</v>
      </c>
      <c r="G42" s="46" t="s">
        <v>281</v>
      </c>
      <c r="H42" s="46" t="s">
        <v>281</v>
      </c>
      <c r="I42" s="46" t="s">
        <v>281</v>
      </c>
      <c r="J42" s="46" t="s">
        <v>281</v>
      </c>
      <c r="K42" s="46" t="s">
        <v>281</v>
      </c>
      <c r="L42" s="46" t="s">
        <v>281</v>
      </c>
      <c r="M42" s="46" t="s">
        <v>281</v>
      </c>
      <c r="N42" s="46" t="s">
        <v>281</v>
      </c>
      <c r="O42" s="46" t="s">
        <v>281</v>
      </c>
      <c r="P42" s="46" t="s">
        <v>281</v>
      </c>
    </row>
    <row r="43" spans="2:16" ht="15.75" thickBot="1">
      <c r="B43" s="44" t="s">
        <v>222</v>
      </c>
      <c r="C43" s="48" t="s">
        <v>240</v>
      </c>
      <c r="D43" s="46" t="s">
        <v>170</v>
      </c>
      <c r="E43" s="46" t="s">
        <v>113</v>
      </c>
      <c r="F43" s="46" t="s">
        <v>347</v>
      </c>
      <c r="G43" s="46" t="s">
        <v>169</v>
      </c>
      <c r="H43" s="46" t="s">
        <v>375</v>
      </c>
      <c r="I43" s="46" t="s">
        <v>125</v>
      </c>
      <c r="J43" s="46" t="s">
        <v>161</v>
      </c>
      <c r="K43" s="46" t="s">
        <v>376</v>
      </c>
      <c r="L43" s="46" t="s">
        <v>377</v>
      </c>
      <c r="M43" s="46" t="s">
        <v>378</v>
      </c>
      <c r="N43" s="46" t="s">
        <v>379</v>
      </c>
      <c r="O43" s="46" t="s">
        <v>380</v>
      </c>
      <c r="P43" s="46" t="s">
        <v>381</v>
      </c>
    </row>
    <row r="44" spans="2:16" ht="15.75" thickBot="1">
      <c r="B44" s="44" t="s">
        <v>291</v>
      </c>
      <c r="C44" s="48" t="s">
        <v>240</v>
      </c>
      <c r="D44" s="46" t="s">
        <v>382</v>
      </c>
      <c r="E44" s="46" t="s">
        <v>383</v>
      </c>
      <c r="F44" s="46" t="s">
        <v>384</v>
      </c>
      <c r="G44" s="46" t="s">
        <v>385</v>
      </c>
      <c r="H44" s="46" t="s">
        <v>386</v>
      </c>
      <c r="I44" s="46" t="s">
        <v>387</v>
      </c>
      <c r="J44" s="46" t="s">
        <v>388</v>
      </c>
      <c r="K44" s="46" t="s">
        <v>389</v>
      </c>
      <c r="L44" s="46" t="s">
        <v>390</v>
      </c>
      <c r="M44" s="46" t="s">
        <v>391</v>
      </c>
      <c r="N44" s="46" t="s">
        <v>392</v>
      </c>
      <c r="O44" s="46" t="s">
        <v>393</v>
      </c>
      <c r="P44" s="46" t="s">
        <v>394</v>
      </c>
    </row>
    <row r="45" spans="2:16" ht="27.75" thickBot="1">
      <c r="B45" s="44" t="s">
        <v>305</v>
      </c>
      <c r="C45" s="48" t="s">
        <v>59</v>
      </c>
      <c r="D45" s="46">
        <v>48819</v>
      </c>
      <c r="E45" s="46">
        <v>50386</v>
      </c>
      <c r="F45" s="46">
        <v>117676</v>
      </c>
      <c r="G45" s="46">
        <v>46051</v>
      </c>
      <c r="H45" s="46">
        <v>42169</v>
      </c>
      <c r="I45" s="46">
        <v>26405</v>
      </c>
      <c r="J45" s="46">
        <v>6019</v>
      </c>
      <c r="K45" s="46">
        <v>570</v>
      </c>
      <c r="L45" s="46">
        <v>70</v>
      </c>
      <c r="M45" s="46">
        <v>825</v>
      </c>
      <c r="N45" s="46">
        <v>247</v>
      </c>
      <c r="O45" s="46">
        <v>7</v>
      </c>
      <c r="P45" s="46">
        <v>8</v>
      </c>
    </row>
    <row r="46" spans="2:16" ht="15.75" thickBot="1">
      <c r="B46" s="44" t="s">
        <v>307</v>
      </c>
      <c r="C46" s="48" t="s">
        <v>59</v>
      </c>
      <c r="D46" s="46" t="s">
        <v>116</v>
      </c>
      <c r="E46" s="46" t="s">
        <v>116</v>
      </c>
      <c r="F46" s="46" t="s">
        <v>116</v>
      </c>
      <c r="G46" s="46" t="s">
        <v>116</v>
      </c>
      <c r="H46" s="46" t="s">
        <v>116</v>
      </c>
      <c r="I46" s="46" t="s">
        <v>116</v>
      </c>
      <c r="J46" s="46" t="s">
        <v>116</v>
      </c>
      <c r="K46" s="46" t="s">
        <v>116</v>
      </c>
      <c r="L46" s="46" t="s">
        <v>395</v>
      </c>
      <c r="M46" s="46" t="s">
        <v>116</v>
      </c>
      <c r="N46" s="46" t="s">
        <v>309</v>
      </c>
      <c r="O46" s="46" t="s">
        <v>396</v>
      </c>
      <c r="P46" s="46" t="s">
        <v>259</v>
      </c>
    </row>
    <row r="47" spans="2:16" ht="15.75" thickBot="1">
      <c r="B47" s="44" t="s">
        <v>310</v>
      </c>
      <c r="C47" s="48" t="s">
        <v>63</v>
      </c>
      <c r="D47" s="46" t="s">
        <v>314</v>
      </c>
      <c r="E47" s="46" t="s">
        <v>314</v>
      </c>
      <c r="F47" s="46" t="s">
        <v>314</v>
      </c>
      <c r="G47" s="46" t="s">
        <v>314</v>
      </c>
      <c r="H47" s="46" t="s">
        <v>314</v>
      </c>
      <c r="I47" s="46" t="s">
        <v>314</v>
      </c>
      <c r="J47" s="46" t="s">
        <v>397</v>
      </c>
      <c r="K47" s="46" t="s">
        <v>314</v>
      </c>
      <c r="L47" s="46" t="s">
        <v>313</v>
      </c>
      <c r="M47" s="46" t="s">
        <v>397</v>
      </c>
      <c r="N47" s="46" t="s">
        <v>314</v>
      </c>
      <c r="O47" s="46" t="s">
        <v>398</v>
      </c>
      <c r="P47" s="46" t="s">
        <v>399</v>
      </c>
    </row>
    <row r="48" spans="2:16" ht="15.75" thickBot="1">
      <c r="B48" s="44" t="s">
        <v>315</v>
      </c>
      <c r="C48" s="48" t="s">
        <v>63</v>
      </c>
      <c r="D48" s="46" t="s">
        <v>96</v>
      </c>
      <c r="E48" s="46" t="s">
        <v>96</v>
      </c>
      <c r="F48" s="46" t="s">
        <v>96</v>
      </c>
      <c r="G48" s="46" t="s">
        <v>96</v>
      </c>
      <c r="H48" s="46" t="s">
        <v>96</v>
      </c>
      <c r="I48" s="46" t="s">
        <v>96</v>
      </c>
      <c r="J48" s="46" t="s">
        <v>96</v>
      </c>
      <c r="K48" s="46" t="s">
        <v>96</v>
      </c>
      <c r="L48" s="46" t="s">
        <v>96</v>
      </c>
      <c r="M48" s="46" t="s">
        <v>96</v>
      </c>
      <c r="N48" s="46" t="s">
        <v>96</v>
      </c>
      <c r="O48" s="46" t="s">
        <v>75</v>
      </c>
      <c r="P48" s="46" t="s">
        <v>80</v>
      </c>
    </row>
    <row r="49" spans="2:18">
      <c r="B49" s="49"/>
    </row>
    <row r="51" spans="2:18">
      <c r="B51" s="38"/>
    </row>
    <row r="52" spans="2:18" ht="15.75" thickBot="1">
      <c r="B52" s="38" t="s">
        <v>581</v>
      </c>
    </row>
    <row r="53" spans="2:18" ht="15.75" thickBot="1">
      <c r="B53" s="41" t="s">
        <v>44</v>
      </c>
      <c r="C53" s="42" t="s">
        <v>69</v>
      </c>
      <c r="D53" s="43" t="s">
        <v>224</v>
      </c>
      <c r="E53" s="43" t="s">
        <v>225</v>
      </c>
      <c r="F53" s="43" t="s">
        <v>226</v>
      </c>
      <c r="G53" s="43" t="s">
        <v>227</v>
      </c>
      <c r="H53" s="43" t="s">
        <v>228</v>
      </c>
      <c r="I53" s="43" t="s">
        <v>229</v>
      </c>
      <c r="J53" s="43" t="s">
        <v>230</v>
      </c>
      <c r="K53" s="43" t="s">
        <v>231</v>
      </c>
      <c r="L53" s="43" t="s">
        <v>232</v>
      </c>
      <c r="M53" s="43" t="s">
        <v>233</v>
      </c>
      <c r="N53" s="43" t="s">
        <v>234</v>
      </c>
      <c r="O53" s="43" t="s">
        <v>235</v>
      </c>
      <c r="P53" s="43" t="s">
        <v>236</v>
      </c>
      <c r="Q53" s="43" t="s">
        <v>237</v>
      </c>
      <c r="R53" s="43" t="s">
        <v>238</v>
      </c>
    </row>
    <row r="54" spans="2:18" ht="15.75" thickBot="1">
      <c r="B54" s="44" t="s">
        <v>239</v>
      </c>
      <c r="C54" s="45" t="s">
        <v>240</v>
      </c>
      <c r="D54" s="46" t="s">
        <v>241</v>
      </c>
      <c r="E54" s="46" t="s">
        <v>241</v>
      </c>
      <c r="F54" s="46" t="s">
        <v>241</v>
      </c>
      <c r="G54" s="46" t="s">
        <v>241</v>
      </c>
      <c r="H54" s="46" t="s">
        <v>241</v>
      </c>
      <c r="I54" s="46" t="s">
        <v>241</v>
      </c>
      <c r="J54" s="46" t="s">
        <v>241</v>
      </c>
      <c r="K54" s="46" t="s">
        <v>241</v>
      </c>
      <c r="L54" s="46" t="s">
        <v>241</v>
      </c>
      <c r="M54" s="46" t="s">
        <v>241</v>
      </c>
      <c r="N54" s="46" t="s">
        <v>241</v>
      </c>
      <c r="O54" s="46" t="s">
        <v>93</v>
      </c>
      <c r="P54" s="46" t="s">
        <v>93</v>
      </c>
      <c r="Q54" s="46" t="s">
        <v>97</v>
      </c>
      <c r="R54" s="46" t="s">
        <v>95</v>
      </c>
    </row>
    <row r="55" spans="2:18" ht="18.75" thickBot="1">
      <c r="B55" s="44" t="s">
        <v>221</v>
      </c>
      <c r="C55" s="45" t="s">
        <v>240</v>
      </c>
      <c r="D55" s="46" t="s">
        <v>241</v>
      </c>
      <c r="E55" s="46" t="s">
        <v>241</v>
      </c>
      <c r="F55" s="46" t="s">
        <v>241</v>
      </c>
      <c r="G55" s="46" t="s">
        <v>241</v>
      </c>
      <c r="H55" s="46" t="s">
        <v>241</v>
      </c>
      <c r="I55" s="46" t="s">
        <v>241</v>
      </c>
      <c r="J55" s="46" t="s">
        <v>241</v>
      </c>
      <c r="K55" s="46" t="s">
        <v>241</v>
      </c>
      <c r="L55" s="46" t="s">
        <v>241</v>
      </c>
      <c r="M55" s="46" t="s">
        <v>241</v>
      </c>
      <c r="N55" s="46" t="s">
        <v>241</v>
      </c>
      <c r="O55" s="46" t="s">
        <v>241</v>
      </c>
      <c r="P55" s="46" t="s">
        <v>93</v>
      </c>
      <c r="Q55" s="46" t="s">
        <v>93</v>
      </c>
      <c r="R55" s="46" t="s">
        <v>93</v>
      </c>
    </row>
    <row r="56" spans="2:18" ht="18.75" thickBot="1">
      <c r="B56" s="44" t="s">
        <v>220</v>
      </c>
      <c r="C56" s="45" t="s">
        <v>240</v>
      </c>
      <c r="D56" s="46" t="s">
        <v>582</v>
      </c>
      <c r="E56" s="46" t="s">
        <v>583</v>
      </c>
      <c r="F56" s="46" t="s">
        <v>584</v>
      </c>
      <c r="G56" s="46" t="s">
        <v>585</v>
      </c>
      <c r="H56" s="46" t="s">
        <v>586</v>
      </c>
      <c r="I56" s="46" t="s">
        <v>587</v>
      </c>
      <c r="J56" s="46" t="s">
        <v>588</v>
      </c>
      <c r="K56" s="46" t="s">
        <v>589</v>
      </c>
      <c r="L56" s="46" t="s">
        <v>590</v>
      </c>
      <c r="M56" s="46" t="s">
        <v>591</v>
      </c>
      <c r="N56" s="46" t="s">
        <v>592</v>
      </c>
      <c r="O56" s="46" t="s">
        <v>593</v>
      </c>
      <c r="P56" s="46" t="s">
        <v>594</v>
      </c>
      <c r="Q56" s="46" t="s">
        <v>595</v>
      </c>
      <c r="R56" s="46" t="s">
        <v>595</v>
      </c>
    </row>
    <row r="57" spans="2:18" ht="18.75" thickBot="1">
      <c r="B57" s="44" t="s">
        <v>217</v>
      </c>
      <c r="C57" s="45" t="s">
        <v>240</v>
      </c>
      <c r="D57" s="46" t="s">
        <v>263</v>
      </c>
      <c r="E57" s="46" t="s">
        <v>263</v>
      </c>
      <c r="F57" s="46" t="s">
        <v>263</v>
      </c>
      <c r="G57" s="46" t="s">
        <v>263</v>
      </c>
      <c r="H57" s="46" t="s">
        <v>263</v>
      </c>
      <c r="I57" s="46" t="s">
        <v>263</v>
      </c>
      <c r="J57" s="46" t="s">
        <v>263</v>
      </c>
      <c r="K57" s="46" t="s">
        <v>263</v>
      </c>
      <c r="L57" s="46" t="s">
        <v>263</v>
      </c>
      <c r="M57" s="46" t="s">
        <v>263</v>
      </c>
      <c r="N57" s="46" t="s">
        <v>263</v>
      </c>
      <c r="O57" s="46" t="s">
        <v>263</v>
      </c>
      <c r="P57" s="46" t="s">
        <v>263</v>
      </c>
      <c r="Q57" s="46" t="s">
        <v>263</v>
      </c>
      <c r="R57" s="46" t="s">
        <v>263</v>
      </c>
    </row>
    <row r="58" spans="2:18" ht="18.75" thickBot="1">
      <c r="B58" s="44" t="s">
        <v>67</v>
      </c>
      <c r="C58" s="45" t="s">
        <v>240</v>
      </c>
      <c r="D58" s="46" t="s">
        <v>94</v>
      </c>
      <c r="E58" s="46" t="s">
        <v>94</v>
      </c>
      <c r="F58" s="46" t="s">
        <v>94</v>
      </c>
      <c r="G58" s="46" t="s">
        <v>94</v>
      </c>
      <c r="H58" s="46" t="s">
        <v>94</v>
      </c>
      <c r="I58" s="46" t="s">
        <v>94</v>
      </c>
      <c r="J58" s="46" t="s">
        <v>94</v>
      </c>
      <c r="K58" s="46" t="s">
        <v>94</v>
      </c>
      <c r="L58" s="46" t="s">
        <v>94</v>
      </c>
      <c r="M58" s="46" t="s">
        <v>94</v>
      </c>
      <c r="N58" s="46" t="s">
        <v>94</v>
      </c>
      <c r="O58" s="46" t="s">
        <v>94</v>
      </c>
      <c r="P58" s="46" t="s">
        <v>94</v>
      </c>
      <c r="Q58" s="46" t="s">
        <v>94</v>
      </c>
      <c r="R58" s="46" t="s">
        <v>94</v>
      </c>
    </row>
    <row r="59" spans="2:18" ht="18.75" thickBot="1">
      <c r="B59" s="44" t="s">
        <v>256</v>
      </c>
      <c r="C59" s="45" t="s">
        <v>240</v>
      </c>
      <c r="D59" s="46" t="s">
        <v>120</v>
      </c>
      <c r="E59" s="46" t="s">
        <v>120</v>
      </c>
      <c r="F59" s="46" t="s">
        <v>120</v>
      </c>
      <c r="G59" s="46" t="s">
        <v>120</v>
      </c>
      <c r="H59" s="46" t="s">
        <v>120</v>
      </c>
      <c r="I59" s="46" t="s">
        <v>120</v>
      </c>
      <c r="J59" s="46" t="s">
        <v>257</v>
      </c>
      <c r="K59" s="46" t="s">
        <v>258</v>
      </c>
      <c r="L59" s="46" t="s">
        <v>120</v>
      </c>
      <c r="M59" s="46" t="s">
        <v>189</v>
      </c>
      <c r="N59" s="46" t="s">
        <v>158</v>
      </c>
      <c r="O59" s="46" t="s">
        <v>260</v>
      </c>
      <c r="P59" s="46" t="s">
        <v>148</v>
      </c>
      <c r="Q59" s="46" t="s">
        <v>261</v>
      </c>
      <c r="R59" s="46" t="s">
        <v>157</v>
      </c>
    </row>
    <row r="60" spans="2:18" ht="18.75" thickBot="1">
      <c r="B60" s="44" t="s">
        <v>218</v>
      </c>
      <c r="C60" s="45" t="s">
        <v>240</v>
      </c>
      <c r="D60" s="46" t="s">
        <v>135</v>
      </c>
      <c r="E60" s="46" t="s">
        <v>135</v>
      </c>
      <c r="F60" s="46" t="s">
        <v>90</v>
      </c>
      <c r="G60" s="46" t="s">
        <v>90</v>
      </c>
      <c r="H60" s="46" t="s">
        <v>90</v>
      </c>
      <c r="I60" s="46" t="s">
        <v>90</v>
      </c>
      <c r="J60" s="46" t="s">
        <v>90</v>
      </c>
      <c r="K60" s="46" t="s">
        <v>90</v>
      </c>
      <c r="L60" s="46" t="s">
        <v>90</v>
      </c>
      <c r="M60" s="46" t="s">
        <v>90</v>
      </c>
      <c r="N60" s="46" t="s">
        <v>90</v>
      </c>
      <c r="O60" s="46" t="s">
        <v>90</v>
      </c>
      <c r="P60" s="46" t="s">
        <v>90</v>
      </c>
      <c r="Q60" s="46" t="s">
        <v>90</v>
      </c>
      <c r="R60" s="46" t="s">
        <v>90</v>
      </c>
    </row>
    <row r="61" spans="2:18" ht="15.75" thickBot="1">
      <c r="B61" s="44" t="s">
        <v>37</v>
      </c>
      <c r="C61" s="45" t="s">
        <v>240</v>
      </c>
      <c r="D61" s="46" t="s">
        <v>135</v>
      </c>
      <c r="E61" s="46" t="s">
        <v>90</v>
      </c>
      <c r="F61" s="46" t="s">
        <v>109</v>
      </c>
      <c r="G61" s="46" t="s">
        <v>109</v>
      </c>
      <c r="H61" s="46" t="s">
        <v>262</v>
      </c>
      <c r="I61" s="46" t="s">
        <v>262</v>
      </c>
      <c r="J61" s="46" t="s">
        <v>129</v>
      </c>
      <c r="K61" s="46" t="s">
        <v>129</v>
      </c>
      <c r="L61" s="46" t="s">
        <v>133</v>
      </c>
      <c r="M61" s="46" t="s">
        <v>133</v>
      </c>
      <c r="N61" s="46" t="s">
        <v>133</v>
      </c>
      <c r="O61" s="46" t="s">
        <v>133</v>
      </c>
      <c r="P61" s="46" t="s">
        <v>133</v>
      </c>
      <c r="Q61" s="46" t="s">
        <v>133</v>
      </c>
      <c r="R61" s="46" t="s">
        <v>129</v>
      </c>
    </row>
    <row r="62" spans="2:18" ht="18.75" thickBot="1">
      <c r="B62" s="44" t="s">
        <v>219</v>
      </c>
      <c r="C62" s="45" t="s">
        <v>240</v>
      </c>
      <c r="D62" s="46" t="s">
        <v>98</v>
      </c>
      <c r="E62" s="46" t="s">
        <v>99</v>
      </c>
      <c r="F62" s="46" t="s">
        <v>108</v>
      </c>
      <c r="G62" s="46" t="s">
        <v>82</v>
      </c>
      <c r="H62" s="46" t="s">
        <v>81</v>
      </c>
      <c r="I62" s="46" t="s">
        <v>81</v>
      </c>
      <c r="J62" s="46" t="s">
        <v>80</v>
      </c>
      <c r="K62" s="46" t="s">
        <v>75</v>
      </c>
      <c r="L62" s="46" t="s">
        <v>75</v>
      </c>
      <c r="M62" s="46" t="s">
        <v>95</v>
      </c>
      <c r="N62" s="46" t="s">
        <v>95</v>
      </c>
      <c r="O62" s="46" t="s">
        <v>96</v>
      </c>
      <c r="P62" s="46" t="s">
        <v>96</v>
      </c>
      <c r="Q62" s="46" t="s">
        <v>96</v>
      </c>
      <c r="R62" s="46" t="s">
        <v>97</v>
      </c>
    </row>
    <row r="63" spans="2:18" ht="18.75" thickBot="1">
      <c r="B63" s="44" t="s">
        <v>264</v>
      </c>
      <c r="C63" s="45" t="s">
        <v>240</v>
      </c>
      <c r="D63" s="46" t="s">
        <v>596</v>
      </c>
      <c r="E63" s="46" t="s">
        <v>597</v>
      </c>
      <c r="F63" s="46" t="s">
        <v>598</v>
      </c>
      <c r="G63" s="46" t="s">
        <v>363</v>
      </c>
      <c r="H63" s="46" t="s">
        <v>599</v>
      </c>
      <c r="I63" s="46" t="s">
        <v>600</v>
      </c>
      <c r="J63" s="46" t="s">
        <v>601</v>
      </c>
      <c r="K63" s="46" t="s">
        <v>362</v>
      </c>
      <c r="L63" s="46" t="s">
        <v>602</v>
      </c>
      <c r="M63" s="46" t="s">
        <v>603</v>
      </c>
      <c r="N63" s="46" t="s">
        <v>603</v>
      </c>
      <c r="O63" s="46" t="s">
        <v>361</v>
      </c>
      <c r="P63" s="46" t="s">
        <v>361</v>
      </c>
      <c r="Q63" s="46" t="s">
        <v>361</v>
      </c>
      <c r="R63" s="46" t="s">
        <v>361</v>
      </c>
    </row>
    <row r="64" spans="2:18" ht="27.75" thickBot="1">
      <c r="B64" s="44" t="s">
        <v>273</v>
      </c>
      <c r="C64" s="45" t="s">
        <v>240</v>
      </c>
      <c r="D64" s="46" t="s">
        <v>274</v>
      </c>
      <c r="E64" s="46" t="s">
        <v>274</v>
      </c>
      <c r="F64" s="46" t="s">
        <v>274</v>
      </c>
      <c r="G64" s="46" t="s">
        <v>274</v>
      </c>
      <c r="H64" s="46" t="s">
        <v>274</v>
      </c>
      <c r="I64" s="46" t="s">
        <v>274</v>
      </c>
      <c r="J64" s="46" t="s">
        <v>274</v>
      </c>
      <c r="K64" s="46" t="s">
        <v>274</v>
      </c>
      <c r="L64" s="46" t="s">
        <v>275</v>
      </c>
      <c r="M64" s="46" t="s">
        <v>275</v>
      </c>
      <c r="N64" s="46" t="s">
        <v>275</v>
      </c>
      <c r="O64" s="46" t="s">
        <v>275</v>
      </c>
      <c r="P64" s="46" t="s">
        <v>275</v>
      </c>
      <c r="Q64" s="46" t="s">
        <v>274</v>
      </c>
      <c r="R64" s="46" t="s">
        <v>274</v>
      </c>
    </row>
    <row r="65" spans="2:18" ht="18.75" thickBot="1">
      <c r="B65" s="44" t="s">
        <v>276</v>
      </c>
      <c r="C65" s="45" t="s">
        <v>240</v>
      </c>
      <c r="D65" s="46" t="s">
        <v>160</v>
      </c>
      <c r="E65" s="46" t="s">
        <v>160</v>
      </c>
      <c r="F65" s="46" t="s">
        <v>160</v>
      </c>
      <c r="G65" s="46" t="s">
        <v>160</v>
      </c>
      <c r="H65" s="46" t="s">
        <v>160</v>
      </c>
      <c r="I65" s="46" t="s">
        <v>160</v>
      </c>
      <c r="J65" s="46" t="s">
        <v>160</v>
      </c>
      <c r="K65" s="46" t="s">
        <v>160</v>
      </c>
      <c r="L65" s="46" t="s">
        <v>160</v>
      </c>
      <c r="M65" s="46" t="s">
        <v>160</v>
      </c>
      <c r="N65" s="46" t="s">
        <v>160</v>
      </c>
      <c r="O65" s="46" t="s">
        <v>160</v>
      </c>
      <c r="P65" s="46" t="s">
        <v>160</v>
      </c>
      <c r="Q65" s="46" t="s">
        <v>160</v>
      </c>
      <c r="R65" s="46" t="s">
        <v>160</v>
      </c>
    </row>
    <row r="66" spans="2:18" ht="18.75" thickBot="1">
      <c r="B66" s="44" t="s">
        <v>277</v>
      </c>
      <c r="C66" s="45" t="s">
        <v>240</v>
      </c>
      <c r="D66" s="46" t="s">
        <v>124</v>
      </c>
      <c r="E66" s="46" t="s">
        <v>109</v>
      </c>
      <c r="F66" s="46" t="s">
        <v>106</v>
      </c>
      <c r="G66" s="46" t="s">
        <v>105</v>
      </c>
      <c r="H66" s="46" t="s">
        <v>88</v>
      </c>
      <c r="I66" s="46" t="s">
        <v>278</v>
      </c>
      <c r="J66" s="46" t="s">
        <v>101</v>
      </c>
      <c r="K66" s="46" t="s">
        <v>119</v>
      </c>
      <c r="L66" s="46" t="s">
        <v>103</v>
      </c>
      <c r="M66" s="46" t="s">
        <v>92</v>
      </c>
      <c r="N66" s="46" t="s">
        <v>104</v>
      </c>
      <c r="O66" s="46" t="s">
        <v>84</v>
      </c>
      <c r="P66" s="46" t="s">
        <v>110</v>
      </c>
      <c r="Q66" s="46" t="s">
        <v>110</v>
      </c>
      <c r="R66" s="46" t="s">
        <v>115</v>
      </c>
    </row>
    <row r="67" spans="2:18" ht="15.75" thickBot="1">
      <c r="B67" s="44" t="s">
        <v>279</v>
      </c>
      <c r="C67" s="45" t="s">
        <v>240</v>
      </c>
      <c r="D67" s="46" t="s">
        <v>280</v>
      </c>
      <c r="E67" s="46" t="s">
        <v>280</v>
      </c>
      <c r="F67" s="46" t="s">
        <v>280</v>
      </c>
      <c r="G67" s="46" t="s">
        <v>280</v>
      </c>
      <c r="H67" s="46" t="s">
        <v>280</v>
      </c>
      <c r="I67" s="46" t="s">
        <v>280</v>
      </c>
      <c r="J67" s="46" t="s">
        <v>280</v>
      </c>
      <c r="K67" s="46" t="s">
        <v>280</v>
      </c>
      <c r="L67" s="46" t="s">
        <v>280</v>
      </c>
      <c r="M67" s="46" t="s">
        <v>280</v>
      </c>
      <c r="N67" s="46" t="s">
        <v>280</v>
      </c>
      <c r="O67" s="46" t="s">
        <v>280</v>
      </c>
      <c r="P67" s="46" t="s">
        <v>280</v>
      </c>
      <c r="Q67" s="46" t="s">
        <v>280</v>
      </c>
      <c r="R67" s="46" t="s">
        <v>280</v>
      </c>
    </row>
    <row r="68" spans="2:18" ht="18.75" thickBot="1">
      <c r="B68" s="44" t="s">
        <v>43</v>
      </c>
      <c r="C68" s="45" t="s">
        <v>240</v>
      </c>
      <c r="D68" s="46" t="s">
        <v>281</v>
      </c>
      <c r="E68" s="46" t="s">
        <v>281</v>
      </c>
      <c r="F68" s="46" t="s">
        <v>281</v>
      </c>
      <c r="G68" s="46" t="s">
        <v>281</v>
      </c>
      <c r="H68" s="46" t="s">
        <v>281</v>
      </c>
      <c r="I68" s="46" t="s">
        <v>281</v>
      </c>
      <c r="J68" s="46" t="s">
        <v>281</v>
      </c>
      <c r="K68" s="46" t="s">
        <v>281</v>
      </c>
      <c r="L68" s="46" t="s">
        <v>281</v>
      </c>
      <c r="M68" s="46" t="s">
        <v>281</v>
      </c>
      <c r="N68" s="46" t="s">
        <v>281</v>
      </c>
      <c r="O68" s="46" t="s">
        <v>281</v>
      </c>
      <c r="P68" s="46" t="s">
        <v>281</v>
      </c>
      <c r="Q68" s="46" t="s">
        <v>281</v>
      </c>
      <c r="R68" s="46" t="s">
        <v>281</v>
      </c>
    </row>
    <row r="69" spans="2:18" ht="15.75" thickBot="1">
      <c r="B69" s="44" t="s">
        <v>222</v>
      </c>
      <c r="C69" s="45" t="s">
        <v>240</v>
      </c>
      <c r="D69" s="46" t="s">
        <v>168</v>
      </c>
      <c r="E69" s="46" t="s">
        <v>149</v>
      </c>
      <c r="F69" s="46" t="s">
        <v>374</v>
      </c>
      <c r="G69" s="46" t="s">
        <v>375</v>
      </c>
      <c r="H69" s="46" t="s">
        <v>375</v>
      </c>
      <c r="I69" s="46" t="s">
        <v>604</v>
      </c>
      <c r="J69" s="46" t="s">
        <v>604</v>
      </c>
      <c r="K69" s="46" t="s">
        <v>605</v>
      </c>
      <c r="L69" s="46" t="s">
        <v>606</v>
      </c>
      <c r="M69" s="46" t="s">
        <v>607</v>
      </c>
      <c r="N69" s="46" t="s">
        <v>157</v>
      </c>
      <c r="O69" s="46" t="s">
        <v>196</v>
      </c>
      <c r="P69" s="46" t="s">
        <v>346</v>
      </c>
      <c r="Q69" s="46" t="s">
        <v>347</v>
      </c>
      <c r="R69" s="46" t="s">
        <v>134</v>
      </c>
    </row>
    <row r="70" spans="2:18" ht="15.75" thickBot="1">
      <c r="B70" s="44" t="s">
        <v>291</v>
      </c>
      <c r="C70" s="45" t="s">
        <v>240</v>
      </c>
      <c r="D70" s="46" t="s">
        <v>608</v>
      </c>
      <c r="E70" s="46" t="s">
        <v>608</v>
      </c>
      <c r="F70" s="46" t="s">
        <v>609</v>
      </c>
      <c r="G70" s="46" t="s">
        <v>610</v>
      </c>
      <c r="H70" s="46" t="s">
        <v>611</v>
      </c>
      <c r="I70" s="46" t="s">
        <v>612</v>
      </c>
      <c r="J70" s="46" t="s">
        <v>186</v>
      </c>
      <c r="K70" s="46" t="s">
        <v>388</v>
      </c>
      <c r="L70" s="46" t="s">
        <v>613</v>
      </c>
      <c r="M70" s="46" t="s">
        <v>186</v>
      </c>
      <c r="N70" s="46" t="s">
        <v>614</v>
      </c>
      <c r="O70" s="46" t="s">
        <v>615</v>
      </c>
      <c r="P70" s="46" t="s">
        <v>616</v>
      </c>
      <c r="Q70" s="46" t="s">
        <v>617</v>
      </c>
      <c r="R70" s="46" t="s">
        <v>173</v>
      </c>
    </row>
    <row r="71" spans="2:18" ht="27.75" thickBot="1">
      <c r="B71" s="44" t="s">
        <v>305</v>
      </c>
      <c r="C71" s="39"/>
      <c r="D71" s="46" t="s">
        <v>306</v>
      </c>
      <c r="E71" s="46" t="s">
        <v>306</v>
      </c>
      <c r="F71" s="46" t="s">
        <v>306</v>
      </c>
      <c r="G71" s="46" t="s">
        <v>306</v>
      </c>
      <c r="H71" s="46" t="s">
        <v>306</v>
      </c>
      <c r="I71" s="46" t="s">
        <v>306</v>
      </c>
      <c r="J71" s="46" t="s">
        <v>306</v>
      </c>
      <c r="K71" s="46" t="s">
        <v>306</v>
      </c>
      <c r="L71" s="46" t="s">
        <v>306</v>
      </c>
      <c r="M71" s="46" t="s">
        <v>306</v>
      </c>
      <c r="N71" s="46" t="s">
        <v>306</v>
      </c>
      <c r="O71" s="46" t="s">
        <v>306</v>
      </c>
      <c r="P71" s="46" t="s">
        <v>306</v>
      </c>
      <c r="Q71" s="46" t="s">
        <v>306</v>
      </c>
      <c r="R71" s="46" t="s">
        <v>306</v>
      </c>
    </row>
    <row r="72" spans="2:18" ht="15.75" thickBot="1">
      <c r="B72" s="44" t="s">
        <v>307</v>
      </c>
      <c r="C72" s="39"/>
      <c r="D72" s="46" t="s">
        <v>116</v>
      </c>
      <c r="E72" s="46" t="s">
        <v>116</v>
      </c>
      <c r="F72" s="46" t="s">
        <v>116</v>
      </c>
      <c r="G72" s="46" t="s">
        <v>116</v>
      </c>
      <c r="H72" s="46" t="s">
        <v>116</v>
      </c>
      <c r="I72" s="46" t="s">
        <v>116</v>
      </c>
      <c r="J72" s="46" t="s">
        <v>116</v>
      </c>
      <c r="K72" s="46" t="s">
        <v>116</v>
      </c>
      <c r="L72" s="46" t="s">
        <v>116</v>
      </c>
      <c r="M72" s="46" t="s">
        <v>116</v>
      </c>
      <c r="N72" s="46" t="s">
        <v>116</v>
      </c>
      <c r="O72" s="46" t="s">
        <v>116</v>
      </c>
      <c r="P72" s="46" t="s">
        <v>116</v>
      </c>
      <c r="Q72" s="46" t="s">
        <v>116</v>
      </c>
      <c r="R72" s="46" t="s">
        <v>116</v>
      </c>
    </row>
    <row r="73" spans="2:18" ht="15.75" thickBot="1">
      <c r="B73" s="44" t="s">
        <v>310</v>
      </c>
      <c r="C73" s="45" t="s">
        <v>63</v>
      </c>
      <c r="D73" s="46" t="s">
        <v>397</v>
      </c>
      <c r="E73" s="46" t="s">
        <v>397</v>
      </c>
      <c r="F73" s="46" t="s">
        <v>397</v>
      </c>
      <c r="G73" s="46" t="s">
        <v>397</v>
      </c>
      <c r="H73" s="46" t="s">
        <v>397</v>
      </c>
      <c r="I73" s="46" t="s">
        <v>397</v>
      </c>
      <c r="J73" s="46" t="s">
        <v>397</v>
      </c>
      <c r="K73" s="46" t="s">
        <v>397</v>
      </c>
      <c r="L73" s="46" t="s">
        <v>397</v>
      </c>
      <c r="M73" s="46" t="s">
        <v>397</v>
      </c>
      <c r="N73" s="46" t="s">
        <v>397</v>
      </c>
      <c r="O73" s="46" t="s">
        <v>397</v>
      </c>
      <c r="P73" s="46" t="s">
        <v>397</v>
      </c>
      <c r="Q73" s="46" t="s">
        <v>618</v>
      </c>
      <c r="R73" s="46" t="s">
        <v>618</v>
      </c>
    </row>
    <row r="74" spans="2:18" ht="15.75" thickBot="1">
      <c r="B74" s="44" t="s">
        <v>315</v>
      </c>
      <c r="C74" s="45" t="s">
        <v>63</v>
      </c>
      <c r="D74" s="46" t="s">
        <v>96</v>
      </c>
      <c r="E74" s="46" t="s">
        <v>96</v>
      </c>
      <c r="F74" s="46" t="s">
        <v>96</v>
      </c>
      <c r="G74" s="46" t="s">
        <v>96</v>
      </c>
      <c r="H74" s="46" t="s">
        <v>96</v>
      </c>
      <c r="I74" s="46" t="s">
        <v>96</v>
      </c>
      <c r="J74" s="46" t="s">
        <v>96</v>
      </c>
      <c r="K74" s="46" t="s">
        <v>96</v>
      </c>
      <c r="L74" s="46" t="s">
        <v>96</v>
      </c>
      <c r="M74" s="46" t="s">
        <v>96</v>
      </c>
      <c r="N74" s="46" t="s">
        <v>96</v>
      </c>
      <c r="O74" s="46" t="s">
        <v>96</v>
      </c>
      <c r="P74" s="46" t="s">
        <v>96</v>
      </c>
      <c r="Q74" s="46" t="s">
        <v>96</v>
      </c>
      <c r="R74" s="46" t="s">
        <v>96</v>
      </c>
    </row>
    <row r="75" spans="2:18">
      <c r="B75" s="49"/>
    </row>
    <row r="77" spans="2:18">
      <c r="B77" s="38"/>
    </row>
    <row r="78" spans="2:18" ht="15.75" thickBot="1">
      <c r="B78" s="38" t="s">
        <v>619</v>
      </c>
    </row>
    <row r="79" spans="2:18" ht="15.75" thickBot="1">
      <c r="B79" s="41" t="s">
        <v>44</v>
      </c>
      <c r="C79" s="47" t="s">
        <v>69</v>
      </c>
      <c r="D79" s="43" t="s">
        <v>317</v>
      </c>
      <c r="E79" s="43" t="s">
        <v>318</v>
      </c>
      <c r="F79" s="43" t="s">
        <v>319</v>
      </c>
      <c r="G79" s="43" t="s">
        <v>320</v>
      </c>
      <c r="H79" s="43" t="s">
        <v>321</v>
      </c>
      <c r="I79" s="43" t="s">
        <v>322</v>
      </c>
      <c r="J79" s="43" t="s">
        <v>323</v>
      </c>
      <c r="K79" s="43" t="s">
        <v>324</v>
      </c>
      <c r="L79" s="43" t="s">
        <v>325</v>
      </c>
      <c r="M79" s="43" t="s">
        <v>326</v>
      </c>
      <c r="N79" s="43" t="s">
        <v>327</v>
      </c>
      <c r="O79" s="43" t="s">
        <v>328</v>
      </c>
      <c r="P79" s="43" t="s">
        <v>329</v>
      </c>
    </row>
    <row r="80" spans="2:18" ht="15.75" thickBot="1">
      <c r="B80" s="44" t="s">
        <v>239</v>
      </c>
      <c r="C80" s="48" t="s">
        <v>240</v>
      </c>
      <c r="D80" s="46" t="s">
        <v>80</v>
      </c>
      <c r="E80" s="46" t="s">
        <v>263</v>
      </c>
      <c r="F80" s="46" t="s">
        <v>115</v>
      </c>
      <c r="G80" s="46" t="s">
        <v>106</v>
      </c>
      <c r="H80" s="46" t="s">
        <v>128</v>
      </c>
      <c r="I80" s="46" t="s">
        <v>156</v>
      </c>
      <c r="J80" s="46" t="s">
        <v>604</v>
      </c>
      <c r="K80" s="46" t="s">
        <v>139</v>
      </c>
      <c r="L80" s="46" t="s">
        <v>620</v>
      </c>
      <c r="M80" s="46" t="s">
        <v>599</v>
      </c>
      <c r="N80" s="46" t="s">
        <v>190</v>
      </c>
      <c r="O80" s="46" t="s">
        <v>121</v>
      </c>
      <c r="P80" s="46" t="s">
        <v>257</v>
      </c>
    </row>
    <row r="81" spans="2:16" ht="18.75" thickBot="1">
      <c r="B81" s="44" t="s">
        <v>221</v>
      </c>
      <c r="C81" s="48" t="s">
        <v>240</v>
      </c>
      <c r="D81" s="46" t="s">
        <v>97</v>
      </c>
      <c r="E81" s="46" t="s">
        <v>96</v>
      </c>
      <c r="F81" s="46" t="s">
        <v>75</v>
      </c>
      <c r="G81" s="46" t="s">
        <v>80</v>
      </c>
      <c r="H81" s="46" t="s">
        <v>82</v>
      </c>
      <c r="I81" s="46" t="s">
        <v>99</v>
      </c>
      <c r="J81" s="46" t="s">
        <v>84</v>
      </c>
      <c r="K81" s="46" t="s">
        <v>84</v>
      </c>
      <c r="L81" s="46" t="s">
        <v>107</v>
      </c>
      <c r="M81" s="46" t="s">
        <v>604</v>
      </c>
      <c r="N81" s="46" t="s">
        <v>199</v>
      </c>
      <c r="O81" s="46" t="s">
        <v>621</v>
      </c>
      <c r="P81" s="46" t="s">
        <v>272</v>
      </c>
    </row>
    <row r="82" spans="2:16" ht="18.75" thickBot="1">
      <c r="B82" s="44" t="s">
        <v>220</v>
      </c>
      <c r="C82" s="48" t="s">
        <v>240</v>
      </c>
      <c r="D82" s="46" t="s">
        <v>594</v>
      </c>
      <c r="E82" s="46" t="s">
        <v>593</v>
      </c>
      <c r="F82" s="46" t="s">
        <v>591</v>
      </c>
      <c r="G82" s="46" t="s">
        <v>622</v>
      </c>
      <c r="H82" s="46" t="s">
        <v>623</v>
      </c>
      <c r="I82" s="46" t="s">
        <v>624</v>
      </c>
      <c r="J82" s="46" t="s">
        <v>625</v>
      </c>
      <c r="K82" s="46" t="s">
        <v>626</v>
      </c>
      <c r="L82" s="46" t="s">
        <v>627</v>
      </c>
      <c r="M82" s="46" t="s">
        <v>628</v>
      </c>
      <c r="N82" s="46" t="s">
        <v>629</v>
      </c>
      <c r="O82" s="46" t="s">
        <v>630</v>
      </c>
      <c r="P82" s="46" t="s">
        <v>187</v>
      </c>
    </row>
    <row r="83" spans="2:16" ht="18.75" thickBot="1">
      <c r="B83" s="44" t="s">
        <v>217</v>
      </c>
      <c r="C83" s="48" t="s">
        <v>240</v>
      </c>
      <c r="D83" s="46" t="s">
        <v>263</v>
      </c>
      <c r="E83" s="46" t="s">
        <v>263</v>
      </c>
      <c r="F83" s="46" t="s">
        <v>263</v>
      </c>
      <c r="G83" s="46" t="s">
        <v>263</v>
      </c>
      <c r="H83" s="46" t="s">
        <v>263</v>
      </c>
      <c r="I83" s="46" t="s">
        <v>108</v>
      </c>
      <c r="J83" s="46" t="s">
        <v>108</v>
      </c>
      <c r="K83" s="46" t="s">
        <v>108</v>
      </c>
      <c r="L83" s="46" t="s">
        <v>82</v>
      </c>
      <c r="M83" s="46" t="s">
        <v>80</v>
      </c>
      <c r="N83" s="46" t="s">
        <v>75</v>
      </c>
      <c r="O83" s="46" t="s">
        <v>95</v>
      </c>
      <c r="P83" s="46" t="s">
        <v>82</v>
      </c>
    </row>
    <row r="84" spans="2:16" ht="18.75" thickBot="1">
      <c r="B84" s="44" t="s">
        <v>67</v>
      </c>
      <c r="C84" s="48" t="s">
        <v>240</v>
      </c>
      <c r="D84" s="46" t="s">
        <v>94</v>
      </c>
      <c r="E84" s="46" t="s">
        <v>94</v>
      </c>
      <c r="F84" s="46" t="s">
        <v>94</v>
      </c>
      <c r="G84" s="46" t="s">
        <v>94</v>
      </c>
      <c r="H84" s="46" t="s">
        <v>94</v>
      </c>
      <c r="I84" s="46" t="s">
        <v>110</v>
      </c>
      <c r="J84" s="46" t="s">
        <v>110</v>
      </c>
      <c r="K84" s="46" t="s">
        <v>84</v>
      </c>
      <c r="L84" s="46" t="s">
        <v>98</v>
      </c>
      <c r="M84" s="46" t="s">
        <v>108</v>
      </c>
      <c r="N84" s="46" t="s">
        <v>80</v>
      </c>
      <c r="O84" s="46" t="s">
        <v>75</v>
      </c>
      <c r="P84" s="46" t="s">
        <v>84</v>
      </c>
    </row>
    <row r="85" spans="2:16" ht="18.75" thickBot="1">
      <c r="B85" s="44" t="s">
        <v>256</v>
      </c>
      <c r="C85" s="48" t="s">
        <v>240</v>
      </c>
      <c r="D85" s="46" t="s">
        <v>198</v>
      </c>
      <c r="E85" s="46" t="s">
        <v>347</v>
      </c>
      <c r="F85" s="46" t="s">
        <v>157</v>
      </c>
      <c r="G85" s="46" t="s">
        <v>196</v>
      </c>
      <c r="H85" s="46" t="s">
        <v>213</v>
      </c>
      <c r="I85" s="46" t="s">
        <v>157</v>
      </c>
      <c r="J85" s="46" t="s">
        <v>177</v>
      </c>
      <c r="K85" s="46" t="s">
        <v>348</v>
      </c>
      <c r="L85" s="46" t="s">
        <v>349</v>
      </c>
      <c r="M85" s="46" t="s">
        <v>349</v>
      </c>
      <c r="N85" s="46" t="s">
        <v>178</v>
      </c>
      <c r="O85" s="46" t="s">
        <v>178</v>
      </c>
      <c r="P85" s="46" t="s">
        <v>349</v>
      </c>
    </row>
    <row r="86" spans="2:16" ht="18.75" thickBot="1">
      <c r="B86" s="44" t="s">
        <v>218</v>
      </c>
      <c r="C86" s="48" t="s">
        <v>240</v>
      </c>
      <c r="D86" s="46" t="s">
        <v>90</v>
      </c>
      <c r="E86" s="46" t="s">
        <v>90</v>
      </c>
      <c r="F86" s="46" t="s">
        <v>90</v>
      </c>
      <c r="G86" s="46" t="s">
        <v>135</v>
      </c>
      <c r="H86" s="46" t="s">
        <v>135</v>
      </c>
      <c r="I86" s="46" t="s">
        <v>130</v>
      </c>
      <c r="J86" s="46" t="s">
        <v>136</v>
      </c>
      <c r="K86" s="46" t="s">
        <v>87</v>
      </c>
      <c r="L86" s="46" t="s">
        <v>137</v>
      </c>
      <c r="M86" s="46" t="s">
        <v>124</v>
      </c>
      <c r="N86" s="46" t="s">
        <v>193</v>
      </c>
      <c r="O86" s="46" t="s">
        <v>127</v>
      </c>
      <c r="P86" s="46" t="s">
        <v>129</v>
      </c>
    </row>
    <row r="87" spans="2:16" ht="15.75" thickBot="1">
      <c r="B87" s="44" t="s">
        <v>37</v>
      </c>
      <c r="C87" s="48" t="s">
        <v>240</v>
      </c>
      <c r="D87" s="46" t="s">
        <v>262</v>
      </c>
      <c r="E87" s="46" t="s">
        <v>90</v>
      </c>
      <c r="F87" s="46" t="s">
        <v>130</v>
      </c>
      <c r="G87" s="46" t="s">
        <v>87</v>
      </c>
      <c r="H87" s="46" t="s">
        <v>137</v>
      </c>
      <c r="I87" s="46" t="s">
        <v>631</v>
      </c>
      <c r="J87" s="46" t="s">
        <v>122</v>
      </c>
      <c r="K87" s="46" t="s">
        <v>134</v>
      </c>
      <c r="L87" s="46" t="s">
        <v>125</v>
      </c>
      <c r="M87" s="46" t="s">
        <v>632</v>
      </c>
      <c r="N87" s="46" t="s">
        <v>633</v>
      </c>
      <c r="O87" s="46" t="s">
        <v>187</v>
      </c>
      <c r="P87" s="46" t="s">
        <v>181</v>
      </c>
    </row>
    <row r="88" spans="2:16" ht="18.75" thickBot="1">
      <c r="B88" s="44" t="s">
        <v>219</v>
      </c>
      <c r="C88" s="48" t="s">
        <v>240</v>
      </c>
      <c r="D88" s="46" t="s">
        <v>97</v>
      </c>
      <c r="E88" s="46" t="s">
        <v>93</v>
      </c>
      <c r="F88" s="46" t="s">
        <v>93</v>
      </c>
      <c r="G88" s="46" t="s">
        <v>241</v>
      </c>
      <c r="H88" s="46" t="s">
        <v>93</v>
      </c>
      <c r="I88" s="46" t="s">
        <v>97</v>
      </c>
      <c r="J88" s="46" t="s">
        <v>95</v>
      </c>
      <c r="K88" s="46" t="s">
        <v>81</v>
      </c>
      <c r="L88" s="46" t="s">
        <v>99</v>
      </c>
      <c r="M88" s="46" t="s">
        <v>101</v>
      </c>
      <c r="N88" s="46" t="s">
        <v>129</v>
      </c>
      <c r="O88" s="46" t="s">
        <v>91</v>
      </c>
      <c r="P88" s="46" t="s">
        <v>101</v>
      </c>
    </row>
    <row r="89" spans="2:16" ht="18.75" thickBot="1">
      <c r="B89" s="44" t="s">
        <v>264</v>
      </c>
      <c r="C89" s="48" t="s">
        <v>240</v>
      </c>
      <c r="D89" s="46" t="s">
        <v>361</v>
      </c>
      <c r="E89" s="46" t="s">
        <v>603</v>
      </c>
      <c r="F89" s="46" t="s">
        <v>602</v>
      </c>
      <c r="G89" s="46" t="s">
        <v>601</v>
      </c>
      <c r="H89" s="46" t="s">
        <v>363</v>
      </c>
      <c r="I89" s="46" t="s">
        <v>376</v>
      </c>
      <c r="J89" s="46" t="s">
        <v>634</v>
      </c>
      <c r="K89" s="46" t="s">
        <v>152</v>
      </c>
      <c r="L89" s="46" t="s">
        <v>635</v>
      </c>
      <c r="M89" s="46" t="s">
        <v>259</v>
      </c>
      <c r="N89" s="46" t="s">
        <v>636</v>
      </c>
      <c r="O89" s="46" t="s">
        <v>151</v>
      </c>
      <c r="P89" s="46" t="s">
        <v>358</v>
      </c>
    </row>
    <row r="90" spans="2:16" ht="27.75" thickBot="1">
      <c r="B90" s="44" t="s">
        <v>273</v>
      </c>
      <c r="C90" s="48" t="s">
        <v>240</v>
      </c>
      <c r="D90" s="46" t="s">
        <v>360</v>
      </c>
      <c r="E90" s="46" t="s">
        <v>361</v>
      </c>
      <c r="F90" s="46" t="s">
        <v>362</v>
      </c>
      <c r="G90" s="46" t="s">
        <v>363</v>
      </c>
      <c r="H90" s="46" t="s">
        <v>364</v>
      </c>
      <c r="I90" s="46" t="s">
        <v>365</v>
      </c>
      <c r="J90" s="46" t="s">
        <v>366</v>
      </c>
      <c r="K90" s="46" t="s">
        <v>367</v>
      </c>
      <c r="L90" s="46" t="s">
        <v>190</v>
      </c>
      <c r="M90" s="46" t="s">
        <v>191</v>
      </c>
      <c r="N90" s="46" t="s">
        <v>368</v>
      </c>
      <c r="O90" s="46" t="s">
        <v>369</v>
      </c>
      <c r="P90" s="46" t="s">
        <v>370</v>
      </c>
    </row>
    <row r="91" spans="2:16" ht="18.75" thickBot="1">
      <c r="B91" s="44" t="s">
        <v>276</v>
      </c>
      <c r="C91" s="48" t="s">
        <v>240</v>
      </c>
      <c r="D91" s="46" t="s">
        <v>160</v>
      </c>
      <c r="E91" s="46" t="s">
        <v>160</v>
      </c>
      <c r="F91" s="46" t="s">
        <v>160</v>
      </c>
      <c r="G91" s="46" t="s">
        <v>160</v>
      </c>
      <c r="H91" s="46" t="s">
        <v>160</v>
      </c>
      <c r="I91" s="46" t="s">
        <v>160</v>
      </c>
      <c r="J91" s="46" t="s">
        <v>160</v>
      </c>
      <c r="K91" s="46" t="s">
        <v>160</v>
      </c>
      <c r="L91" s="46" t="s">
        <v>160</v>
      </c>
      <c r="M91" s="46" t="s">
        <v>160</v>
      </c>
      <c r="N91" s="46" t="s">
        <v>160</v>
      </c>
      <c r="O91" s="46" t="s">
        <v>160</v>
      </c>
      <c r="P91" s="46" t="s">
        <v>160</v>
      </c>
    </row>
    <row r="92" spans="2:16" ht="18.75" thickBot="1">
      <c r="B92" s="44" t="s">
        <v>277</v>
      </c>
      <c r="C92" s="48" t="s">
        <v>240</v>
      </c>
      <c r="D92" s="46" t="s">
        <v>92</v>
      </c>
      <c r="E92" s="46" t="s">
        <v>100</v>
      </c>
      <c r="F92" s="46" t="s">
        <v>107</v>
      </c>
      <c r="G92" s="46" t="s">
        <v>91</v>
      </c>
      <c r="H92" s="46" t="s">
        <v>135</v>
      </c>
      <c r="I92" s="46" t="s">
        <v>371</v>
      </c>
      <c r="J92" s="46" t="s">
        <v>372</v>
      </c>
      <c r="K92" s="46" t="s">
        <v>373</v>
      </c>
      <c r="L92" s="46" t="s">
        <v>212</v>
      </c>
      <c r="M92" s="46" t="s">
        <v>155</v>
      </c>
      <c r="N92" s="46" t="s">
        <v>374</v>
      </c>
      <c r="O92" s="46" t="s">
        <v>171</v>
      </c>
      <c r="P92" s="46" t="s">
        <v>345</v>
      </c>
    </row>
    <row r="93" spans="2:16" ht="15.75" thickBot="1">
      <c r="B93" s="44" t="s">
        <v>279</v>
      </c>
      <c r="C93" s="48" t="s">
        <v>240</v>
      </c>
      <c r="D93" s="46" t="s">
        <v>280</v>
      </c>
      <c r="E93" s="46" t="s">
        <v>280</v>
      </c>
      <c r="F93" s="46" t="s">
        <v>280</v>
      </c>
      <c r="G93" s="46" t="s">
        <v>280</v>
      </c>
      <c r="H93" s="46" t="s">
        <v>280</v>
      </c>
      <c r="I93" s="46" t="s">
        <v>280</v>
      </c>
      <c r="J93" s="46" t="s">
        <v>280</v>
      </c>
      <c r="K93" s="46" t="s">
        <v>280</v>
      </c>
      <c r="L93" s="46" t="s">
        <v>280</v>
      </c>
      <c r="M93" s="46" t="s">
        <v>280</v>
      </c>
      <c r="N93" s="46" t="s">
        <v>280</v>
      </c>
      <c r="O93" s="46" t="s">
        <v>280</v>
      </c>
      <c r="P93" s="46" t="s">
        <v>280</v>
      </c>
    </row>
    <row r="94" spans="2:16" ht="18.75" thickBot="1">
      <c r="B94" s="44" t="s">
        <v>43</v>
      </c>
      <c r="C94" s="48" t="s">
        <v>240</v>
      </c>
      <c r="D94" s="46" t="s">
        <v>281</v>
      </c>
      <c r="E94" s="46" t="s">
        <v>281</v>
      </c>
      <c r="F94" s="46" t="s">
        <v>281</v>
      </c>
      <c r="G94" s="46" t="s">
        <v>281</v>
      </c>
      <c r="H94" s="46" t="s">
        <v>281</v>
      </c>
      <c r="I94" s="46" t="s">
        <v>281</v>
      </c>
      <c r="J94" s="46" t="s">
        <v>281</v>
      </c>
      <c r="K94" s="46" t="s">
        <v>281</v>
      </c>
      <c r="L94" s="46" t="s">
        <v>281</v>
      </c>
      <c r="M94" s="46" t="s">
        <v>281</v>
      </c>
      <c r="N94" s="46" t="s">
        <v>281</v>
      </c>
      <c r="O94" s="46" t="s">
        <v>281</v>
      </c>
      <c r="P94" s="46" t="s">
        <v>281</v>
      </c>
    </row>
    <row r="95" spans="2:16" ht="15.75" thickBot="1">
      <c r="B95" s="44" t="s">
        <v>222</v>
      </c>
      <c r="C95" s="48" t="s">
        <v>240</v>
      </c>
      <c r="D95" s="46" t="s">
        <v>352</v>
      </c>
      <c r="E95" s="46" t="s">
        <v>138</v>
      </c>
      <c r="F95" s="46" t="s">
        <v>213</v>
      </c>
      <c r="G95" s="46" t="s">
        <v>347</v>
      </c>
      <c r="H95" s="46" t="s">
        <v>213</v>
      </c>
      <c r="I95" s="46" t="s">
        <v>138</v>
      </c>
      <c r="J95" s="46" t="s">
        <v>607</v>
      </c>
      <c r="K95" s="46" t="s">
        <v>330</v>
      </c>
      <c r="L95" s="46" t="s">
        <v>335</v>
      </c>
      <c r="M95" s="46" t="s">
        <v>161</v>
      </c>
      <c r="N95" s="46" t="s">
        <v>151</v>
      </c>
      <c r="O95" s="46" t="s">
        <v>637</v>
      </c>
      <c r="P95" s="46" t="s">
        <v>638</v>
      </c>
    </row>
    <row r="96" spans="2:16" ht="15.75" thickBot="1">
      <c r="B96" s="44" t="s">
        <v>291</v>
      </c>
      <c r="C96" s="48" t="s">
        <v>240</v>
      </c>
      <c r="D96" s="46" t="s">
        <v>174</v>
      </c>
      <c r="E96" s="46" t="s">
        <v>639</v>
      </c>
      <c r="F96" s="46" t="s">
        <v>640</v>
      </c>
      <c r="G96" s="46" t="s">
        <v>641</v>
      </c>
      <c r="H96" s="46" t="s">
        <v>175</v>
      </c>
      <c r="I96" s="46" t="s">
        <v>176</v>
      </c>
      <c r="J96" s="46" t="s">
        <v>642</v>
      </c>
      <c r="K96" s="46" t="s">
        <v>643</v>
      </c>
      <c r="L96" s="46" t="s">
        <v>644</v>
      </c>
      <c r="M96" s="46" t="s">
        <v>645</v>
      </c>
      <c r="N96" s="46" t="s">
        <v>646</v>
      </c>
      <c r="O96" s="46" t="s">
        <v>647</v>
      </c>
      <c r="P96" s="46" t="s">
        <v>648</v>
      </c>
    </row>
    <row r="97" spans="2:16" ht="27.75" thickBot="1">
      <c r="B97" s="44" t="s">
        <v>305</v>
      </c>
      <c r="C97" s="48"/>
      <c r="D97" s="46" t="s">
        <v>306</v>
      </c>
      <c r="E97" s="46" t="s">
        <v>306</v>
      </c>
      <c r="F97" s="46" t="s">
        <v>306</v>
      </c>
      <c r="G97" s="46" t="s">
        <v>306</v>
      </c>
      <c r="H97" s="46" t="s">
        <v>306</v>
      </c>
      <c r="I97" s="46" t="s">
        <v>306</v>
      </c>
      <c r="J97" s="46" t="s">
        <v>306</v>
      </c>
      <c r="K97" s="46" t="s">
        <v>306</v>
      </c>
      <c r="L97" s="46" t="s">
        <v>306</v>
      </c>
      <c r="M97" s="46" t="s">
        <v>306</v>
      </c>
      <c r="N97" s="46" t="s">
        <v>306</v>
      </c>
      <c r="O97" s="46">
        <v>30</v>
      </c>
      <c r="P97" s="46">
        <v>4</v>
      </c>
    </row>
    <row r="98" spans="2:16" ht="15.75" thickBot="1">
      <c r="B98" s="44" t="s">
        <v>307</v>
      </c>
      <c r="C98" s="48"/>
      <c r="D98" s="46" t="s">
        <v>116</v>
      </c>
      <c r="E98" s="46" t="s">
        <v>116</v>
      </c>
      <c r="F98" s="46" t="s">
        <v>116</v>
      </c>
      <c r="G98" s="46" t="s">
        <v>116</v>
      </c>
      <c r="H98" s="46" t="s">
        <v>116</v>
      </c>
      <c r="I98" s="46" t="s">
        <v>116</v>
      </c>
      <c r="J98" s="46" t="s">
        <v>116</v>
      </c>
      <c r="K98" s="46" t="s">
        <v>116</v>
      </c>
      <c r="L98" s="46" t="s">
        <v>116</v>
      </c>
      <c r="M98" s="46" t="s">
        <v>116</v>
      </c>
      <c r="N98" s="46" t="s">
        <v>116</v>
      </c>
      <c r="O98" s="46" t="s">
        <v>649</v>
      </c>
      <c r="P98" s="46" t="s">
        <v>258</v>
      </c>
    </row>
    <row r="99" spans="2:16" ht="15.75" thickBot="1">
      <c r="B99" s="44" t="s">
        <v>310</v>
      </c>
      <c r="C99" s="48" t="s">
        <v>63</v>
      </c>
      <c r="D99" s="46" t="s">
        <v>618</v>
      </c>
      <c r="E99" s="46" t="s">
        <v>618</v>
      </c>
      <c r="F99" s="46" t="s">
        <v>618</v>
      </c>
      <c r="G99" s="46" t="s">
        <v>618</v>
      </c>
      <c r="H99" s="46" t="s">
        <v>618</v>
      </c>
      <c r="I99" s="46" t="s">
        <v>618</v>
      </c>
      <c r="J99" s="46" t="s">
        <v>618</v>
      </c>
      <c r="K99" s="46" t="s">
        <v>650</v>
      </c>
      <c r="L99" s="46" t="s">
        <v>650</v>
      </c>
      <c r="M99" s="46" t="s">
        <v>650</v>
      </c>
      <c r="N99" s="46" t="s">
        <v>532</v>
      </c>
      <c r="O99" s="46" t="s">
        <v>312</v>
      </c>
      <c r="P99" s="46" t="s">
        <v>651</v>
      </c>
    </row>
    <row r="100" spans="2:16" ht="15.75" thickBot="1">
      <c r="B100" s="44" t="s">
        <v>315</v>
      </c>
      <c r="C100" s="48" t="s">
        <v>63</v>
      </c>
      <c r="D100" s="46" t="s">
        <v>96</v>
      </c>
      <c r="E100" s="46" t="s">
        <v>96</v>
      </c>
      <c r="F100" s="46" t="s">
        <v>96</v>
      </c>
      <c r="G100" s="46" t="s">
        <v>96</v>
      </c>
      <c r="H100" s="46" t="s">
        <v>96</v>
      </c>
      <c r="I100" s="46" t="s">
        <v>96</v>
      </c>
      <c r="J100" s="46" t="s">
        <v>96</v>
      </c>
      <c r="K100" s="46" t="s">
        <v>96</v>
      </c>
      <c r="L100" s="46" t="s">
        <v>96</v>
      </c>
      <c r="M100" s="46" t="s">
        <v>96</v>
      </c>
      <c r="N100" s="46" t="s">
        <v>96</v>
      </c>
      <c r="O100" s="46" t="s">
        <v>96</v>
      </c>
      <c r="P100" s="46" t="s">
        <v>83</v>
      </c>
    </row>
    <row r="101" spans="2:16">
      <c r="B101" s="49"/>
    </row>
    <row r="103" spans="2:16">
      <c r="B103" s="38" t="s">
        <v>707</v>
      </c>
    </row>
    <row r="104" spans="2:16" ht="15.75" thickBot="1">
      <c r="B104" s="38" t="s">
        <v>708</v>
      </c>
    </row>
    <row r="105" spans="2:16" ht="15.75" thickBot="1">
      <c r="B105" s="55" t="s">
        <v>44</v>
      </c>
      <c r="C105" s="56" t="s">
        <v>69</v>
      </c>
      <c r="D105" s="57" t="s">
        <v>308</v>
      </c>
      <c r="E105" s="57" t="s">
        <v>188</v>
      </c>
      <c r="F105" s="57" t="s">
        <v>709</v>
      </c>
      <c r="G105" s="57" t="s">
        <v>710</v>
      </c>
      <c r="H105" s="57" t="s">
        <v>711</v>
      </c>
      <c r="I105" s="57" t="s">
        <v>712</v>
      </c>
      <c r="J105" s="57" t="s">
        <v>713</v>
      </c>
      <c r="K105" s="57" t="s">
        <v>714</v>
      </c>
      <c r="L105" s="57" t="s">
        <v>715</v>
      </c>
      <c r="M105" s="57" t="s">
        <v>716</v>
      </c>
    </row>
    <row r="106" spans="2:16" ht="15.75" thickBot="1">
      <c r="B106" s="58" t="s">
        <v>239</v>
      </c>
      <c r="C106" s="59" t="s">
        <v>717</v>
      </c>
      <c r="D106" s="60" t="s">
        <v>241</v>
      </c>
      <c r="E106" s="60" t="s">
        <v>241</v>
      </c>
      <c r="F106" s="60" t="s">
        <v>241</v>
      </c>
      <c r="G106" s="60" t="s">
        <v>241</v>
      </c>
      <c r="H106" s="60" t="s">
        <v>241</v>
      </c>
      <c r="I106" s="60" t="s">
        <v>241</v>
      </c>
      <c r="J106" s="60" t="s">
        <v>241</v>
      </c>
      <c r="K106" s="60" t="s">
        <v>241</v>
      </c>
      <c r="L106" s="60" t="s">
        <v>241</v>
      </c>
      <c r="M106" s="60" t="s">
        <v>241</v>
      </c>
    </row>
    <row r="107" spans="2:16" ht="15.75" thickBot="1">
      <c r="B107" s="58" t="s">
        <v>221</v>
      </c>
      <c r="C107" s="59" t="s">
        <v>717</v>
      </c>
      <c r="D107" s="60" t="s">
        <v>241</v>
      </c>
      <c r="E107" s="60" t="s">
        <v>241</v>
      </c>
      <c r="F107" s="60" t="s">
        <v>241</v>
      </c>
      <c r="G107" s="60" t="s">
        <v>241</v>
      </c>
      <c r="H107" s="60" t="s">
        <v>241</v>
      </c>
      <c r="I107" s="60" t="s">
        <v>241</v>
      </c>
      <c r="J107" s="60" t="s">
        <v>241</v>
      </c>
      <c r="K107" s="60" t="s">
        <v>241</v>
      </c>
      <c r="L107" s="60" t="s">
        <v>241</v>
      </c>
      <c r="M107" s="60" t="s">
        <v>241</v>
      </c>
    </row>
    <row r="108" spans="2:16" ht="15.75" thickBot="1">
      <c r="B108" s="58" t="s">
        <v>220</v>
      </c>
      <c r="C108" s="59" t="s">
        <v>717</v>
      </c>
      <c r="D108" s="60" t="s">
        <v>718</v>
      </c>
      <c r="E108" s="60" t="s">
        <v>719</v>
      </c>
      <c r="F108" s="60" t="s">
        <v>720</v>
      </c>
      <c r="G108" s="60" t="s">
        <v>721</v>
      </c>
      <c r="H108" s="60" t="s">
        <v>722</v>
      </c>
      <c r="I108" s="60" t="s">
        <v>723</v>
      </c>
      <c r="J108" s="60" t="s">
        <v>724</v>
      </c>
      <c r="K108" s="60" t="s">
        <v>584</v>
      </c>
      <c r="L108" s="60" t="s">
        <v>586</v>
      </c>
      <c r="M108" s="60" t="s">
        <v>622</v>
      </c>
    </row>
    <row r="109" spans="2:16" ht="15.75" thickBot="1">
      <c r="B109" s="58" t="s">
        <v>217</v>
      </c>
      <c r="C109" s="59" t="s">
        <v>717</v>
      </c>
      <c r="D109" s="60" t="s">
        <v>263</v>
      </c>
      <c r="E109" s="60" t="s">
        <v>263</v>
      </c>
      <c r="F109" s="60" t="s">
        <v>263</v>
      </c>
      <c r="G109" s="60" t="s">
        <v>263</v>
      </c>
      <c r="H109" s="60" t="s">
        <v>263</v>
      </c>
      <c r="I109" s="60" t="s">
        <v>263</v>
      </c>
      <c r="J109" s="60" t="s">
        <v>263</v>
      </c>
      <c r="K109" s="60" t="s">
        <v>263</v>
      </c>
      <c r="L109" s="60" t="s">
        <v>263</v>
      </c>
      <c r="M109" s="60" t="s">
        <v>263</v>
      </c>
    </row>
    <row r="110" spans="2:16" ht="15.75" thickBot="1">
      <c r="B110" s="58" t="s">
        <v>67</v>
      </c>
      <c r="C110" s="59" t="s">
        <v>717</v>
      </c>
      <c r="D110" s="60" t="s">
        <v>94</v>
      </c>
      <c r="E110" s="60" t="s">
        <v>94</v>
      </c>
      <c r="F110" s="60" t="s">
        <v>94</v>
      </c>
      <c r="G110" s="60" t="s">
        <v>94</v>
      </c>
      <c r="H110" s="60" t="s">
        <v>94</v>
      </c>
      <c r="I110" s="60" t="s">
        <v>94</v>
      </c>
      <c r="J110" s="60" t="s">
        <v>94</v>
      </c>
      <c r="K110" s="60" t="s">
        <v>94</v>
      </c>
      <c r="L110" s="60" t="s">
        <v>94</v>
      </c>
      <c r="M110" s="60" t="s">
        <v>94</v>
      </c>
    </row>
    <row r="111" spans="2:16" ht="15.75" thickBot="1">
      <c r="B111" s="58" t="s">
        <v>256</v>
      </c>
      <c r="C111" s="59" t="s">
        <v>717</v>
      </c>
      <c r="D111" s="60" t="s">
        <v>154</v>
      </c>
      <c r="E111" s="60" t="s">
        <v>154</v>
      </c>
      <c r="F111" s="60" t="s">
        <v>154</v>
      </c>
      <c r="G111" s="60" t="s">
        <v>154</v>
      </c>
      <c r="H111" s="60" t="s">
        <v>154</v>
      </c>
      <c r="I111" s="60" t="s">
        <v>154</v>
      </c>
      <c r="J111" s="60" t="s">
        <v>154</v>
      </c>
      <c r="K111" s="60" t="s">
        <v>154</v>
      </c>
      <c r="L111" s="60" t="s">
        <v>154</v>
      </c>
      <c r="M111" s="60" t="s">
        <v>154</v>
      </c>
    </row>
    <row r="112" spans="2:16" ht="15.75" thickBot="1">
      <c r="B112" s="58" t="s">
        <v>218</v>
      </c>
      <c r="C112" s="59" t="s">
        <v>717</v>
      </c>
      <c r="D112" s="60" t="s">
        <v>89</v>
      </c>
      <c r="E112" s="60" t="s">
        <v>89</v>
      </c>
      <c r="F112" s="60" t="s">
        <v>130</v>
      </c>
      <c r="G112" s="60" t="s">
        <v>130</v>
      </c>
      <c r="H112" s="60" t="s">
        <v>135</v>
      </c>
      <c r="I112" s="60" t="s">
        <v>135</v>
      </c>
      <c r="J112" s="60" t="s">
        <v>135</v>
      </c>
      <c r="K112" s="60" t="s">
        <v>135</v>
      </c>
      <c r="L112" s="60" t="s">
        <v>90</v>
      </c>
      <c r="M112" s="60" t="s">
        <v>90</v>
      </c>
    </row>
    <row r="113" spans="2:13" ht="15.75" thickBot="1">
      <c r="B113" s="58" t="s">
        <v>37</v>
      </c>
      <c r="C113" s="59" t="s">
        <v>717</v>
      </c>
      <c r="D113" s="60" t="s">
        <v>118</v>
      </c>
      <c r="E113" s="60" t="s">
        <v>123</v>
      </c>
      <c r="F113" s="60" t="s">
        <v>350</v>
      </c>
      <c r="G113" s="60" t="s">
        <v>371</v>
      </c>
      <c r="H113" s="60" t="s">
        <v>86</v>
      </c>
      <c r="I113" s="60" t="s">
        <v>87</v>
      </c>
      <c r="J113" s="60" t="s">
        <v>136</v>
      </c>
      <c r="K113" s="60" t="s">
        <v>89</v>
      </c>
      <c r="L113" s="60" t="s">
        <v>130</v>
      </c>
      <c r="M113" s="60" t="s">
        <v>135</v>
      </c>
    </row>
    <row r="114" spans="2:13" ht="15.75" thickBot="1">
      <c r="B114" s="58" t="s">
        <v>219</v>
      </c>
      <c r="C114" s="59" t="s">
        <v>717</v>
      </c>
      <c r="D114" s="60" t="s">
        <v>136</v>
      </c>
      <c r="E114" s="60" t="s">
        <v>135</v>
      </c>
      <c r="F114" s="60" t="s">
        <v>129</v>
      </c>
      <c r="G114" s="60" t="s">
        <v>106</v>
      </c>
      <c r="H114" s="60" t="s">
        <v>105</v>
      </c>
      <c r="I114" s="60" t="s">
        <v>101</v>
      </c>
      <c r="J114" s="60" t="s">
        <v>103</v>
      </c>
      <c r="K114" s="60" t="s">
        <v>104</v>
      </c>
      <c r="L114" s="60" t="s">
        <v>94</v>
      </c>
      <c r="M114" s="60" t="s">
        <v>84</v>
      </c>
    </row>
    <row r="115" spans="2:13" ht="15.75" thickBot="1">
      <c r="B115" s="58" t="s">
        <v>264</v>
      </c>
      <c r="C115" s="59" t="s">
        <v>717</v>
      </c>
      <c r="D115" s="60" t="s">
        <v>366</v>
      </c>
      <c r="E115" s="60" t="s">
        <v>725</v>
      </c>
      <c r="F115" s="60" t="s">
        <v>132</v>
      </c>
      <c r="G115" s="60" t="s">
        <v>199</v>
      </c>
      <c r="H115" s="60" t="s">
        <v>709</v>
      </c>
      <c r="I115" s="60" t="s">
        <v>726</v>
      </c>
      <c r="J115" s="60" t="s">
        <v>190</v>
      </c>
      <c r="K115" s="60" t="s">
        <v>727</v>
      </c>
      <c r="L115" s="60" t="s">
        <v>363</v>
      </c>
      <c r="M115" s="60" t="s">
        <v>600</v>
      </c>
    </row>
    <row r="116" spans="2:13" ht="15.75" thickBot="1">
      <c r="B116" s="58" t="s">
        <v>273</v>
      </c>
      <c r="C116" s="59" t="s">
        <v>717</v>
      </c>
      <c r="D116" s="60" t="s">
        <v>274</v>
      </c>
      <c r="E116" s="60" t="s">
        <v>274</v>
      </c>
      <c r="F116" s="60" t="s">
        <v>274</v>
      </c>
      <c r="G116" s="60" t="s">
        <v>274</v>
      </c>
      <c r="H116" s="60" t="s">
        <v>274</v>
      </c>
      <c r="I116" s="60" t="s">
        <v>274</v>
      </c>
      <c r="J116" s="60" t="s">
        <v>274</v>
      </c>
      <c r="K116" s="60" t="s">
        <v>274</v>
      </c>
      <c r="L116" s="60" t="s">
        <v>274</v>
      </c>
      <c r="M116" s="60" t="s">
        <v>274</v>
      </c>
    </row>
    <row r="117" spans="2:13" ht="15.75" thickBot="1">
      <c r="B117" s="58" t="s">
        <v>276</v>
      </c>
      <c r="C117" s="59" t="s">
        <v>717</v>
      </c>
      <c r="D117" s="60" t="s">
        <v>160</v>
      </c>
      <c r="E117" s="60" t="s">
        <v>160</v>
      </c>
      <c r="F117" s="60" t="s">
        <v>160</v>
      </c>
      <c r="G117" s="60" t="s">
        <v>160</v>
      </c>
      <c r="H117" s="60" t="s">
        <v>160</v>
      </c>
      <c r="I117" s="60" t="s">
        <v>160</v>
      </c>
      <c r="J117" s="60" t="s">
        <v>160</v>
      </c>
      <c r="K117" s="60" t="s">
        <v>160</v>
      </c>
      <c r="L117" s="60" t="s">
        <v>160</v>
      </c>
      <c r="M117" s="60" t="s">
        <v>160</v>
      </c>
    </row>
    <row r="118" spans="2:13" ht="15.75" thickBot="1">
      <c r="B118" s="58" t="s">
        <v>277</v>
      </c>
      <c r="C118" s="59" t="s">
        <v>717</v>
      </c>
      <c r="D118" s="60" t="s">
        <v>124</v>
      </c>
      <c r="E118" s="60" t="s">
        <v>90</v>
      </c>
      <c r="F118" s="60" t="s">
        <v>90</v>
      </c>
      <c r="G118" s="60" t="s">
        <v>129</v>
      </c>
      <c r="H118" s="60" t="s">
        <v>109</v>
      </c>
      <c r="I118" s="60" t="s">
        <v>129</v>
      </c>
      <c r="J118" s="60" t="s">
        <v>262</v>
      </c>
      <c r="K118" s="60" t="s">
        <v>262</v>
      </c>
      <c r="L118" s="60" t="s">
        <v>106</v>
      </c>
      <c r="M118" s="60" t="s">
        <v>129</v>
      </c>
    </row>
    <row r="119" spans="2:13" ht="15.75" thickBot="1">
      <c r="B119" s="58" t="s">
        <v>279</v>
      </c>
      <c r="C119" s="59" t="s">
        <v>717</v>
      </c>
      <c r="D119" s="60" t="s">
        <v>714</v>
      </c>
      <c r="E119" s="60" t="s">
        <v>714</v>
      </c>
      <c r="F119" s="60" t="s">
        <v>714</v>
      </c>
      <c r="G119" s="60" t="s">
        <v>714</v>
      </c>
      <c r="H119" s="60" t="s">
        <v>714</v>
      </c>
      <c r="I119" s="60" t="s">
        <v>714</v>
      </c>
      <c r="J119" s="60" t="s">
        <v>714</v>
      </c>
      <c r="K119" s="60" t="s">
        <v>714</v>
      </c>
      <c r="L119" s="60" t="s">
        <v>280</v>
      </c>
      <c r="M119" s="60" t="s">
        <v>280</v>
      </c>
    </row>
    <row r="120" spans="2:13" ht="15.75" thickBot="1">
      <c r="B120" s="58" t="s">
        <v>43</v>
      </c>
      <c r="C120" s="59" t="s">
        <v>717</v>
      </c>
      <c r="D120" s="60" t="s">
        <v>281</v>
      </c>
      <c r="E120" s="60" t="s">
        <v>281</v>
      </c>
      <c r="F120" s="60" t="s">
        <v>281</v>
      </c>
      <c r="G120" s="60" t="s">
        <v>281</v>
      </c>
      <c r="H120" s="60" t="s">
        <v>281</v>
      </c>
      <c r="I120" s="60" t="s">
        <v>281</v>
      </c>
      <c r="J120" s="60" t="s">
        <v>281</v>
      </c>
      <c r="K120" s="60" t="s">
        <v>281</v>
      </c>
      <c r="L120" s="60" t="s">
        <v>281</v>
      </c>
      <c r="M120" s="60" t="s">
        <v>281</v>
      </c>
    </row>
    <row r="121" spans="2:13" ht="15.75" thickBot="1">
      <c r="B121" s="58" t="s">
        <v>222</v>
      </c>
      <c r="C121" s="59" t="s">
        <v>717</v>
      </c>
      <c r="D121" s="60" t="s">
        <v>728</v>
      </c>
      <c r="E121" s="60" t="s">
        <v>729</v>
      </c>
      <c r="F121" s="60" t="s">
        <v>730</v>
      </c>
      <c r="G121" s="60" t="s">
        <v>731</v>
      </c>
      <c r="H121" s="60" t="s">
        <v>732</v>
      </c>
      <c r="I121" s="60" t="s">
        <v>733</v>
      </c>
      <c r="J121" s="60" t="s">
        <v>734</v>
      </c>
      <c r="K121" s="60" t="s">
        <v>735</v>
      </c>
      <c r="L121" s="60" t="s">
        <v>736</v>
      </c>
      <c r="M121" s="60" t="s">
        <v>737</v>
      </c>
    </row>
    <row r="122" spans="2:13" ht="15.75" thickBot="1">
      <c r="B122" s="58" t="s">
        <v>291</v>
      </c>
      <c r="C122" s="59" t="s">
        <v>717</v>
      </c>
      <c r="D122" s="60" t="s">
        <v>738</v>
      </c>
      <c r="E122" s="60" t="s">
        <v>739</v>
      </c>
      <c r="F122" s="60" t="s">
        <v>740</v>
      </c>
      <c r="G122" s="60" t="s">
        <v>741</v>
      </c>
      <c r="H122" s="60" t="s">
        <v>742</v>
      </c>
      <c r="I122" s="60" t="s">
        <v>743</v>
      </c>
      <c r="J122" s="60" t="s">
        <v>744</v>
      </c>
      <c r="K122" s="60" t="s">
        <v>745</v>
      </c>
      <c r="L122" s="60" t="s">
        <v>746</v>
      </c>
      <c r="M122" s="60" t="s">
        <v>747</v>
      </c>
    </row>
    <row r="123" spans="2:13" ht="15.75" thickBot="1">
      <c r="B123" s="58" t="s">
        <v>305</v>
      </c>
      <c r="C123" s="59" t="s">
        <v>59</v>
      </c>
      <c r="D123" s="60">
        <v>4</v>
      </c>
      <c r="E123" s="60">
        <v>4</v>
      </c>
      <c r="F123" s="60">
        <v>6</v>
      </c>
      <c r="G123" s="60">
        <v>9</v>
      </c>
      <c r="H123" s="60">
        <v>15</v>
      </c>
      <c r="I123" s="60">
        <v>30</v>
      </c>
      <c r="J123" s="60">
        <v>51</v>
      </c>
      <c r="K123" s="60">
        <v>93</v>
      </c>
      <c r="L123" s="60">
        <v>100</v>
      </c>
      <c r="M123" s="60">
        <v>141</v>
      </c>
    </row>
    <row r="124" spans="2:13" ht="15.75" thickBot="1">
      <c r="B124" s="58" t="s">
        <v>307</v>
      </c>
      <c r="C124" s="59" t="s">
        <v>59</v>
      </c>
      <c r="D124" s="60" t="s">
        <v>357</v>
      </c>
      <c r="E124" s="60" t="s">
        <v>258</v>
      </c>
      <c r="F124" s="60" t="s">
        <v>748</v>
      </c>
      <c r="G124" s="60" t="s">
        <v>259</v>
      </c>
      <c r="H124" s="60" t="s">
        <v>180</v>
      </c>
      <c r="I124" s="60" t="s">
        <v>749</v>
      </c>
      <c r="J124" s="60" t="s">
        <v>750</v>
      </c>
      <c r="K124" s="60" t="s">
        <v>395</v>
      </c>
      <c r="L124" s="60" t="s">
        <v>751</v>
      </c>
      <c r="M124" s="60" t="s">
        <v>751</v>
      </c>
    </row>
    <row r="125" spans="2:13" ht="15.75" thickBot="1">
      <c r="B125" s="58" t="s">
        <v>310</v>
      </c>
      <c r="C125" s="59" t="s">
        <v>63</v>
      </c>
      <c r="D125" s="60" t="s">
        <v>752</v>
      </c>
      <c r="E125" s="60" t="s">
        <v>753</v>
      </c>
      <c r="F125" s="60" t="s">
        <v>754</v>
      </c>
      <c r="G125" s="60" t="s">
        <v>755</v>
      </c>
      <c r="H125" s="60" t="s">
        <v>683</v>
      </c>
      <c r="I125" s="60" t="s">
        <v>756</v>
      </c>
      <c r="J125" s="60" t="s">
        <v>533</v>
      </c>
      <c r="K125" s="60" t="s">
        <v>757</v>
      </c>
      <c r="L125" s="60" t="s">
        <v>311</v>
      </c>
      <c r="M125" s="60" t="s">
        <v>311</v>
      </c>
    </row>
    <row r="126" spans="2:13" ht="15.75" thickBot="1">
      <c r="B126" s="58" t="s">
        <v>315</v>
      </c>
      <c r="C126" s="59" t="s">
        <v>63</v>
      </c>
      <c r="D126" s="60" t="s">
        <v>94</v>
      </c>
      <c r="E126" s="60" t="s">
        <v>83</v>
      </c>
      <c r="F126" s="60" t="s">
        <v>82</v>
      </c>
      <c r="G126" s="60" t="s">
        <v>80</v>
      </c>
      <c r="H126" s="60" t="s">
        <v>75</v>
      </c>
      <c r="I126" s="60" t="s">
        <v>95</v>
      </c>
      <c r="J126" s="60" t="s">
        <v>95</v>
      </c>
      <c r="K126" s="60" t="s">
        <v>95</v>
      </c>
      <c r="L126" s="60" t="s">
        <v>96</v>
      </c>
      <c r="M126" s="60" t="s">
        <v>96</v>
      </c>
    </row>
    <row r="127" spans="2:13">
      <c r="B127" s="49"/>
    </row>
    <row r="129" spans="2:13">
      <c r="B129" s="38"/>
    </row>
    <row r="130" spans="2:13" ht="15.75" thickBot="1">
      <c r="B130" s="38" t="s">
        <v>758</v>
      </c>
    </row>
    <row r="131" spans="2:13" ht="15.75" thickBot="1">
      <c r="B131" s="55" t="s">
        <v>44</v>
      </c>
      <c r="C131" s="56" t="s">
        <v>69</v>
      </c>
      <c r="D131" s="57" t="s">
        <v>308</v>
      </c>
      <c r="E131" s="57" t="s">
        <v>188</v>
      </c>
      <c r="F131" s="57" t="s">
        <v>709</v>
      </c>
      <c r="G131" s="57" t="s">
        <v>710</v>
      </c>
      <c r="H131" s="57" t="s">
        <v>711</v>
      </c>
      <c r="I131" s="57" t="s">
        <v>712</v>
      </c>
      <c r="J131" s="57" t="s">
        <v>713</v>
      </c>
      <c r="K131" s="57" t="s">
        <v>714</v>
      </c>
      <c r="L131" s="57" t="s">
        <v>715</v>
      </c>
      <c r="M131" s="57" t="s">
        <v>716</v>
      </c>
    </row>
    <row r="132" spans="2:13" ht="15.75" thickBot="1">
      <c r="B132" s="58" t="s">
        <v>239</v>
      </c>
      <c r="C132" s="59" t="s">
        <v>240</v>
      </c>
      <c r="D132" s="60" t="s">
        <v>241</v>
      </c>
      <c r="E132" s="60" t="s">
        <v>241</v>
      </c>
      <c r="F132" s="60" t="s">
        <v>241</v>
      </c>
      <c r="G132" s="60" t="s">
        <v>241</v>
      </c>
      <c r="H132" s="60" t="s">
        <v>241</v>
      </c>
      <c r="I132" s="60" t="s">
        <v>241</v>
      </c>
      <c r="J132" s="60" t="s">
        <v>241</v>
      </c>
      <c r="K132" s="60" t="s">
        <v>241</v>
      </c>
      <c r="L132" s="60" t="s">
        <v>241</v>
      </c>
      <c r="M132" s="60" t="s">
        <v>241</v>
      </c>
    </row>
    <row r="133" spans="2:13" ht="15.75" thickBot="1">
      <c r="B133" s="58" t="s">
        <v>221</v>
      </c>
      <c r="C133" s="59" t="s">
        <v>240</v>
      </c>
      <c r="D133" s="60" t="s">
        <v>241</v>
      </c>
      <c r="E133" s="60" t="s">
        <v>241</v>
      </c>
      <c r="F133" s="60" t="s">
        <v>241</v>
      </c>
      <c r="G133" s="60" t="s">
        <v>241</v>
      </c>
      <c r="H133" s="60" t="s">
        <v>241</v>
      </c>
      <c r="I133" s="60" t="s">
        <v>241</v>
      </c>
      <c r="J133" s="60" t="s">
        <v>241</v>
      </c>
      <c r="K133" s="60" t="s">
        <v>241</v>
      </c>
      <c r="L133" s="60" t="s">
        <v>241</v>
      </c>
      <c r="M133" s="60" t="s">
        <v>241</v>
      </c>
    </row>
    <row r="134" spans="2:13" ht="15.75" thickBot="1">
      <c r="B134" s="58" t="s">
        <v>220</v>
      </c>
      <c r="C134" s="59" t="s">
        <v>240</v>
      </c>
      <c r="D134" s="60" t="s">
        <v>718</v>
      </c>
      <c r="E134" s="60" t="s">
        <v>719</v>
      </c>
      <c r="F134" s="60" t="s">
        <v>720</v>
      </c>
      <c r="G134" s="60" t="s">
        <v>721</v>
      </c>
      <c r="H134" s="60" t="s">
        <v>722</v>
      </c>
      <c r="I134" s="60" t="s">
        <v>723</v>
      </c>
      <c r="J134" s="60" t="s">
        <v>724</v>
      </c>
      <c r="K134" s="60" t="s">
        <v>584</v>
      </c>
      <c r="L134" s="60" t="s">
        <v>586</v>
      </c>
      <c r="M134" s="60" t="s">
        <v>622</v>
      </c>
    </row>
    <row r="135" spans="2:13" ht="15.75" thickBot="1">
      <c r="B135" s="58" t="s">
        <v>217</v>
      </c>
      <c r="C135" s="59" t="s">
        <v>240</v>
      </c>
      <c r="D135" s="60" t="s">
        <v>263</v>
      </c>
      <c r="E135" s="60" t="s">
        <v>263</v>
      </c>
      <c r="F135" s="60" t="s">
        <v>263</v>
      </c>
      <c r="G135" s="60" t="s">
        <v>263</v>
      </c>
      <c r="H135" s="60" t="s">
        <v>263</v>
      </c>
      <c r="I135" s="60" t="s">
        <v>263</v>
      </c>
      <c r="J135" s="60" t="s">
        <v>263</v>
      </c>
      <c r="K135" s="60" t="s">
        <v>263</v>
      </c>
      <c r="L135" s="60" t="s">
        <v>263</v>
      </c>
      <c r="M135" s="60" t="s">
        <v>263</v>
      </c>
    </row>
    <row r="136" spans="2:13" ht="15.75" thickBot="1">
      <c r="B136" s="58" t="s">
        <v>67</v>
      </c>
      <c r="C136" s="59" t="s">
        <v>240</v>
      </c>
      <c r="D136" s="60" t="s">
        <v>94</v>
      </c>
      <c r="E136" s="60" t="s">
        <v>94</v>
      </c>
      <c r="F136" s="60" t="s">
        <v>94</v>
      </c>
      <c r="G136" s="60" t="s">
        <v>94</v>
      </c>
      <c r="H136" s="60" t="s">
        <v>94</v>
      </c>
      <c r="I136" s="60" t="s">
        <v>94</v>
      </c>
      <c r="J136" s="60" t="s">
        <v>94</v>
      </c>
      <c r="K136" s="60" t="s">
        <v>94</v>
      </c>
      <c r="L136" s="60" t="s">
        <v>94</v>
      </c>
      <c r="M136" s="60" t="s">
        <v>94</v>
      </c>
    </row>
    <row r="137" spans="2:13" ht="15.75" thickBot="1">
      <c r="B137" s="58" t="s">
        <v>256</v>
      </c>
      <c r="C137" s="59" t="s">
        <v>240</v>
      </c>
      <c r="D137" s="60" t="s">
        <v>154</v>
      </c>
      <c r="E137" s="60" t="s">
        <v>154</v>
      </c>
      <c r="F137" s="60" t="s">
        <v>154</v>
      </c>
      <c r="G137" s="60" t="s">
        <v>154</v>
      </c>
      <c r="H137" s="60" t="s">
        <v>154</v>
      </c>
      <c r="I137" s="60" t="s">
        <v>154</v>
      </c>
      <c r="J137" s="60" t="s">
        <v>154</v>
      </c>
      <c r="K137" s="60" t="s">
        <v>154</v>
      </c>
      <c r="L137" s="60" t="s">
        <v>154</v>
      </c>
      <c r="M137" s="60" t="s">
        <v>154</v>
      </c>
    </row>
    <row r="138" spans="2:13" ht="15.75" thickBot="1">
      <c r="B138" s="58" t="s">
        <v>218</v>
      </c>
      <c r="C138" s="59" t="s">
        <v>240</v>
      </c>
      <c r="D138" s="60" t="s">
        <v>89</v>
      </c>
      <c r="E138" s="60" t="s">
        <v>89</v>
      </c>
      <c r="F138" s="60" t="s">
        <v>130</v>
      </c>
      <c r="G138" s="60" t="s">
        <v>130</v>
      </c>
      <c r="H138" s="60" t="s">
        <v>135</v>
      </c>
      <c r="I138" s="60" t="s">
        <v>135</v>
      </c>
      <c r="J138" s="60" t="s">
        <v>135</v>
      </c>
      <c r="K138" s="60" t="s">
        <v>135</v>
      </c>
      <c r="L138" s="60" t="s">
        <v>90</v>
      </c>
      <c r="M138" s="60" t="s">
        <v>90</v>
      </c>
    </row>
    <row r="139" spans="2:13" ht="15.75" thickBot="1">
      <c r="B139" s="58" t="s">
        <v>37</v>
      </c>
      <c r="C139" s="59" t="s">
        <v>240</v>
      </c>
      <c r="D139" s="60" t="s">
        <v>118</v>
      </c>
      <c r="E139" s="60" t="s">
        <v>123</v>
      </c>
      <c r="F139" s="60" t="s">
        <v>350</v>
      </c>
      <c r="G139" s="60" t="s">
        <v>371</v>
      </c>
      <c r="H139" s="60" t="s">
        <v>86</v>
      </c>
      <c r="I139" s="60" t="s">
        <v>87</v>
      </c>
      <c r="J139" s="60" t="s">
        <v>136</v>
      </c>
      <c r="K139" s="60" t="s">
        <v>89</v>
      </c>
      <c r="L139" s="60" t="s">
        <v>130</v>
      </c>
      <c r="M139" s="60" t="s">
        <v>135</v>
      </c>
    </row>
    <row r="140" spans="2:13" ht="15.75" thickBot="1">
      <c r="B140" s="58" t="s">
        <v>219</v>
      </c>
      <c r="C140" s="59" t="s">
        <v>240</v>
      </c>
      <c r="D140" s="60" t="s">
        <v>136</v>
      </c>
      <c r="E140" s="60" t="s">
        <v>135</v>
      </c>
      <c r="F140" s="60" t="s">
        <v>129</v>
      </c>
      <c r="G140" s="60" t="s">
        <v>106</v>
      </c>
      <c r="H140" s="60" t="s">
        <v>105</v>
      </c>
      <c r="I140" s="60" t="s">
        <v>101</v>
      </c>
      <c r="J140" s="60" t="s">
        <v>103</v>
      </c>
      <c r="K140" s="60" t="s">
        <v>104</v>
      </c>
      <c r="L140" s="60" t="s">
        <v>94</v>
      </c>
      <c r="M140" s="60" t="s">
        <v>84</v>
      </c>
    </row>
    <row r="141" spans="2:13" ht="15.75" thickBot="1">
      <c r="B141" s="58" t="s">
        <v>264</v>
      </c>
      <c r="C141" s="59" t="s">
        <v>240</v>
      </c>
      <c r="D141" s="60" t="s">
        <v>366</v>
      </c>
      <c r="E141" s="60" t="s">
        <v>725</v>
      </c>
      <c r="F141" s="60" t="s">
        <v>132</v>
      </c>
      <c r="G141" s="60" t="s">
        <v>199</v>
      </c>
      <c r="H141" s="60" t="s">
        <v>709</v>
      </c>
      <c r="I141" s="60" t="s">
        <v>726</v>
      </c>
      <c r="J141" s="60" t="s">
        <v>190</v>
      </c>
      <c r="K141" s="60" t="s">
        <v>727</v>
      </c>
      <c r="L141" s="60" t="s">
        <v>363</v>
      </c>
      <c r="M141" s="60" t="s">
        <v>600</v>
      </c>
    </row>
    <row r="142" spans="2:13" ht="15.75" thickBot="1">
      <c r="B142" s="58" t="s">
        <v>273</v>
      </c>
      <c r="C142" s="59" t="s">
        <v>240</v>
      </c>
      <c r="D142" s="60" t="s">
        <v>274</v>
      </c>
      <c r="E142" s="60" t="s">
        <v>274</v>
      </c>
      <c r="F142" s="60" t="s">
        <v>274</v>
      </c>
      <c r="G142" s="60" t="s">
        <v>274</v>
      </c>
      <c r="H142" s="60" t="s">
        <v>274</v>
      </c>
      <c r="I142" s="60" t="s">
        <v>274</v>
      </c>
      <c r="J142" s="60" t="s">
        <v>274</v>
      </c>
      <c r="K142" s="60" t="s">
        <v>274</v>
      </c>
      <c r="L142" s="60" t="s">
        <v>274</v>
      </c>
      <c r="M142" s="60" t="s">
        <v>274</v>
      </c>
    </row>
    <row r="143" spans="2:13" ht="15.75" thickBot="1">
      <c r="B143" s="58" t="s">
        <v>276</v>
      </c>
      <c r="C143" s="59" t="s">
        <v>240</v>
      </c>
      <c r="D143" s="60" t="s">
        <v>160</v>
      </c>
      <c r="E143" s="60" t="s">
        <v>160</v>
      </c>
      <c r="F143" s="60" t="s">
        <v>160</v>
      </c>
      <c r="G143" s="60" t="s">
        <v>160</v>
      </c>
      <c r="H143" s="60" t="s">
        <v>160</v>
      </c>
      <c r="I143" s="60" t="s">
        <v>160</v>
      </c>
      <c r="J143" s="60" t="s">
        <v>160</v>
      </c>
      <c r="K143" s="60" t="s">
        <v>160</v>
      </c>
      <c r="L143" s="60" t="s">
        <v>160</v>
      </c>
      <c r="M143" s="60" t="s">
        <v>160</v>
      </c>
    </row>
    <row r="144" spans="2:13" ht="15.75" thickBot="1">
      <c r="B144" s="58" t="s">
        <v>277</v>
      </c>
      <c r="C144" s="59" t="s">
        <v>240</v>
      </c>
      <c r="D144" s="60" t="s">
        <v>124</v>
      </c>
      <c r="E144" s="60" t="s">
        <v>90</v>
      </c>
      <c r="F144" s="60" t="s">
        <v>90</v>
      </c>
      <c r="G144" s="60" t="s">
        <v>129</v>
      </c>
      <c r="H144" s="60" t="s">
        <v>109</v>
      </c>
      <c r="I144" s="60" t="s">
        <v>129</v>
      </c>
      <c r="J144" s="60" t="s">
        <v>262</v>
      </c>
      <c r="K144" s="60" t="s">
        <v>262</v>
      </c>
      <c r="L144" s="60" t="s">
        <v>106</v>
      </c>
      <c r="M144" s="60" t="s">
        <v>129</v>
      </c>
    </row>
    <row r="145" spans="2:13" ht="15.75" thickBot="1">
      <c r="B145" s="58" t="s">
        <v>279</v>
      </c>
      <c r="C145" s="59" t="s">
        <v>240</v>
      </c>
      <c r="D145" s="60" t="s">
        <v>714</v>
      </c>
      <c r="E145" s="60" t="s">
        <v>714</v>
      </c>
      <c r="F145" s="60" t="s">
        <v>714</v>
      </c>
      <c r="G145" s="60" t="s">
        <v>714</v>
      </c>
      <c r="H145" s="60" t="s">
        <v>714</v>
      </c>
      <c r="I145" s="60" t="s">
        <v>714</v>
      </c>
      <c r="J145" s="60" t="s">
        <v>714</v>
      </c>
      <c r="K145" s="60" t="s">
        <v>714</v>
      </c>
      <c r="L145" s="60" t="s">
        <v>280</v>
      </c>
      <c r="M145" s="60" t="s">
        <v>280</v>
      </c>
    </row>
    <row r="146" spans="2:13" ht="15.75" thickBot="1">
      <c r="B146" s="58" t="s">
        <v>43</v>
      </c>
      <c r="C146" s="59" t="s">
        <v>240</v>
      </c>
      <c r="D146" s="60" t="s">
        <v>281</v>
      </c>
      <c r="E146" s="60" t="s">
        <v>281</v>
      </c>
      <c r="F146" s="60" t="s">
        <v>281</v>
      </c>
      <c r="G146" s="60" t="s">
        <v>281</v>
      </c>
      <c r="H146" s="60" t="s">
        <v>281</v>
      </c>
      <c r="I146" s="60" t="s">
        <v>281</v>
      </c>
      <c r="J146" s="60" t="s">
        <v>281</v>
      </c>
      <c r="K146" s="60" t="s">
        <v>281</v>
      </c>
      <c r="L146" s="60" t="s">
        <v>281</v>
      </c>
      <c r="M146" s="60" t="s">
        <v>281</v>
      </c>
    </row>
    <row r="147" spans="2:13" ht="15.75" thickBot="1">
      <c r="B147" s="58" t="s">
        <v>222</v>
      </c>
      <c r="C147" s="59" t="s">
        <v>240</v>
      </c>
      <c r="D147" s="60" t="s">
        <v>728</v>
      </c>
      <c r="E147" s="60" t="s">
        <v>729</v>
      </c>
      <c r="F147" s="60" t="s">
        <v>730</v>
      </c>
      <c r="G147" s="60" t="s">
        <v>731</v>
      </c>
      <c r="H147" s="60" t="s">
        <v>732</v>
      </c>
      <c r="I147" s="60" t="s">
        <v>733</v>
      </c>
      <c r="J147" s="60" t="s">
        <v>734</v>
      </c>
      <c r="K147" s="60" t="s">
        <v>735</v>
      </c>
      <c r="L147" s="60" t="s">
        <v>736</v>
      </c>
      <c r="M147" s="60" t="s">
        <v>737</v>
      </c>
    </row>
    <row r="148" spans="2:13" ht="15.75" thickBot="1">
      <c r="B148" s="58" t="s">
        <v>291</v>
      </c>
      <c r="C148" s="59" t="s">
        <v>240</v>
      </c>
      <c r="D148" s="60" t="s">
        <v>738</v>
      </c>
      <c r="E148" s="60" t="s">
        <v>739</v>
      </c>
      <c r="F148" s="60" t="s">
        <v>740</v>
      </c>
      <c r="G148" s="60" t="s">
        <v>741</v>
      </c>
      <c r="H148" s="60" t="s">
        <v>742</v>
      </c>
      <c r="I148" s="60" t="s">
        <v>743</v>
      </c>
      <c r="J148" s="60" t="s">
        <v>744</v>
      </c>
      <c r="K148" s="60" t="s">
        <v>745</v>
      </c>
      <c r="L148" s="60" t="s">
        <v>746</v>
      </c>
      <c r="M148" s="60" t="s">
        <v>747</v>
      </c>
    </row>
    <row r="149" spans="2:13" ht="15.75" thickBot="1">
      <c r="B149" s="58" t="s">
        <v>305</v>
      </c>
      <c r="C149" s="39"/>
      <c r="D149" s="60">
        <v>4</v>
      </c>
      <c r="E149" s="60">
        <v>4</v>
      </c>
      <c r="F149" s="60">
        <v>6</v>
      </c>
      <c r="G149" s="60">
        <v>9</v>
      </c>
      <c r="H149" s="60">
        <v>15</v>
      </c>
      <c r="I149" s="60">
        <v>30</v>
      </c>
      <c r="J149" s="60">
        <v>51</v>
      </c>
      <c r="K149" s="60">
        <v>93</v>
      </c>
      <c r="L149" s="60">
        <v>100</v>
      </c>
      <c r="M149" s="60">
        <v>141</v>
      </c>
    </row>
    <row r="150" spans="2:13" ht="15.75" thickBot="1">
      <c r="B150" s="58" t="s">
        <v>307</v>
      </c>
      <c r="C150" s="39"/>
      <c r="D150" s="60" t="s">
        <v>357</v>
      </c>
      <c r="E150" s="60" t="s">
        <v>258</v>
      </c>
      <c r="F150" s="60" t="s">
        <v>748</v>
      </c>
      <c r="G150" s="60" t="s">
        <v>259</v>
      </c>
      <c r="H150" s="60" t="s">
        <v>180</v>
      </c>
      <c r="I150" s="60" t="s">
        <v>749</v>
      </c>
      <c r="J150" s="60" t="s">
        <v>750</v>
      </c>
      <c r="K150" s="60" t="s">
        <v>395</v>
      </c>
      <c r="L150" s="60" t="s">
        <v>751</v>
      </c>
      <c r="M150" s="60" t="s">
        <v>751</v>
      </c>
    </row>
    <row r="151" spans="2:13" ht="15.75" thickBot="1">
      <c r="B151" s="58" t="s">
        <v>310</v>
      </c>
      <c r="C151" s="59" t="s">
        <v>63</v>
      </c>
      <c r="D151" s="60" t="s">
        <v>752</v>
      </c>
      <c r="E151" s="60" t="s">
        <v>753</v>
      </c>
      <c r="F151" s="60" t="s">
        <v>754</v>
      </c>
      <c r="G151" s="60" t="s">
        <v>755</v>
      </c>
      <c r="H151" s="60" t="s">
        <v>683</v>
      </c>
      <c r="I151" s="60" t="s">
        <v>756</v>
      </c>
      <c r="J151" s="60" t="s">
        <v>533</v>
      </c>
      <c r="K151" s="60" t="s">
        <v>757</v>
      </c>
      <c r="L151" s="60" t="s">
        <v>311</v>
      </c>
      <c r="M151" s="60" t="s">
        <v>311</v>
      </c>
    </row>
    <row r="152" spans="2:13" ht="15.75" thickBot="1">
      <c r="B152" s="58" t="s">
        <v>315</v>
      </c>
      <c r="C152" s="59" t="s">
        <v>63</v>
      </c>
      <c r="D152" s="60" t="s">
        <v>94</v>
      </c>
      <c r="E152" s="60" t="s">
        <v>83</v>
      </c>
      <c r="F152" s="60" t="s">
        <v>82</v>
      </c>
      <c r="G152" s="60" t="s">
        <v>80</v>
      </c>
      <c r="H152" s="60" t="s">
        <v>75</v>
      </c>
      <c r="I152" s="60" t="s">
        <v>95</v>
      </c>
      <c r="J152" s="60" t="s">
        <v>95</v>
      </c>
      <c r="K152" s="60" t="s">
        <v>95</v>
      </c>
      <c r="L152" s="60" t="s">
        <v>96</v>
      </c>
      <c r="M152" s="60" t="s">
        <v>96</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8"/>
  <sheetViews>
    <sheetView workbookViewId="0">
      <selection sqref="A1:B1"/>
    </sheetView>
  </sheetViews>
  <sheetFormatPr defaultRowHeight="15"/>
  <cols>
    <col min="1" max="1" width="11.28515625" bestFit="1" customWidth="1"/>
  </cols>
  <sheetData>
    <row r="1" spans="1:18" s="62" customFormat="1" ht="26.25">
      <c r="A1" s="62" t="s">
        <v>770</v>
      </c>
      <c r="B1" s="62" t="s">
        <v>768</v>
      </c>
    </row>
    <row r="2" spans="1:18">
      <c r="B2" s="38"/>
    </row>
    <row r="3" spans="1:18" ht="15.75" thickBot="1">
      <c r="B3" s="38" t="s">
        <v>400</v>
      </c>
    </row>
    <row r="4" spans="1:18" ht="15.75" thickBot="1">
      <c r="B4" s="41" t="s">
        <v>44</v>
      </c>
      <c r="C4" s="42" t="s">
        <v>69</v>
      </c>
      <c r="D4" s="43" t="s">
        <v>401</v>
      </c>
      <c r="E4" s="43" t="s">
        <v>402</v>
      </c>
      <c r="F4" s="43" t="s">
        <v>403</v>
      </c>
      <c r="G4" s="43" t="s">
        <v>404</v>
      </c>
      <c r="H4" s="43" t="s">
        <v>405</v>
      </c>
      <c r="I4" s="43" t="s">
        <v>406</v>
      </c>
      <c r="J4" s="43" t="s">
        <v>407</v>
      </c>
      <c r="K4" s="43" t="s">
        <v>408</v>
      </c>
      <c r="L4" s="43" t="s">
        <v>409</v>
      </c>
      <c r="M4" s="43" t="s">
        <v>410</v>
      </c>
      <c r="N4" s="43" t="s">
        <v>411</v>
      </c>
      <c r="O4" s="43" t="s">
        <v>412</v>
      </c>
      <c r="P4" s="43" t="s">
        <v>413</v>
      </c>
      <c r="Q4" s="43" t="s">
        <v>414</v>
      </c>
      <c r="R4" s="43" t="s">
        <v>415</v>
      </c>
    </row>
    <row r="5" spans="1:18" ht="15.75" thickBot="1">
      <c r="B5" s="44" t="s">
        <v>239</v>
      </c>
      <c r="C5" s="45" t="s">
        <v>416</v>
      </c>
      <c r="D5" s="46" t="s">
        <v>83</v>
      </c>
      <c r="E5" s="46" t="s">
        <v>83</v>
      </c>
      <c r="F5" s="46" t="s">
        <v>102</v>
      </c>
      <c r="G5" s="46" t="s">
        <v>102</v>
      </c>
      <c r="H5" s="46" t="s">
        <v>78</v>
      </c>
      <c r="I5" s="46" t="s">
        <v>78</v>
      </c>
      <c r="J5" s="46" t="s">
        <v>85</v>
      </c>
      <c r="K5" s="46" t="s">
        <v>79</v>
      </c>
      <c r="L5" s="46" t="s">
        <v>214</v>
      </c>
      <c r="M5" s="46" t="s">
        <v>202</v>
      </c>
      <c r="N5" s="46" t="s">
        <v>164</v>
      </c>
      <c r="O5" s="46" t="s">
        <v>143</v>
      </c>
      <c r="P5" s="46" t="s">
        <v>145</v>
      </c>
      <c r="Q5" s="46" t="s">
        <v>215</v>
      </c>
      <c r="R5" s="46" t="s">
        <v>417</v>
      </c>
    </row>
    <row r="6" spans="1:18" ht="18.75" thickBot="1">
      <c r="B6" s="44" t="s">
        <v>221</v>
      </c>
      <c r="C6" s="45" t="s">
        <v>416</v>
      </c>
      <c r="D6" s="46" t="s">
        <v>83</v>
      </c>
      <c r="E6" s="46" t="s">
        <v>83</v>
      </c>
      <c r="F6" s="46" t="s">
        <v>83</v>
      </c>
      <c r="G6" s="46" t="s">
        <v>102</v>
      </c>
      <c r="H6" s="46" t="s">
        <v>102</v>
      </c>
      <c r="I6" s="46" t="s">
        <v>102</v>
      </c>
      <c r="J6" s="46" t="s">
        <v>78</v>
      </c>
      <c r="K6" s="46" t="s">
        <v>85</v>
      </c>
      <c r="L6" s="46" t="s">
        <v>79</v>
      </c>
      <c r="M6" s="46" t="s">
        <v>112</v>
      </c>
      <c r="N6" s="46" t="s">
        <v>211</v>
      </c>
      <c r="O6" s="46" t="s">
        <v>216</v>
      </c>
      <c r="P6" s="46" t="s">
        <v>117</v>
      </c>
      <c r="Q6" s="46" t="s">
        <v>142</v>
      </c>
      <c r="R6" s="46" t="s">
        <v>141</v>
      </c>
    </row>
    <row r="7" spans="1:18" ht="18.75" thickBot="1">
      <c r="B7" s="44" t="s">
        <v>220</v>
      </c>
      <c r="C7" s="45" t="s">
        <v>416</v>
      </c>
      <c r="D7" s="46" t="s">
        <v>146</v>
      </c>
      <c r="E7" s="46" t="s">
        <v>215</v>
      </c>
      <c r="F7" s="46" t="s">
        <v>141</v>
      </c>
      <c r="G7" s="46" t="s">
        <v>145</v>
      </c>
      <c r="H7" s="46" t="s">
        <v>143</v>
      </c>
      <c r="I7" s="46" t="s">
        <v>117</v>
      </c>
      <c r="J7" s="46" t="s">
        <v>202</v>
      </c>
      <c r="K7" s="46" t="s">
        <v>112</v>
      </c>
      <c r="L7" s="46" t="s">
        <v>85</v>
      </c>
      <c r="M7" s="46" t="s">
        <v>418</v>
      </c>
      <c r="N7" s="46" t="s">
        <v>78</v>
      </c>
      <c r="O7" s="46" t="s">
        <v>214</v>
      </c>
      <c r="P7" s="46" t="s">
        <v>117</v>
      </c>
      <c r="Q7" s="46" t="s">
        <v>203</v>
      </c>
      <c r="R7" s="46" t="s">
        <v>146</v>
      </c>
    </row>
    <row r="8" spans="1:18" ht="18.75" thickBot="1">
      <c r="B8" s="44" t="s">
        <v>217</v>
      </c>
      <c r="C8" s="45" t="s">
        <v>416</v>
      </c>
      <c r="D8" s="46" t="s">
        <v>419</v>
      </c>
      <c r="E8" s="46" t="s">
        <v>420</v>
      </c>
      <c r="F8" s="46" t="s">
        <v>421</v>
      </c>
      <c r="G8" s="46" t="s">
        <v>422</v>
      </c>
      <c r="H8" s="46" t="s">
        <v>423</v>
      </c>
      <c r="I8" s="46" t="s">
        <v>424</v>
      </c>
      <c r="J8" s="46" t="s">
        <v>425</v>
      </c>
      <c r="K8" s="46" t="s">
        <v>425</v>
      </c>
      <c r="L8" s="46" t="s">
        <v>426</v>
      </c>
      <c r="M8" s="46" t="s">
        <v>426</v>
      </c>
      <c r="N8" s="46" t="s">
        <v>426</v>
      </c>
      <c r="O8" s="46" t="s">
        <v>427</v>
      </c>
      <c r="P8" s="46" t="s">
        <v>426</v>
      </c>
      <c r="Q8" s="46" t="s">
        <v>426</v>
      </c>
      <c r="R8" s="46" t="s">
        <v>426</v>
      </c>
    </row>
    <row r="9" spans="1:18" ht="18.75" thickBot="1">
      <c r="B9" s="44" t="s">
        <v>67</v>
      </c>
      <c r="C9" s="45" t="s">
        <v>416</v>
      </c>
      <c r="D9" s="46" t="s">
        <v>428</v>
      </c>
      <c r="E9" s="46" t="s">
        <v>429</v>
      </c>
      <c r="F9" s="46" t="s">
        <v>430</v>
      </c>
      <c r="G9" s="46" t="s">
        <v>431</v>
      </c>
      <c r="H9" s="46" t="s">
        <v>420</v>
      </c>
      <c r="I9" s="46" t="s">
        <v>421</v>
      </c>
      <c r="J9" s="46" t="s">
        <v>422</v>
      </c>
      <c r="K9" s="46" t="s">
        <v>423</v>
      </c>
      <c r="L9" s="46" t="s">
        <v>424</v>
      </c>
      <c r="M9" s="46" t="s">
        <v>424</v>
      </c>
      <c r="N9" s="46" t="s">
        <v>424</v>
      </c>
      <c r="O9" s="46" t="s">
        <v>424</v>
      </c>
      <c r="P9" s="46" t="s">
        <v>424</v>
      </c>
      <c r="Q9" s="46" t="s">
        <v>424</v>
      </c>
      <c r="R9" s="46" t="s">
        <v>423</v>
      </c>
    </row>
    <row r="10" spans="1:18" ht="18.75" thickBot="1">
      <c r="B10" s="44" t="s">
        <v>256</v>
      </c>
      <c r="C10" s="45" t="s">
        <v>416</v>
      </c>
      <c r="D10" s="46" t="s">
        <v>432</v>
      </c>
      <c r="E10" s="46" t="s">
        <v>432</v>
      </c>
      <c r="F10" s="46" t="s">
        <v>432</v>
      </c>
      <c r="G10" s="46" t="s">
        <v>432</v>
      </c>
      <c r="H10" s="46" t="s">
        <v>432</v>
      </c>
      <c r="I10" s="46" t="s">
        <v>432</v>
      </c>
      <c r="J10" s="46" t="s">
        <v>432</v>
      </c>
      <c r="K10" s="46" t="s">
        <v>432</v>
      </c>
      <c r="L10" s="46" t="s">
        <v>432</v>
      </c>
      <c r="M10" s="46" t="s">
        <v>432</v>
      </c>
      <c r="N10" s="46" t="s">
        <v>432</v>
      </c>
      <c r="O10" s="46" t="s">
        <v>432</v>
      </c>
      <c r="P10" s="46" t="s">
        <v>432</v>
      </c>
      <c r="Q10" s="46" t="s">
        <v>432</v>
      </c>
      <c r="R10" s="46" t="s">
        <v>432</v>
      </c>
    </row>
    <row r="11" spans="1:18" ht="18.75" thickBot="1">
      <c r="B11" s="44" t="s">
        <v>218</v>
      </c>
      <c r="C11" s="45" t="s">
        <v>416</v>
      </c>
      <c r="D11" s="46" t="s">
        <v>433</v>
      </c>
      <c r="E11" s="46" t="s">
        <v>427</v>
      </c>
      <c r="F11" s="46" t="s">
        <v>427</v>
      </c>
      <c r="G11" s="46" t="s">
        <v>434</v>
      </c>
      <c r="H11" s="46" t="s">
        <v>435</v>
      </c>
      <c r="I11" s="46" t="s">
        <v>435</v>
      </c>
      <c r="J11" s="46" t="s">
        <v>436</v>
      </c>
      <c r="K11" s="46" t="s">
        <v>436</v>
      </c>
      <c r="L11" s="46" t="s">
        <v>437</v>
      </c>
      <c r="M11" s="46" t="s">
        <v>437</v>
      </c>
      <c r="N11" s="46" t="s">
        <v>432</v>
      </c>
      <c r="O11" s="46" t="s">
        <v>438</v>
      </c>
      <c r="P11" s="46" t="s">
        <v>432</v>
      </c>
      <c r="Q11" s="46" t="s">
        <v>437</v>
      </c>
      <c r="R11" s="46" t="s">
        <v>436</v>
      </c>
    </row>
    <row r="12" spans="1:18" ht="15.75" thickBot="1">
      <c r="B12" s="44" t="s">
        <v>37</v>
      </c>
      <c r="C12" s="45" t="s">
        <v>416</v>
      </c>
      <c r="D12" s="46" t="s">
        <v>85</v>
      </c>
      <c r="E12" s="46" t="s">
        <v>78</v>
      </c>
      <c r="F12" s="46" t="s">
        <v>78</v>
      </c>
      <c r="G12" s="46" t="s">
        <v>102</v>
      </c>
      <c r="H12" s="46" t="s">
        <v>102</v>
      </c>
      <c r="I12" s="46" t="s">
        <v>83</v>
      </c>
      <c r="J12" s="46" t="s">
        <v>83</v>
      </c>
      <c r="K12" s="46" t="s">
        <v>418</v>
      </c>
      <c r="L12" s="46" t="s">
        <v>418</v>
      </c>
      <c r="M12" s="46" t="s">
        <v>83</v>
      </c>
      <c r="N12" s="46" t="s">
        <v>83</v>
      </c>
      <c r="O12" s="46" t="s">
        <v>102</v>
      </c>
      <c r="P12" s="46" t="s">
        <v>78</v>
      </c>
      <c r="Q12" s="46" t="s">
        <v>85</v>
      </c>
      <c r="R12" s="46" t="s">
        <v>112</v>
      </c>
    </row>
    <row r="13" spans="1:18" ht="18.75" thickBot="1">
      <c r="B13" s="44" t="s">
        <v>219</v>
      </c>
      <c r="C13" s="45" t="s">
        <v>416</v>
      </c>
      <c r="D13" s="46" t="s">
        <v>211</v>
      </c>
      <c r="E13" s="46" t="s">
        <v>214</v>
      </c>
      <c r="F13" s="46" t="s">
        <v>112</v>
      </c>
      <c r="G13" s="46" t="s">
        <v>112</v>
      </c>
      <c r="H13" s="46" t="s">
        <v>79</v>
      </c>
      <c r="I13" s="46" t="s">
        <v>85</v>
      </c>
      <c r="J13" s="46" t="s">
        <v>85</v>
      </c>
      <c r="K13" s="46" t="s">
        <v>85</v>
      </c>
      <c r="L13" s="46" t="s">
        <v>78</v>
      </c>
      <c r="M13" s="46" t="s">
        <v>78</v>
      </c>
      <c r="N13" s="46" t="s">
        <v>78</v>
      </c>
      <c r="O13" s="46" t="s">
        <v>102</v>
      </c>
      <c r="P13" s="46" t="s">
        <v>102</v>
      </c>
      <c r="Q13" s="46" t="s">
        <v>102</v>
      </c>
      <c r="R13" s="46" t="s">
        <v>102</v>
      </c>
    </row>
    <row r="14" spans="1:18" ht="18.75" thickBot="1">
      <c r="B14" s="44" t="s">
        <v>264</v>
      </c>
      <c r="C14" s="45" t="s">
        <v>416</v>
      </c>
      <c r="D14" s="46" t="s">
        <v>164</v>
      </c>
      <c r="E14" s="46" t="s">
        <v>216</v>
      </c>
      <c r="F14" s="46" t="s">
        <v>202</v>
      </c>
      <c r="G14" s="46" t="s">
        <v>211</v>
      </c>
      <c r="H14" s="46" t="s">
        <v>214</v>
      </c>
      <c r="I14" s="46" t="s">
        <v>214</v>
      </c>
      <c r="J14" s="46" t="s">
        <v>112</v>
      </c>
      <c r="K14" s="46" t="s">
        <v>79</v>
      </c>
      <c r="L14" s="46" t="s">
        <v>79</v>
      </c>
      <c r="M14" s="46" t="s">
        <v>79</v>
      </c>
      <c r="N14" s="46" t="s">
        <v>85</v>
      </c>
      <c r="O14" s="46" t="s">
        <v>85</v>
      </c>
      <c r="P14" s="46" t="s">
        <v>85</v>
      </c>
      <c r="Q14" s="46" t="s">
        <v>85</v>
      </c>
      <c r="R14" s="46" t="s">
        <v>85</v>
      </c>
    </row>
    <row r="15" spans="1:18" ht="15.75" thickBot="1">
      <c r="B15" s="44" t="s">
        <v>222</v>
      </c>
      <c r="C15" s="45" t="s">
        <v>416</v>
      </c>
      <c r="D15" s="46" t="s">
        <v>439</v>
      </c>
      <c r="E15" s="46" t="s">
        <v>440</v>
      </c>
      <c r="F15" s="46" t="s">
        <v>441</v>
      </c>
      <c r="G15" s="46" t="s">
        <v>442</v>
      </c>
      <c r="H15" s="46" t="s">
        <v>443</v>
      </c>
      <c r="I15" s="46" t="s">
        <v>444</v>
      </c>
      <c r="J15" s="46" t="s">
        <v>445</v>
      </c>
      <c r="K15" s="46" t="s">
        <v>446</v>
      </c>
      <c r="L15" s="46" t="s">
        <v>447</v>
      </c>
      <c r="M15" s="46" t="s">
        <v>448</v>
      </c>
      <c r="N15" s="46" t="s">
        <v>449</v>
      </c>
      <c r="O15" s="46" t="s">
        <v>450</v>
      </c>
      <c r="P15" s="46" t="s">
        <v>451</v>
      </c>
      <c r="Q15" s="46" t="s">
        <v>452</v>
      </c>
      <c r="R15" s="46" t="s">
        <v>453</v>
      </c>
    </row>
    <row r="16" spans="1:18" ht="27.75" thickBot="1">
      <c r="B16" s="44" t="s">
        <v>454</v>
      </c>
      <c r="C16" s="45" t="s">
        <v>416</v>
      </c>
      <c r="D16" s="46" t="s">
        <v>418</v>
      </c>
      <c r="E16" s="46" t="s">
        <v>418</v>
      </c>
      <c r="F16" s="46" t="s">
        <v>418</v>
      </c>
      <c r="G16" s="46" t="s">
        <v>418</v>
      </c>
      <c r="H16" s="46" t="s">
        <v>83</v>
      </c>
      <c r="I16" s="46" t="s">
        <v>83</v>
      </c>
      <c r="J16" s="46" t="s">
        <v>83</v>
      </c>
      <c r="K16" s="46" t="s">
        <v>83</v>
      </c>
      <c r="L16" s="46" t="s">
        <v>102</v>
      </c>
      <c r="M16" s="46" t="s">
        <v>102</v>
      </c>
      <c r="N16" s="46" t="s">
        <v>78</v>
      </c>
      <c r="O16" s="46" t="s">
        <v>85</v>
      </c>
      <c r="P16" s="46" t="s">
        <v>112</v>
      </c>
      <c r="Q16" s="46" t="s">
        <v>211</v>
      </c>
      <c r="R16" s="46" t="s">
        <v>164</v>
      </c>
    </row>
    <row r="17" spans="2:18" ht="18.75" thickBot="1">
      <c r="B17" s="44" t="s">
        <v>455</v>
      </c>
      <c r="C17" s="45" t="s">
        <v>416</v>
      </c>
      <c r="D17" s="46" t="s">
        <v>456</v>
      </c>
      <c r="E17" s="46" t="s">
        <v>457</v>
      </c>
      <c r="F17" s="46" t="s">
        <v>458</v>
      </c>
      <c r="G17" s="46" t="s">
        <v>459</v>
      </c>
      <c r="H17" s="46" t="s">
        <v>460</v>
      </c>
      <c r="I17" s="46" t="s">
        <v>461</v>
      </c>
      <c r="J17" s="46" t="s">
        <v>462</v>
      </c>
      <c r="K17" s="46" t="s">
        <v>462</v>
      </c>
      <c r="L17" s="46" t="s">
        <v>462</v>
      </c>
      <c r="M17" s="46" t="s">
        <v>462</v>
      </c>
      <c r="N17" s="46" t="s">
        <v>462</v>
      </c>
      <c r="O17" s="46" t="s">
        <v>462</v>
      </c>
      <c r="P17" s="46" t="s">
        <v>462</v>
      </c>
      <c r="Q17" s="46" t="s">
        <v>462</v>
      </c>
      <c r="R17" s="46" t="s">
        <v>462</v>
      </c>
    </row>
    <row r="18" spans="2:18" ht="15.75" thickBot="1">
      <c r="B18" s="44" t="s">
        <v>463</v>
      </c>
      <c r="C18" s="45" t="s">
        <v>416</v>
      </c>
      <c r="D18" s="46" t="s">
        <v>464</v>
      </c>
      <c r="E18" s="46" t="s">
        <v>464</v>
      </c>
      <c r="F18" s="46" t="s">
        <v>464</v>
      </c>
      <c r="G18" s="46" t="s">
        <v>464</v>
      </c>
      <c r="H18" s="46" t="s">
        <v>464</v>
      </c>
      <c r="I18" s="46" t="s">
        <v>464</v>
      </c>
      <c r="J18" s="46" t="s">
        <v>464</v>
      </c>
      <c r="K18" s="46" t="s">
        <v>464</v>
      </c>
      <c r="L18" s="46" t="s">
        <v>464</v>
      </c>
      <c r="M18" s="46" t="s">
        <v>464</v>
      </c>
      <c r="N18" s="46" t="s">
        <v>464</v>
      </c>
      <c r="O18" s="46" t="s">
        <v>464</v>
      </c>
      <c r="P18" s="46" t="s">
        <v>464</v>
      </c>
      <c r="Q18" s="46" t="s">
        <v>464</v>
      </c>
      <c r="R18" s="46" t="s">
        <v>464</v>
      </c>
    </row>
    <row r="19" spans="2:18" ht="15.75" thickBot="1">
      <c r="B19" s="44" t="s">
        <v>291</v>
      </c>
      <c r="C19" s="45" t="s">
        <v>416</v>
      </c>
      <c r="D19" s="46" t="s">
        <v>465</v>
      </c>
      <c r="E19" s="46" t="s">
        <v>466</v>
      </c>
      <c r="F19" s="46" t="s">
        <v>467</v>
      </c>
      <c r="G19" s="46" t="s">
        <v>468</v>
      </c>
      <c r="H19" s="46" t="s">
        <v>469</v>
      </c>
      <c r="I19" s="46" t="s">
        <v>470</v>
      </c>
      <c r="J19" s="46" t="s">
        <v>471</v>
      </c>
      <c r="K19" s="46" t="s">
        <v>472</v>
      </c>
      <c r="L19" s="46" t="s">
        <v>473</v>
      </c>
      <c r="M19" s="46" t="s">
        <v>474</v>
      </c>
      <c r="N19" s="46" t="s">
        <v>475</v>
      </c>
      <c r="O19" s="46" t="s">
        <v>476</v>
      </c>
      <c r="P19" s="46" t="s">
        <v>477</v>
      </c>
      <c r="Q19" s="46" t="s">
        <v>478</v>
      </c>
      <c r="R19" s="46" t="s">
        <v>478</v>
      </c>
    </row>
    <row r="20" spans="2:18" ht="27.75" thickBot="1">
      <c r="B20" s="44" t="s">
        <v>305</v>
      </c>
      <c r="C20" s="45" t="s">
        <v>416</v>
      </c>
      <c r="D20" s="46" t="s">
        <v>306</v>
      </c>
      <c r="E20" s="46" t="s">
        <v>306</v>
      </c>
      <c r="F20" s="46" t="s">
        <v>306</v>
      </c>
      <c r="G20" s="46" t="s">
        <v>306</v>
      </c>
      <c r="H20" s="46" t="s">
        <v>306</v>
      </c>
      <c r="I20" s="46" t="s">
        <v>306</v>
      </c>
      <c r="J20" s="46" t="s">
        <v>306</v>
      </c>
      <c r="K20" s="46" t="s">
        <v>306</v>
      </c>
      <c r="L20" s="46" t="s">
        <v>306</v>
      </c>
      <c r="M20" s="46" t="s">
        <v>306</v>
      </c>
      <c r="N20" s="46" t="s">
        <v>306</v>
      </c>
      <c r="O20" s="46" t="s">
        <v>306</v>
      </c>
      <c r="P20" s="46" t="s">
        <v>306</v>
      </c>
      <c r="Q20" s="46" t="s">
        <v>306</v>
      </c>
      <c r="R20" s="46" t="s">
        <v>306</v>
      </c>
    </row>
    <row r="21" spans="2:18" ht="15.75" thickBot="1">
      <c r="B21" s="44" t="s">
        <v>479</v>
      </c>
      <c r="C21" s="45" t="s">
        <v>416</v>
      </c>
      <c r="D21" s="46" t="s">
        <v>141</v>
      </c>
      <c r="E21" s="46" t="s">
        <v>141</v>
      </c>
      <c r="F21" s="46" t="s">
        <v>141</v>
      </c>
      <c r="G21" s="46" t="s">
        <v>141</v>
      </c>
      <c r="H21" s="46" t="s">
        <v>141</v>
      </c>
      <c r="I21" s="46" t="s">
        <v>141</v>
      </c>
      <c r="J21" s="46" t="s">
        <v>141</v>
      </c>
      <c r="K21" s="46" t="s">
        <v>141</v>
      </c>
      <c r="L21" s="46" t="s">
        <v>141</v>
      </c>
      <c r="M21" s="46" t="s">
        <v>141</v>
      </c>
      <c r="N21" s="46" t="s">
        <v>141</v>
      </c>
      <c r="O21" s="46" t="s">
        <v>141</v>
      </c>
      <c r="P21" s="46" t="s">
        <v>141</v>
      </c>
      <c r="Q21" s="46" t="s">
        <v>141</v>
      </c>
      <c r="R21" s="46" t="s">
        <v>141</v>
      </c>
    </row>
    <row r="22" spans="2:18" ht="15.75" thickBot="1">
      <c r="B22" s="44" t="s">
        <v>310</v>
      </c>
      <c r="C22" s="45" t="s">
        <v>480</v>
      </c>
      <c r="D22" s="50">
        <v>1599</v>
      </c>
      <c r="E22" s="50">
        <v>1275</v>
      </c>
      <c r="F22" s="50">
        <v>1015</v>
      </c>
      <c r="G22" s="46" t="s">
        <v>481</v>
      </c>
      <c r="H22" s="46" t="s">
        <v>482</v>
      </c>
      <c r="I22" s="46" t="s">
        <v>483</v>
      </c>
      <c r="J22" s="46" t="s">
        <v>484</v>
      </c>
      <c r="K22" s="46" t="s">
        <v>485</v>
      </c>
      <c r="L22" s="46" t="s">
        <v>486</v>
      </c>
      <c r="M22" s="46" t="s">
        <v>487</v>
      </c>
      <c r="N22" s="46" t="s">
        <v>487</v>
      </c>
      <c r="O22" s="46" t="s">
        <v>488</v>
      </c>
      <c r="P22" s="46" t="s">
        <v>488</v>
      </c>
      <c r="Q22" s="46" t="s">
        <v>488</v>
      </c>
      <c r="R22" s="46" t="s">
        <v>488</v>
      </c>
    </row>
    <row r="23" spans="2:18" ht="15.75" thickBot="1">
      <c r="B23" s="44" t="s">
        <v>315</v>
      </c>
      <c r="C23" s="45" t="s">
        <v>480</v>
      </c>
      <c r="D23" s="46" t="s">
        <v>142</v>
      </c>
      <c r="E23" s="46" t="s">
        <v>144</v>
      </c>
      <c r="F23" s="46" t="s">
        <v>164</v>
      </c>
      <c r="G23" s="46" t="s">
        <v>202</v>
      </c>
      <c r="H23" s="46" t="s">
        <v>214</v>
      </c>
      <c r="I23" s="46" t="s">
        <v>112</v>
      </c>
      <c r="J23" s="46" t="s">
        <v>112</v>
      </c>
      <c r="K23" s="46" t="s">
        <v>112</v>
      </c>
      <c r="L23" s="46" t="s">
        <v>112</v>
      </c>
      <c r="M23" s="46" t="s">
        <v>112</v>
      </c>
      <c r="N23" s="46" t="s">
        <v>112</v>
      </c>
      <c r="O23" s="46" t="s">
        <v>112</v>
      </c>
      <c r="P23" s="46" t="s">
        <v>112</v>
      </c>
      <c r="Q23" s="46" t="s">
        <v>112</v>
      </c>
      <c r="R23" s="46" t="s">
        <v>112</v>
      </c>
    </row>
    <row r="24" spans="2:18">
      <c r="B24" s="38"/>
    </row>
    <row r="25" spans="2:18">
      <c r="B25" s="38"/>
    </row>
    <row r="26" spans="2:18" ht="15.75" thickBot="1">
      <c r="B26" s="38" t="s">
        <v>489</v>
      </c>
    </row>
    <row r="27" spans="2:18" ht="15.75" thickBot="1">
      <c r="B27" s="51" t="s">
        <v>44</v>
      </c>
      <c r="C27" s="47" t="s">
        <v>69</v>
      </c>
      <c r="D27" s="43" t="s">
        <v>490</v>
      </c>
      <c r="E27" s="43" t="s">
        <v>491</v>
      </c>
      <c r="F27" s="43" t="s">
        <v>492</v>
      </c>
      <c r="G27" s="43" t="s">
        <v>493</v>
      </c>
      <c r="H27" s="43" t="s">
        <v>494</v>
      </c>
      <c r="I27" s="43" t="s">
        <v>495</v>
      </c>
      <c r="J27" s="43" t="s">
        <v>496</v>
      </c>
      <c r="K27" s="43" t="s">
        <v>497</v>
      </c>
      <c r="L27" s="43" t="s">
        <v>498</v>
      </c>
      <c r="M27" s="43" t="s">
        <v>499</v>
      </c>
      <c r="N27" s="43" t="s">
        <v>500</v>
      </c>
      <c r="O27" s="43" t="s">
        <v>501</v>
      </c>
      <c r="P27" s="43">
        <v>10000</v>
      </c>
    </row>
    <row r="28" spans="2:18" ht="15.75" thickBot="1">
      <c r="B28" s="52" t="s">
        <v>239</v>
      </c>
      <c r="C28" s="48" t="s">
        <v>416</v>
      </c>
      <c r="D28" s="46" t="s">
        <v>502</v>
      </c>
      <c r="E28" s="46" t="s">
        <v>210</v>
      </c>
      <c r="F28" s="46" t="s">
        <v>503</v>
      </c>
      <c r="G28" s="46" t="s">
        <v>183</v>
      </c>
      <c r="H28" s="46" t="s">
        <v>182</v>
      </c>
      <c r="I28" s="46" t="s">
        <v>504</v>
      </c>
      <c r="J28" s="46" t="s">
        <v>505</v>
      </c>
      <c r="K28" s="46" t="s">
        <v>506</v>
      </c>
      <c r="L28" s="46" t="s">
        <v>507</v>
      </c>
      <c r="M28" s="46" t="s">
        <v>508</v>
      </c>
      <c r="N28" s="46" t="s">
        <v>509</v>
      </c>
      <c r="O28" s="46" t="s">
        <v>510</v>
      </c>
      <c r="P28" s="46" t="s">
        <v>511</v>
      </c>
    </row>
    <row r="29" spans="2:18" ht="18.75" thickBot="1">
      <c r="B29" s="52" t="s">
        <v>221</v>
      </c>
      <c r="C29" s="48" t="s">
        <v>416</v>
      </c>
      <c r="D29" s="46" t="s">
        <v>146</v>
      </c>
      <c r="E29" s="46" t="s">
        <v>512</v>
      </c>
      <c r="F29" s="46" t="s">
        <v>513</v>
      </c>
      <c r="G29" s="46" t="s">
        <v>514</v>
      </c>
      <c r="H29" s="46" t="s">
        <v>184</v>
      </c>
      <c r="I29" s="46" t="s">
        <v>515</v>
      </c>
      <c r="J29" s="46" t="s">
        <v>516</v>
      </c>
      <c r="K29" s="46" t="s">
        <v>517</v>
      </c>
      <c r="L29" s="46" t="s">
        <v>518</v>
      </c>
      <c r="M29" s="46" t="s">
        <v>519</v>
      </c>
      <c r="N29" s="46" t="s">
        <v>520</v>
      </c>
      <c r="O29" s="46" t="s">
        <v>521</v>
      </c>
      <c r="P29" s="46" t="s">
        <v>206</v>
      </c>
    </row>
    <row r="30" spans="2:18" ht="18.75" thickBot="1">
      <c r="B30" s="52" t="s">
        <v>220</v>
      </c>
      <c r="C30" s="48" t="s">
        <v>416</v>
      </c>
      <c r="D30" s="46" t="s">
        <v>502</v>
      </c>
      <c r="E30" s="46" t="s">
        <v>522</v>
      </c>
      <c r="F30" s="46" t="s">
        <v>523</v>
      </c>
      <c r="G30" s="46" t="s">
        <v>524</v>
      </c>
      <c r="H30" s="46" t="s">
        <v>525</v>
      </c>
      <c r="I30" s="46" t="s">
        <v>205</v>
      </c>
      <c r="J30" s="46" t="s">
        <v>526</v>
      </c>
      <c r="K30" s="46" t="s">
        <v>527</v>
      </c>
      <c r="L30" s="46" t="s">
        <v>528</v>
      </c>
      <c r="M30" s="46" t="s">
        <v>529</v>
      </c>
      <c r="N30" s="46" t="s">
        <v>185</v>
      </c>
      <c r="O30" s="46" t="s">
        <v>530</v>
      </c>
      <c r="P30" s="46" t="s">
        <v>531</v>
      </c>
    </row>
    <row r="31" spans="2:18" ht="18.75" thickBot="1">
      <c r="B31" s="52" t="s">
        <v>217</v>
      </c>
      <c r="C31" s="48" t="s">
        <v>416</v>
      </c>
      <c r="D31" s="46" t="s">
        <v>425</v>
      </c>
      <c r="E31" s="46" t="s">
        <v>424</v>
      </c>
      <c r="F31" s="46" t="s">
        <v>422</v>
      </c>
      <c r="G31" s="46" t="s">
        <v>420</v>
      </c>
      <c r="H31" s="46" t="s">
        <v>430</v>
      </c>
      <c r="I31" s="46" t="s">
        <v>532</v>
      </c>
      <c r="J31" s="46" t="s">
        <v>312</v>
      </c>
      <c r="K31" s="46" t="s">
        <v>533</v>
      </c>
      <c r="L31" s="46" t="s">
        <v>534</v>
      </c>
      <c r="M31" s="46" t="s">
        <v>535</v>
      </c>
      <c r="N31" s="46" t="s">
        <v>536</v>
      </c>
      <c r="O31" s="46" t="s">
        <v>537</v>
      </c>
      <c r="P31" s="46" t="s">
        <v>538</v>
      </c>
    </row>
    <row r="32" spans="2:18" ht="18.75" thickBot="1">
      <c r="B32" s="52" t="s">
        <v>67</v>
      </c>
      <c r="C32" s="48" t="s">
        <v>416</v>
      </c>
      <c r="D32" s="46" t="s">
        <v>422</v>
      </c>
      <c r="E32" s="46" t="s">
        <v>420</v>
      </c>
      <c r="F32" s="46" t="s">
        <v>419</v>
      </c>
      <c r="G32" s="46" t="s">
        <v>428</v>
      </c>
      <c r="H32" s="46" t="s">
        <v>397</v>
      </c>
      <c r="I32" s="46" t="s">
        <v>539</v>
      </c>
      <c r="J32" s="46" t="s">
        <v>533</v>
      </c>
      <c r="K32" s="46" t="s">
        <v>540</v>
      </c>
      <c r="L32" s="46" t="s">
        <v>541</v>
      </c>
      <c r="M32" s="46" t="s">
        <v>542</v>
      </c>
      <c r="N32" s="46" t="s">
        <v>543</v>
      </c>
      <c r="O32" s="46" t="s">
        <v>544</v>
      </c>
      <c r="P32" s="46" t="s">
        <v>545</v>
      </c>
    </row>
    <row r="33" spans="2:16" ht="18.75" thickBot="1">
      <c r="B33" s="52" t="s">
        <v>256</v>
      </c>
      <c r="C33" s="48" t="s">
        <v>416</v>
      </c>
      <c r="D33" s="46" t="s">
        <v>432</v>
      </c>
      <c r="E33" s="46" t="s">
        <v>432</v>
      </c>
      <c r="F33" s="46" t="s">
        <v>432</v>
      </c>
      <c r="G33" s="46" t="s">
        <v>432</v>
      </c>
      <c r="H33" s="46" t="s">
        <v>432</v>
      </c>
      <c r="I33" s="46" t="s">
        <v>432</v>
      </c>
      <c r="J33" s="46" t="s">
        <v>432</v>
      </c>
      <c r="K33" s="46" t="s">
        <v>432</v>
      </c>
      <c r="L33" s="46" t="s">
        <v>432</v>
      </c>
      <c r="M33" s="46" t="s">
        <v>432</v>
      </c>
      <c r="N33" s="46" t="s">
        <v>432</v>
      </c>
      <c r="O33" s="46" t="s">
        <v>432</v>
      </c>
      <c r="P33" s="46" t="s">
        <v>432</v>
      </c>
    </row>
    <row r="34" spans="2:16" ht="18.75" thickBot="1">
      <c r="B34" s="52" t="s">
        <v>218</v>
      </c>
      <c r="C34" s="48" t="s">
        <v>416</v>
      </c>
      <c r="D34" s="46" t="s">
        <v>434</v>
      </c>
      <c r="E34" s="46" t="s">
        <v>426</v>
      </c>
      <c r="F34" s="46" t="s">
        <v>423</v>
      </c>
      <c r="G34" s="46" t="s">
        <v>420</v>
      </c>
      <c r="H34" s="46" t="s">
        <v>430</v>
      </c>
      <c r="I34" s="46" t="s">
        <v>532</v>
      </c>
      <c r="J34" s="46" t="s">
        <v>314</v>
      </c>
      <c r="K34" s="46" t="s">
        <v>312</v>
      </c>
      <c r="L34" s="46" t="s">
        <v>397</v>
      </c>
      <c r="M34" s="46" t="s">
        <v>434</v>
      </c>
      <c r="N34" s="46" t="s">
        <v>399</v>
      </c>
      <c r="O34" s="46" t="s">
        <v>546</v>
      </c>
      <c r="P34" s="46" t="s">
        <v>547</v>
      </c>
    </row>
    <row r="35" spans="2:16" ht="15.75" thickBot="1">
      <c r="B35" s="52" t="s">
        <v>37</v>
      </c>
      <c r="C35" s="48" t="s">
        <v>416</v>
      </c>
      <c r="D35" s="46" t="s">
        <v>211</v>
      </c>
      <c r="E35" s="46" t="s">
        <v>216</v>
      </c>
      <c r="F35" s="46" t="s">
        <v>117</v>
      </c>
      <c r="G35" s="46" t="s">
        <v>159</v>
      </c>
      <c r="H35" s="46" t="s">
        <v>203</v>
      </c>
      <c r="I35" s="46" t="s">
        <v>215</v>
      </c>
      <c r="J35" s="46" t="s">
        <v>548</v>
      </c>
      <c r="K35" s="46" t="s">
        <v>166</v>
      </c>
      <c r="L35" s="46" t="s">
        <v>512</v>
      </c>
      <c r="M35" s="46" t="s">
        <v>549</v>
      </c>
      <c r="N35" s="46" t="s">
        <v>197</v>
      </c>
      <c r="O35" s="46" t="s">
        <v>550</v>
      </c>
      <c r="P35" s="46" t="s">
        <v>517</v>
      </c>
    </row>
    <row r="36" spans="2:16" ht="18.75" thickBot="1">
      <c r="B36" s="52" t="s">
        <v>219</v>
      </c>
      <c r="C36" s="48" t="s">
        <v>416</v>
      </c>
      <c r="D36" s="46" t="s">
        <v>83</v>
      </c>
      <c r="E36" s="46" t="s">
        <v>83</v>
      </c>
      <c r="F36" s="46" t="s">
        <v>83</v>
      </c>
      <c r="G36" s="46" t="s">
        <v>83</v>
      </c>
      <c r="H36" s="46" t="s">
        <v>83</v>
      </c>
      <c r="I36" s="46" t="s">
        <v>418</v>
      </c>
      <c r="J36" s="46" t="s">
        <v>418</v>
      </c>
      <c r="K36" s="46" t="s">
        <v>102</v>
      </c>
      <c r="L36" s="46" t="s">
        <v>85</v>
      </c>
      <c r="M36" s="46" t="s">
        <v>202</v>
      </c>
      <c r="N36" s="46" t="s">
        <v>197</v>
      </c>
      <c r="O36" s="46" t="s">
        <v>551</v>
      </c>
      <c r="P36" s="46" t="s">
        <v>210</v>
      </c>
    </row>
    <row r="37" spans="2:16" ht="18.75" thickBot="1">
      <c r="B37" s="52" t="s">
        <v>264</v>
      </c>
      <c r="C37" s="48" t="s">
        <v>416</v>
      </c>
      <c r="D37" s="46" t="s">
        <v>85</v>
      </c>
      <c r="E37" s="46" t="s">
        <v>85</v>
      </c>
      <c r="F37" s="46" t="s">
        <v>79</v>
      </c>
      <c r="G37" s="46" t="s">
        <v>79</v>
      </c>
      <c r="H37" s="46" t="s">
        <v>112</v>
      </c>
      <c r="I37" s="46" t="s">
        <v>214</v>
      </c>
      <c r="J37" s="46" t="s">
        <v>202</v>
      </c>
      <c r="K37" s="46" t="s">
        <v>164</v>
      </c>
      <c r="L37" s="46" t="s">
        <v>143</v>
      </c>
      <c r="M37" s="46" t="s">
        <v>197</v>
      </c>
      <c r="N37" s="46" t="s">
        <v>163</v>
      </c>
      <c r="O37" s="46" t="s">
        <v>552</v>
      </c>
      <c r="P37" s="46" t="s">
        <v>512</v>
      </c>
    </row>
    <row r="38" spans="2:16" ht="15.75" thickBot="1">
      <c r="B38" s="52" t="s">
        <v>222</v>
      </c>
      <c r="C38" s="48" t="s">
        <v>416</v>
      </c>
      <c r="D38" s="46" t="s">
        <v>553</v>
      </c>
      <c r="E38" s="46" t="s">
        <v>554</v>
      </c>
      <c r="F38" s="46" t="s">
        <v>555</v>
      </c>
      <c r="G38" s="46" t="s">
        <v>549</v>
      </c>
      <c r="H38" s="46" t="s">
        <v>549</v>
      </c>
      <c r="I38" s="46" t="s">
        <v>513</v>
      </c>
      <c r="J38" s="46" t="s">
        <v>162</v>
      </c>
      <c r="K38" s="46" t="s">
        <v>556</v>
      </c>
      <c r="L38" s="46" t="s">
        <v>557</v>
      </c>
      <c r="M38" s="46" t="s">
        <v>558</v>
      </c>
      <c r="N38" s="46" t="s">
        <v>559</v>
      </c>
      <c r="O38" s="46" t="s">
        <v>560</v>
      </c>
      <c r="P38" s="46" t="s">
        <v>561</v>
      </c>
    </row>
    <row r="39" spans="2:16" ht="27.75" thickBot="1">
      <c r="B39" s="52" t="s">
        <v>562</v>
      </c>
      <c r="C39" s="48" t="s">
        <v>416</v>
      </c>
      <c r="D39" s="46" t="s">
        <v>142</v>
      </c>
      <c r="E39" s="46" t="s">
        <v>549</v>
      </c>
      <c r="F39" s="46" t="s">
        <v>140</v>
      </c>
      <c r="G39" s="46" t="s">
        <v>551</v>
      </c>
      <c r="H39" s="46" t="s">
        <v>147</v>
      </c>
      <c r="I39" s="46" t="s">
        <v>514</v>
      </c>
      <c r="J39" s="46" t="s">
        <v>200</v>
      </c>
      <c r="K39" s="46" t="s">
        <v>563</v>
      </c>
      <c r="L39" s="46" t="s">
        <v>564</v>
      </c>
      <c r="M39" s="46" t="s">
        <v>205</v>
      </c>
      <c r="N39" s="46" t="s">
        <v>565</v>
      </c>
      <c r="O39" s="46" t="s">
        <v>566</v>
      </c>
      <c r="P39" s="46" t="s">
        <v>567</v>
      </c>
    </row>
    <row r="40" spans="2:16" ht="18.75" thickBot="1">
      <c r="B40" s="52" t="s">
        <v>455</v>
      </c>
      <c r="C40" s="48" t="s">
        <v>416</v>
      </c>
      <c r="D40" s="46" t="s">
        <v>462</v>
      </c>
      <c r="E40" s="46" t="s">
        <v>462</v>
      </c>
      <c r="F40" s="46" t="s">
        <v>462</v>
      </c>
      <c r="G40" s="46" t="s">
        <v>462</v>
      </c>
      <c r="H40" s="46" t="s">
        <v>462</v>
      </c>
      <c r="I40" s="46" t="s">
        <v>462</v>
      </c>
      <c r="J40" s="46" t="s">
        <v>462</v>
      </c>
      <c r="K40" s="46" t="s">
        <v>462</v>
      </c>
      <c r="L40" s="46" t="s">
        <v>462</v>
      </c>
      <c r="M40" s="46" t="s">
        <v>462</v>
      </c>
      <c r="N40" s="46" t="s">
        <v>462</v>
      </c>
      <c r="O40" s="46" t="s">
        <v>462</v>
      </c>
      <c r="P40" s="46" t="s">
        <v>462</v>
      </c>
    </row>
    <row r="41" spans="2:16" ht="15.75" thickBot="1">
      <c r="B41" s="52" t="s">
        <v>463</v>
      </c>
      <c r="C41" s="48" t="s">
        <v>416</v>
      </c>
      <c r="D41" s="46" t="s">
        <v>464</v>
      </c>
      <c r="E41" s="46" t="s">
        <v>464</v>
      </c>
      <c r="F41" s="46" t="s">
        <v>464</v>
      </c>
      <c r="G41" s="46" t="s">
        <v>464</v>
      </c>
      <c r="H41" s="46" t="s">
        <v>464</v>
      </c>
      <c r="I41" s="46" t="s">
        <v>464</v>
      </c>
      <c r="J41" s="46" t="s">
        <v>464</v>
      </c>
      <c r="K41" s="46" t="s">
        <v>464</v>
      </c>
      <c r="L41" s="46" t="s">
        <v>464</v>
      </c>
      <c r="M41" s="46" t="s">
        <v>464</v>
      </c>
      <c r="N41" s="46" t="s">
        <v>464</v>
      </c>
      <c r="O41" s="46" t="s">
        <v>464</v>
      </c>
      <c r="P41" s="46" t="s">
        <v>464</v>
      </c>
    </row>
    <row r="42" spans="2:16" ht="15.75" thickBot="1">
      <c r="B42" s="52" t="s">
        <v>291</v>
      </c>
      <c r="C42" s="48" t="s">
        <v>416</v>
      </c>
      <c r="D42" s="46" t="s">
        <v>478</v>
      </c>
      <c r="E42" s="46" t="s">
        <v>478</v>
      </c>
      <c r="F42" s="46" t="s">
        <v>477</v>
      </c>
      <c r="G42" s="46" t="s">
        <v>568</v>
      </c>
      <c r="H42" s="46" t="s">
        <v>476</v>
      </c>
      <c r="I42" s="46" t="s">
        <v>475</v>
      </c>
      <c r="J42" s="46" t="s">
        <v>569</v>
      </c>
      <c r="K42" s="46" t="s">
        <v>570</v>
      </c>
      <c r="L42" s="46" t="s">
        <v>571</v>
      </c>
      <c r="M42" s="46" t="s">
        <v>572</v>
      </c>
      <c r="N42" s="46" t="s">
        <v>573</v>
      </c>
      <c r="O42" s="46" t="s">
        <v>574</v>
      </c>
      <c r="P42" s="46" t="s">
        <v>575</v>
      </c>
    </row>
    <row r="43" spans="2:16" ht="27.75" thickBot="1">
      <c r="B43" s="52" t="s">
        <v>305</v>
      </c>
      <c r="C43" s="48" t="s">
        <v>416</v>
      </c>
      <c r="D43" s="46" t="s">
        <v>306</v>
      </c>
      <c r="E43" s="46" t="s">
        <v>306</v>
      </c>
      <c r="F43" s="46" t="s">
        <v>306</v>
      </c>
      <c r="G43" s="46" t="s">
        <v>306</v>
      </c>
      <c r="H43" s="46" t="s">
        <v>306</v>
      </c>
      <c r="I43" s="46" t="s">
        <v>306</v>
      </c>
      <c r="J43" s="46" t="s">
        <v>306</v>
      </c>
      <c r="K43" s="46" t="s">
        <v>306</v>
      </c>
      <c r="L43" s="46" t="s">
        <v>306</v>
      </c>
      <c r="M43" s="46" t="s">
        <v>306</v>
      </c>
      <c r="N43" s="46">
        <v>374</v>
      </c>
      <c r="O43" s="46">
        <v>15</v>
      </c>
      <c r="P43" s="46">
        <v>8</v>
      </c>
    </row>
    <row r="44" spans="2:16" ht="15.75" thickBot="1">
      <c r="B44" s="52" t="s">
        <v>307</v>
      </c>
      <c r="C44" s="48" t="s">
        <v>416</v>
      </c>
      <c r="D44" s="46" t="s">
        <v>141</v>
      </c>
      <c r="E44" s="46" t="s">
        <v>141</v>
      </c>
      <c r="F44" s="46" t="s">
        <v>141</v>
      </c>
      <c r="G44" s="46" t="s">
        <v>141</v>
      </c>
      <c r="H44" s="46" t="s">
        <v>141</v>
      </c>
      <c r="I44" s="46" t="s">
        <v>141</v>
      </c>
      <c r="J44" s="46" t="s">
        <v>141</v>
      </c>
      <c r="K44" s="46" t="s">
        <v>141</v>
      </c>
      <c r="L44" s="46" t="s">
        <v>141</v>
      </c>
      <c r="M44" s="46" t="s">
        <v>141</v>
      </c>
      <c r="N44" s="46" t="s">
        <v>141</v>
      </c>
      <c r="O44" s="46" t="s">
        <v>549</v>
      </c>
      <c r="P44" s="46" t="s">
        <v>163</v>
      </c>
    </row>
    <row r="45" spans="2:16" ht="15.75" thickBot="1">
      <c r="B45" s="52" t="s">
        <v>310</v>
      </c>
      <c r="C45" s="48" t="s">
        <v>480</v>
      </c>
      <c r="D45" s="46" t="s">
        <v>488</v>
      </c>
      <c r="E45" s="46" t="s">
        <v>488</v>
      </c>
      <c r="F45" s="46" t="s">
        <v>488</v>
      </c>
      <c r="G45" s="46" t="s">
        <v>488</v>
      </c>
      <c r="H45" s="46" t="s">
        <v>488</v>
      </c>
      <c r="I45" s="46" t="s">
        <v>487</v>
      </c>
      <c r="J45" s="46" t="s">
        <v>576</v>
      </c>
      <c r="K45" s="46" t="s">
        <v>486</v>
      </c>
      <c r="L45" s="46" t="s">
        <v>577</v>
      </c>
      <c r="M45" s="46" t="s">
        <v>578</v>
      </c>
      <c r="N45" s="46" t="s">
        <v>579</v>
      </c>
      <c r="O45" s="46" t="s">
        <v>580</v>
      </c>
      <c r="P45" s="50">
        <v>1023</v>
      </c>
    </row>
    <row r="46" spans="2:16" ht="15.75" thickBot="1">
      <c r="B46" s="52" t="s">
        <v>315</v>
      </c>
      <c r="C46" s="48" t="s">
        <v>480</v>
      </c>
      <c r="D46" s="46" t="s">
        <v>112</v>
      </c>
      <c r="E46" s="46" t="s">
        <v>112</v>
      </c>
      <c r="F46" s="46" t="s">
        <v>112</v>
      </c>
      <c r="G46" s="46" t="s">
        <v>112</v>
      </c>
      <c r="H46" s="46" t="s">
        <v>112</v>
      </c>
      <c r="I46" s="46" t="s">
        <v>112</v>
      </c>
      <c r="J46" s="46" t="s">
        <v>112</v>
      </c>
      <c r="K46" s="46" t="s">
        <v>112</v>
      </c>
      <c r="L46" s="46" t="s">
        <v>112</v>
      </c>
      <c r="M46" s="46" t="s">
        <v>112</v>
      </c>
      <c r="N46" s="46" t="s">
        <v>112</v>
      </c>
      <c r="O46" s="46" t="s">
        <v>211</v>
      </c>
      <c r="P46" s="46" t="s">
        <v>164</v>
      </c>
    </row>
    <row r="49" spans="2:18" ht="15.75" thickBot="1">
      <c r="B49" s="38" t="s">
        <v>652</v>
      </c>
    </row>
    <row r="50" spans="2:18" ht="15.75" thickBot="1">
      <c r="B50" s="53" t="s">
        <v>44</v>
      </c>
      <c r="C50" s="42" t="s">
        <v>69</v>
      </c>
      <c r="D50" s="43" t="s">
        <v>401</v>
      </c>
      <c r="E50" s="43" t="s">
        <v>402</v>
      </c>
      <c r="F50" s="43" t="s">
        <v>403</v>
      </c>
      <c r="G50" s="43" t="s">
        <v>404</v>
      </c>
      <c r="H50" s="43" t="s">
        <v>405</v>
      </c>
      <c r="I50" s="43" t="s">
        <v>406</v>
      </c>
      <c r="J50" s="43" t="s">
        <v>407</v>
      </c>
      <c r="K50" s="43" t="s">
        <v>408</v>
      </c>
      <c r="L50" s="43" t="s">
        <v>409</v>
      </c>
      <c r="M50" s="43" t="s">
        <v>410</v>
      </c>
      <c r="N50" s="43" t="s">
        <v>411</v>
      </c>
      <c r="O50" s="43" t="s">
        <v>412</v>
      </c>
      <c r="P50" s="43" t="s">
        <v>413</v>
      </c>
      <c r="Q50" s="43" t="s">
        <v>414</v>
      </c>
      <c r="R50" s="43" t="s">
        <v>415</v>
      </c>
    </row>
    <row r="51" spans="2:18" ht="15.75" thickBot="1">
      <c r="B51" s="54" t="s">
        <v>239</v>
      </c>
      <c r="C51" s="45" t="s">
        <v>416</v>
      </c>
      <c r="D51" s="46" t="s">
        <v>83</v>
      </c>
      <c r="E51" s="46" t="s">
        <v>83</v>
      </c>
      <c r="F51" s="46" t="s">
        <v>102</v>
      </c>
      <c r="G51" s="46" t="s">
        <v>102</v>
      </c>
      <c r="H51" s="46" t="s">
        <v>102</v>
      </c>
      <c r="I51" s="46" t="s">
        <v>78</v>
      </c>
      <c r="J51" s="46" t="s">
        <v>85</v>
      </c>
      <c r="K51" s="46" t="s">
        <v>79</v>
      </c>
      <c r="L51" s="46" t="s">
        <v>112</v>
      </c>
      <c r="M51" s="46" t="s">
        <v>211</v>
      </c>
      <c r="N51" s="46" t="s">
        <v>216</v>
      </c>
      <c r="O51" s="46" t="s">
        <v>117</v>
      </c>
      <c r="P51" s="46" t="s">
        <v>142</v>
      </c>
      <c r="Q51" s="46" t="s">
        <v>141</v>
      </c>
      <c r="R51" s="46" t="s">
        <v>146</v>
      </c>
    </row>
    <row r="52" spans="2:18" ht="15.75" thickBot="1">
      <c r="B52" s="54" t="s">
        <v>221</v>
      </c>
      <c r="C52" s="45" t="s">
        <v>416</v>
      </c>
      <c r="D52" s="46" t="s">
        <v>83</v>
      </c>
      <c r="E52" s="46" t="s">
        <v>83</v>
      </c>
      <c r="F52" s="46" t="s">
        <v>83</v>
      </c>
      <c r="G52" s="46" t="s">
        <v>83</v>
      </c>
      <c r="H52" s="46" t="s">
        <v>102</v>
      </c>
      <c r="I52" s="46" t="s">
        <v>102</v>
      </c>
      <c r="J52" s="46" t="s">
        <v>78</v>
      </c>
      <c r="K52" s="46" t="s">
        <v>85</v>
      </c>
      <c r="L52" s="46" t="s">
        <v>85</v>
      </c>
      <c r="M52" s="46" t="s">
        <v>112</v>
      </c>
      <c r="N52" s="46" t="s">
        <v>214</v>
      </c>
      <c r="O52" s="46" t="s">
        <v>202</v>
      </c>
      <c r="P52" s="46" t="s">
        <v>164</v>
      </c>
      <c r="Q52" s="46" t="s">
        <v>143</v>
      </c>
      <c r="R52" s="46" t="s">
        <v>145</v>
      </c>
    </row>
    <row r="53" spans="2:18" ht="15.75" thickBot="1">
      <c r="B53" s="54" t="s">
        <v>220</v>
      </c>
      <c r="C53" s="45" t="s">
        <v>416</v>
      </c>
      <c r="D53" s="46" t="s">
        <v>215</v>
      </c>
      <c r="E53" s="46" t="s">
        <v>141</v>
      </c>
      <c r="F53" s="46" t="s">
        <v>145</v>
      </c>
      <c r="G53" s="46" t="s">
        <v>159</v>
      </c>
      <c r="H53" s="46" t="s">
        <v>117</v>
      </c>
      <c r="I53" s="46" t="s">
        <v>216</v>
      </c>
      <c r="J53" s="46" t="s">
        <v>211</v>
      </c>
      <c r="K53" s="46" t="s">
        <v>79</v>
      </c>
      <c r="L53" s="46" t="s">
        <v>78</v>
      </c>
      <c r="M53" s="46" t="s">
        <v>83</v>
      </c>
      <c r="N53" s="46" t="s">
        <v>78</v>
      </c>
      <c r="O53" s="46" t="s">
        <v>214</v>
      </c>
      <c r="P53" s="46" t="s">
        <v>117</v>
      </c>
      <c r="Q53" s="46" t="s">
        <v>145</v>
      </c>
      <c r="R53" s="46" t="s">
        <v>165</v>
      </c>
    </row>
    <row r="54" spans="2:18" ht="15.75" thickBot="1">
      <c r="B54" s="54" t="s">
        <v>217</v>
      </c>
      <c r="C54" s="45" t="s">
        <v>416</v>
      </c>
      <c r="D54" s="46" t="s">
        <v>421</v>
      </c>
      <c r="E54" s="46" t="s">
        <v>422</v>
      </c>
      <c r="F54" s="46" t="s">
        <v>423</v>
      </c>
      <c r="G54" s="46" t="s">
        <v>424</v>
      </c>
      <c r="H54" s="46" t="s">
        <v>425</v>
      </c>
      <c r="I54" s="46" t="s">
        <v>425</v>
      </c>
      <c r="J54" s="46" t="s">
        <v>426</v>
      </c>
      <c r="K54" s="46" t="s">
        <v>427</v>
      </c>
      <c r="L54" s="46" t="s">
        <v>427</v>
      </c>
      <c r="M54" s="46" t="s">
        <v>427</v>
      </c>
      <c r="N54" s="46" t="s">
        <v>434</v>
      </c>
      <c r="O54" s="46" t="s">
        <v>434</v>
      </c>
      <c r="P54" s="46" t="s">
        <v>434</v>
      </c>
      <c r="Q54" s="46" t="s">
        <v>427</v>
      </c>
      <c r="R54" s="46" t="s">
        <v>427</v>
      </c>
    </row>
    <row r="55" spans="2:18" ht="15.75" thickBot="1">
      <c r="B55" s="54" t="s">
        <v>67</v>
      </c>
      <c r="C55" s="45" t="s">
        <v>416</v>
      </c>
      <c r="D55" s="46" t="s">
        <v>431</v>
      </c>
      <c r="E55" s="46" t="s">
        <v>420</v>
      </c>
      <c r="F55" s="46" t="s">
        <v>421</v>
      </c>
      <c r="G55" s="46" t="s">
        <v>423</v>
      </c>
      <c r="H55" s="46" t="s">
        <v>423</v>
      </c>
      <c r="I55" s="46" t="s">
        <v>424</v>
      </c>
      <c r="J55" s="46" t="s">
        <v>425</v>
      </c>
      <c r="K55" s="46" t="s">
        <v>426</v>
      </c>
      <c r="L55" s="46" t="s">
        <v>426</v>
      </c>
      <c r="M55" s="46" t="s">
        <v>427</v>
      </c>
      <c r="N55" s="46" t="s">
        <v>427</v>
      </c>
      <c r="O55" s="46" t="s">
        <v>427</v>
      </c>
      <c r="P55" s="46" t="s">
        <v>426</v>
      </c>
      <c r="Q55" s="46" t="s">
        <v>426</v>
      </c>
      <c r="R55" s="46" t="s">
        <v>425</v>
      </c>
    </row>
    <row r="56" spans="2:18" ht="15.75" thickBot="1">
      <c r="B56" s="54" t="s">
        <v>256</v>
      </c>
      <c r="C56" s="45" t="s">
        <v>416</v>
      </c>
      <c r="D56" s="46" t="s">
        <v>438</v>
      </c>
      <c r="E56" s="46" t="s">
        <v>438</v>
      </c>
      <c r="F56" s="46" t="s">
        <v>438</v>
      </c>
      <c r="G56" s="46" t="s">
        <v>438</v>
      </c>
      <c r="H56" s="46" t="s">
        <v>438</v>
      </c>
      <c r="I56" s="46" t="s">
        <v>438</v>
      </c>
      <c r="J56" s="46" t="s">
        <v>438</v>
      </c>
      <c r="K56" s="46" t="s">
        <v>438</v>
      </c>
      <c r="L56" s="46" t="s">
        <v>438</v>
      </c>
      <c r="M56" s="46" t="s">
        <v>438</v>
      </c>
      <c r="N56" s="46" t="s">
        <v>438</v>
      </c>
      <c r="O56" s="46" t="s">
        <v>438</v>
      </c>
      <c r="P56" s="46" t="s">
        <v>438</v>
      </c>
      <c r="Q56" s="46" t="s">
        <v>438</v>
      </c>
      <c r="R56" s="46" t="s">
        <v>438</v>
      </c>
    </row>
    <row r="57" spans="2:18" ht="15.75" thickBot="1">
      <c r="B57" s="54" t="s">
        <v>218</v>
      </c>
      <c r="C57" s="45" t="s">
        <v>416</v>
      </c>
      <c r="D57" s="46" t="s">
        <v>653</v>
      </c>
      <c r="E57" s="46" t="s">
        <v>427</v>
      </c>
      <c r="F57" s="46" t="s">
        <v>434</v>
      </c>
      <c r="G57" s="46" t="s">
        <v>434</v>
      </c>
      <c r="H57" s="46" t="s">
        <v>435</v>
      </c>
      <c r="I57" s="46" t="s">
        <v>435</v>
      </c>
      <c r="J57" s="46" t="s">
        <v>436</v>
      </c>
      <c r="K57" s="46" t="s">
        <v>436</v>
      </c>
      <c r="L57" s="46" t="s">
        <v>437</v>
      </c>
      <c r="M57" s="46" t="s">
        <v>437</v>
      </c>
      <c r="N57" s="46" t="s">
        <v>432</v>
      </c>
      <c r="O57" s="46" t="s">
        <v>438</v>
      </c>
      <c r="P57" s="46" t="s">
        <v>432</v>
      </c>
      <c r="Q57" s="46" t="s">
        <v>437</v>
      </c>
      <c r="R57" s="46" t="s">
        <v>436</v>
      </c>
    </row>
    <row r="58" spans="2:18" ht="15.75" thickBot="1">
      <c r="B58" s="54" t="s">
        <v>37</v>
      </c>
      <c r="C58" s="45" t="s">
        <v>416</v>
      </c>
      <c r="D58" s="46" t="s">
        <v>78</v>
      </c>
      <c r="E58" s="46" t="s">
        <v>78</v>
      </c>
      <c r="F58" s="46" t="s">
        <v>78</v>
      </c>
      <c r="G58" s="46" t="s">
        <v>102</v>
      </c>
      <c r="H58" s="46" t="s">
        <v>102</v>
      </c>
      <c r="I58" s="46" t="s">
        <v>83</v>
      </c>
      <c r="J58" s="46" t="s">
        <v>83</v>
      </c>
      <c r="K58" s="46" t="s">
        <v>418</v>
      </c>
      <c r="L58" s="46" t="s">
        <v>418</v>
      </c>
      <c r="M58" s="46" t="s">
        <v>83</v>
      </c>
      <c r="N58" s="46" t="s">
        <v>102</v>
      </c>
      <c r="O58" s="46" t="s">
        <v>102</v>
      </c>
      <c r="P58" s="46" t="s">
        <v>78</v>
      </c>
      <c r="Q58" s="46" t="s">
        <v>79</v>
      </c>
      <c r="R58" s="46" t="s">
        <v>112</v>
      </c>
    </row>
    <row r="59" spans="2:18" ht="15.75" thickBot="1">
      <c r="B59" s="54" t="s">
        <v>219</v>
      </c>
      <c r="C59" s="45" t="s">
        <v>416</v>
      </c>
      <c r="D59" s="46" t="s">
        <v>214</v>
      </c>
      <c r="E59" s="46" t="s">
        <v>112</v>
      </c>
      <c r="F59" s="46" t="s">
        <v>112</v>
      </c>
      <c r="G59" s="46" t="s">
        <v>79</v>
      </c>
      <c r="H59" s="46" t="s">
        <v>79</v>
      </c>
      <c r="I59" s="46" t="s">
        <v>85</v>
      </c>
      <c r="J59" s="46" t="s">
        <v>85</v>
      </c>
      <c r="K59" s="46" t="s">
        <v>78</v>
      </c>
      <c r="L59" s="46" t="s">
        <v>78</v>
      </c>
      <c r="M59" s="46" t="s">
        <v>78</v>
      </c>
      <c r="N59" s="46" t="s">
        <v>102</v>
      </c>
      <c r="O59" s="46" t="s">
        <v>102</v>
      </c>
      <c r="P59" s="46" t="s">
        <v>102</v>
      </c>
      <c r="Q59" s="46" t="s">
        <v>102</v>
      </c>
      <c r="R59" s="46" t="s">
        <v>83</v>
      </c>
    </row>
    <row r="60" spans="2:18" ht="15.75" thickBot="1">
      <c r="B60" s="54" t="s">
        <v>264</v>
      </c>
      <c r="C60" s="45" t="s">
        <v>416</v>
      </c>
      <c r="D60" s="46" t="s">
        <v>216</v>
      </c>
      <c r="E60" s="46" t="s">
        <v>202</v>
      </c>
      <c r="F60" s="46" t="s">
        <v>211</v>
      </c>
      <c r="G60" s="46" t="s">
        <v>214</v>
      </c>
      <c r="H60" s="46" t="s">
        <v>112</v>
      </c>
      <c r="I60" s="46" t="s">
        <v>112</v>
      </c>
      <c r="J60" s="46" t="s">
        <v>79</v>
      </c>
      <c r="K60" s="46" t="s">
        <v>79</v>
      </c>
      <c r="L60" s="46" t="s">
        <v>85</v>
      </c>
      <c r="M60" s="46" t="s">
        <v>85</v>
      </c>
      <c r="N60" s="46" t="s">
        <v>85</v>
      </c>
      <c r="O60" s="46" t="s">
        <v>78</v>
      </c>
      <c r="P60" s="46" t="s">
        <v>78</v>
      </c>
      <c r="Q60" s="46" t="s">
        <v>78</v>
      </c>
      <c r="R60" s="46" t="s">
        <v>78</v>
      </c>
    </row>
    <row r="61" spans="2:18" ht="15.75" thickBot="1">
      <c r="B61" s="54" t="s">
        <v>222</v>
      </c>
      <c r="C61" s="45" t="s">
        <v>416</v>
      </c>
      <c r="D61" s="46" t="s">
        <v>439</v>
      </c>
      <c r="E61" s="46" t="s">
        <v>440</v>
      </c>
      <c r="F61" s="46" t="s">
        <v>441</v>
      </c>
      <c r="G61" s="46" t="s">
        <v>442</v>
      </c>
      <c r="H61" s="46" t="s">
        <v>443</v>
      </c>
      <c r="I61" s="46" t="s">
        <v>444</v>
      </c>
      <c r="J61" s="46" t="s">
        <v>445</v>
      </c>
      <c r="K61" s="46" t="s">
        <v>446</v>
      </c>
      <c r="L61" s="46" t="s">
        <v>447</v>
      </c>
      <c r="M61" s="46" t="s">
        <v>448</v>
      </c>
      <c r="N61" s="46" t="s">
        <v>449</v>
      </c>
      <c r="O61" s="46" t="s">
        <v>450</v>
      </c>
      <c r="P61" s="46" t="s">
        <v>451</v>
      </c>
      <c r="Q61" s="46" t="s">
        <v>452</v>
      </c>
      <c r="R61" s="46" t="s">
        <v>453</v>
      </c>
    </row>
    <row r="62" spans="2:18" ht="15.75" thickBot="1">
      <c r="B62" s="54" t="s">
        <v>654</v>
      </c>
      <c r="C62" s="45" t="s">
        <v>416</v>
      </c>
      <c r="D62" s="46" t="s">
        <v>418</v>
      </c>
      <c r="E62" s="46" t="s">
        <v>418</v>
      </c>
      <c r="F62" s="46" t="s">
        <v>418</v>
      </c>
      <c r="G62" s="46" t="s">
        <v>418</v>
      </c>
      <c r="H62" s="46" t="s">
        <v>83</v>
      </c>
      <c r="I62" s="46" t="s">
        <v>83</v>
      </c>
      <c r="J62" s="46" t="s">
        <v>83</v>
      </c>
      <c r="K62" s="46" t="s">
        <v>83</v>
      </c>
      <c r="L62" s="46" t="s">
        <v>102</v>
      </c>
      <c r="M62" s="46" t="s">
        <v>102</v>
      </c>
      <c r="N62" s="46" t="s">
        <v>78</v>
      </c>
      <c r="O62" s="46" t="s">
        <v>85</v>
      </c>
      <c r="P62" s="46" t="s">
        <v>112</v>
      </c>
      <c r="Q62" s="46" t="s">
        <v>211</v>
      </c>
      <c r="R62" s="46" t="s">
        <v>164</v>
      </c>
    </row>
    <row r="63" spans="2:18" ht="15.75" thickBot="1">
      <c r="B63" s="54" t="s">
        <v>455</v>
      </c>
      <c r="C63" s="45" t="s">
        <v>416</v>
      </c>
      <c r="D63" s="46" t="s">
        <v>456</v>
      </c>
      <c r="E63" s="46" t="s">
        <v>457</v>
      </c>
      <c r="F63" s="46" t="s">
        <v>458</v>
      </c>
      <c r="G63" s="46" t="s">
        <v>459</v>
      </c>
      <c r="H63" s="46" t="s">
        <v>460</v>
      </c>
      <c r="I63" s="46" t="s">
        <v>461</v>
      </c>
      <c r="J63" s="46" t="s">
        <v>462</v>
      </c>
      <c r="K63" s="46" t="s">
        <v>462</v>
      </c>
      <c r="L63" s="46" t="s">
        <v>462</v>
      </c>
      <c r="M63" s="46" t="s">
        <v>462</v>
      </c>
      <c r="N63" s="46" t="s">
        <v>462</v>
      </c>
      <c r="O63" s="46" t="s">
        <v>462</v>
      </c>
      <c r="P63" s="46" t="s">
        <v>462</v>
      </c>
      <c r="Q63" s="46" t="s">
        <v>462</v>
      </c>
      <c r="R63" s="46" t="s">
        <v>462</v>
      </c>
    </row>
    <row r="64" spans="2:18" ht="15.75" thickBot="1">
      <c r="B64" s="54" t="s">
        <v>463</v>
      </c>
      <c r="C64" s="45" t="s">
        <v>416</v>
      </c>
      <c r="D64" s="46" t="s">
        <v>464</v>
      </c>
      <c r="E64" s="46" t="s">
        <v>464</v>
      </c>
      <c r="F64" s="46" t="s">
        <v>464</v>
      </c>
      <c r="G64" s="46" t="s">
        <v>464</v>
      </c>
      <c r="H64" s="46" t="s">
        <v>464</v>
      </c>
      <c r="I64" s="46" t="s">
        <v>464</v>
      </c>
      <c r="J64" s="46" t="s">
        <v>464</v>
      </c>
      <c r="K64" s="46" t="s">
        <v>464</v>
      </c>
      <c r="L64" s="46" t="s">
        <v>464</v>
      </c>
      <c r="M64" s="46" t="s">
        <v>464</v>
      </c>
      <c r="N64" s="46" t="s">
        <v>464</v>
      </c>
      <c r="O64" s="46" t="s">
        <v>464</v>
      </c>
      <c r="P64" s="46" t="s">
        <v>464</v>
      </c>
      <c r="Q64" s="46" t="s">
        <v>464</v>
      </c>
      <c r="R64" s="46" t="s">
        <v>464</v>
      </c>
    </row>
    <row r="65" spans="2:18" ht="15.75" thickBot="1">
      <c r="B65" s="54" t="s">
        <v>291</v>
      </c>
      <c r="C65" s="45" t="s">
        <v>416</v>
      </c>
      <c r="D65" s="46" t="s">
        <v>465</v>
      </c>
      <c r="E65" s="46" t="s">
        <v>466</v>
      </c>
      <c r="F65" s="46" t="s">
        <v>467</v>
      </c>
      <c r="G65" s="46" t="s">
        <v>468</v>
      </c>
      <c r="H65" s="46" t="s">
        <v>469</v>
      </c>
      <c r="I65" s="46" t="s">
        <v>470</v>
      </c>
      <c r="J65" s="46" t="s">
        <v>471</v>
      </c>
      <c r="K65" s="46" t="s">
        <v>472</v>
      </c>
      <c r="L65" s="46" t="s">
        <v>473</v>
      </c>
      <c r="M65" s="46" t="s">
        <v>474</v>
      </c>
      <c r="N65" s="46" t="s">
        <v>475</v>
      </c>
      <c r="O65" s="46" t="s">
        <v>476</v>
      </c>
      <c r="P65" s="46" t="s">
        <v>477</v>
      </c>
      <c r="Q65" s="46" t="s">
        <v>478</v>
      </c>
      <c r="R65" s="46" t="s">
        <v>478</v>
      </c>
    </row>
    <row r="66" spans="2:18" ht="15.75" thickBot="1">
      <c r="B66" s="54" t="s">
        <v>305</v>
      </c>
      <c r="C66" s="45" t="s">
        <v>416</v>
      </c>
      <c r="D66" s="46" t="s">
        <v>306</v>
      </c>
      <c r="E66" s="46" t="s">
        <v>306</v>
      </c>
      <c r="F66" s="46" t="s">
        <v>306</v>
      </c>
      <c r="G66" s="46" t="s">
        <v>306</v>
      </c>
      <c r="H66" s="46" t="s">
        <v>306</v>
      </c>
      <c r="I66" s="46" t="s">
        <v>306</v>
      </c>
      <c r="J66" s="46" t="s">
        <v>306</v>
      </c>
      <c r="K66" s="46" t="s">
        <v>306</v>
      </c>
      <c r="L66" s="46" t="s">
        <v>306</v>
      </c>
      <c r="M66" s="46" t="s">
        <v>306</v>
      </c>
      <c r="N66" s="46" t="s">
        <v>306</v>
      </c>
      <c r="O66" s="46" t="s">
        <v>306</v>
      </c>
      <c r="P66" s="46" t="s">
        <v>306</v>
      </c>
      <c r="Q66" s="46" t="s">
        <v>306</v>
      </c>
      <c r="R66" s="46" t="s">
        <v>306</v>
      </c>
    </row>
    <row r="67" spans="2:18" ht="15.75" thickBot="1">
      <c r="B67" s="54" t="s">
        <v>307</v>
      </c>
      <c r="C67" s="45" t="s">
        <v>416</v>
      </c>
      <c r="D67" s="46" t="s">
        <v>141</v>
      </c>
      <c r="E67" s="46" t="s">
        <v>141</v>
      </c>
      <c r="F67" s="46" t="s">
        <v>141</v>
      </c>
      <c r="G67" s="46" t="s">
        <v>141</v>
      </c>
      <c r="H67" s="46" t="s">
        <v>141</v>
      </c>
      <c r="I67" s="46" t="s">
        <v>141</v>
      </c>
      <c r="J67" s="46" t="s">
        <v>141</v>
      </c>
      <c r="K67" s="46" t="s">
        <v>141</v>
      </c>
      <c r="L67" s="46" t="s">
        <v>141</v>
      </c>
      <c r="M67" s="46" t="s">
        <v>141</v>
      </c>
      <c r="N67" s="46" t="s">
        <v>141</v>
      </c>
      <c r="O67" s="46" t="s">
        <v>141</v>
      </c>
      <c r="P67" s="46" t="s">
        <v>141</v>
      </c>
      <c r="Q67" s="46" t="s">
        <v>141</v>
      </c>
      <c r="R67" s="46" t="s">
        <v>141</v>
      </c>
    </row>
    <row r="68" spans="2:18" ht="15.75" thickBot="1">
      <c r="B68" s="54" t="s">
        <v>310</v>
      </c>
      <c r="C68" s="45" t="s">
        <v>480</v>
      </c>
      <c r="D68" s="46" t="s">
        <v>139</v>
      </c>
      <c r="E68" s="46" t="s">
        <v>149</v>
      </c>
      <c r="F68" s="46" t="s">
        <v>655</v>
      </c>
      <c r="G68" s="46" t="s">
        <v>656</v>
      </c>
      <c r="H68" s="46" t="s">
        <v>657</v>
      </c>
      <c r="I68" s="46" t="s">
        <v>193</v>
      </c>
      <c r="J68" s="46" t="s">
        <v>658</v>
      </c>
      <c r="K68" s="46" t="s">
        <v>658</v>
      </c>
      <c r="L68" s="46" t="s">
        <v>658</v>
      </c>
      <c r="M68" s="46" t="s">
        <v>658</v>
      </c>
      <c r="N68" s="46" t="s">
        <v>631</v>
      </c>
      <c r="O68" s="46" t="s">
        <v>631</v>
      </c>
      <c r="P68" s="46" t="s">
        <v>631</v>
      </c>
      <c r="Q68" s="46" t="s">
        <v>631</v>
      </c>
      <c r="R68" s="46" t="s">
        <v>488</v>
      </c>
    </row>
    <row r="69" spans="2:18" ht="15.75" thickBot="1">
      <c r="B69" s="54" t="s">
        <v>315</v>
      </c>
      <c r="C69" s="45" t="s">
        <v>480</v>
      </c>
      <c r="D69" s="46" t="s">
        <v>142</v>
      </c>
      <c r="E69" s="46" t="s">
        <v>144</v>
      </c>
      <c r="F69" s="46" t="s">
        <v>164</v>
      </c>
      <c r="G69" s="46" t="s">
        <v>202</v>
      </c>
      <c r="H69" s="46" t="s">
        <v>214</v>
      </c>
      <c r="I69" s="46" t="s">
        <v>112</v>
      </c>
      <c r="J69" s="46" t="s">
        <v>112</v>
      </c>
      <c r="K69" s="46" t="s">
        <v>112</v>
      </c>
      <c r="L69" s="46" t="s">
        <v>112</v>
      </c>
      <c r="M69" s="46" t="s">
        <v>112</v>
      </c>
      <c r="N69" s="46" t="s">
        <v>112</v>
      </c>
      <c r="O69" s="46" t="s">
        <v>112</v>
      </c>
      <c r="P69" s="46" t="s">
        <v>112</v>
      </c>
      <c r="Q69" s="46" t="s">
        <v>112</v>
      </c>
      <c r="R69" s="46" t="s">
        <v>112</v>
      </c>
    </row>
    <row r="70" spans="2:18">
      <c r="B70" s="49"/>
    </row>
    <row r="72" spans="2:18">
      <c r="B72" s="38"/>
    </row>
    <row r="73" spans="2:18" ht="15.75" thickBot="1">
      <c r="B73" s="38" t="s">
        <v>659</v>
      </c>
    </row>
    <row r="74" spans="2:18" ht="15.75" thickBot="1">
      <c r="B74" s="53" t="s">
        <v>44</v>
      </c>
      <c r="C74" s="42" t="s">
        <v>69</v>
      </c>
      <c r="D74" s="43" t="s">
        <v>490</v>
      </c>
      <c r="E74" s="43" t="s">
        <v>491</v>
      </c>
      <c r="F74" s="43" t="s">
        <v>492</v>
      </c>
      <c r="G74" s="43" t="s">
        <v>493</v>
      </c>
      <c r="H74" s="43" t="s">
        <v>494</v>
      </c>
      <c r="I74" s="43" t="s">
        <v>495</v>
      </c>
      <c r="J74" s="43" t="s">
        <v>496</v>
      </c>
      <c r="K74" s="43" t="s">
        <v>497</v>
      </c>
      <c r="L74" s="43" t="s">
        <v>498</v>
      </c>
      <c r="M74" s="43" t="s">
        <v>499</v>
      </c>
      <c r="N74" s="43" t="s">
        <v>500</v>
      </c>
      <c r="O74" s="43" t="s">
        <v>501</v>
      </c>
      <c r="P74" s="43">
        <v>10000</v>
      </c>
    </row>
    <row r="75" spans="2:18" ht="15.75" thickBot="1">
      <c r="B75" s="54" t="s">
        <v>239</v>
      </c>
      <c r="C75" s="45" t="s">
        <v>416</v>
      </c>
      <c r="D75" s="46" t="s">
        <v>166</v>
      </c>
      <c r="E75" s="46" t="s">
        <v>555</v>
      </c>
      <c r="F75" s="46" t="s">
        <v>564</v>
      </c>
      <c r="G75" s="46" t="s">
        <v>553</v>
      </c>
      <c r="H75" s="46" t="s">
        <v>660</v>
      </c>
      <c r="I75" s="46" t="s">
        <v>515</v>
      </c>
      <c r="J75" s="46" t="s">
        <v>661</v>
      </c>
      <c r="K75" s="46" t="s">
        <v>662</v>
      </c>
      <c r="L75" s="46" t="s">
        <v>556</v>
      </c>
      <c r="M75" s="46" t="s">
        <v>200</v>
      </c>
      <c r="N75" s="46" t="s">
        <v>200</v>
      </c>
      <c r="O75" s="46" t="s">
        <v>663</v>
      </c>
      <c r="P75" s="46" t="s">
        <v>207</v>
      </c>
    </row>
    <row r="76" spans="2:18" ht="15.75" thickBot="1">
      <c r="B76" s="54" t="s">
        <v>221</v>
      </c>
      <c r="C76" s="45" t="s">
        <v>416</v>
      </c>
      <c r="D76" s="46" t="s">
        <v>215</v>
      </c>
      <c r="E76" s="46" t="s">
        <v>140</v>
      </c>
      <c r="F76" s="46" t="s">
        <v>664</v>
      </c>
      <c r="G76" s="46" t="s">
        <v>665</v>
      </c>
      <c r="H76" s="46" t="s">
        <v>553</v>
      </c>
      <c r="I76" s="46" t="s">
        <v>666</v>
      </c>
      <c r="J76" s="46" t="s">
        <v>556</v>
      </c>
      <c r="K76" s="46" t="s">
        <v>667</v>
      </c>
      <c r="L76" s="46" t="s">
        <v>668</v>
      </c>
      <c r="M76" s="46" t="s">
        <v>669</v>
      </c>
      <c r="N76" s="46" t="s">
        <v>670</v>
      </c>
      <c r="O76" s="46" t="s">
        <v>671</v>
      </c>
      <c r="P76" s="46" t="s">
        <v>672</v>
      </c>
    </row>
    <row r="77" spans="2:18" ht="15.75" thickBot="1">
      <c r="B77" s="54" t="s">
        <v>220</v>
      </c>
      <c r="C77" s="45" t="s">
        <v>416</v>
      </c>
      <c r="D77" s="46" t="s">
        <v>166</v>
      </c>
      <c r="E77" s="46" t="s">
        <v>673</v>
      </c>
      <c r="F77" s="46" t="s">
        <v>674</v>
      </c>
      <c r="G77" s="46" t="s">
        <v>184</v>
      </c>
      <c r="H77" s="46" t="s">
        <v>76</v>
      </c>
      <c r="I77" s="46" t="s">
        <v>675</v>
      </c>
      <c r="J77" s="46" t="s">
        <v>676</v>
      </c>
      <c r="K77" s="46" t="s">
        <v>677</v>
      </c>
      <c r="L77" s="46" t="s">
        <v>678</v>
      </c>
      <c r="M77" s="46" t="s">
        <v>679</v>
      </c>
      <c r="N77" s="46" t="s">
        <v>671</v>
      </c>
      <c r="O77" s="46" t="s">
        <v>680</v>
      </c>
      <c r="P77" s="46" t="s">
        <v>565</v>
      </c>
    </row>
    <row r="78" spans="2:18" ht="15.75" thickBot="1">
      <c r="B78" s="54" t="s">
        <v>217</v>
      </c>
      <c r="C78" s="45" t="s">
        <v>416</v>
      </c>
      <c r="D78" s="46" t="s">
        <v>426</v>
      </c>
      <c r="E78" s="46" t="s">
        <v>425</v>
      </c>
      <c r="F78" s="46" t="s">
        <v>424</v>
      </c>
      <c r="G78" s="46" t="s">
        <v>422</v>
      </c>
      <c r="H78" s="46" t="s">
        <v>420</v>
      </c>
      <c r="I78" s="46" t="s">
        <v>681</v>
      </c>
      <c r="J78" s="46" t="s">
        <v>618</v>
      </c>
      <c r="K78" s="46" t="s">
        <v>682</v>
      </c>
      <c r="L78" s="46" t="s">
        <v>683</v>
      </c>
      <c r="M78" s="46" t="s">
        <v>684</v>
      </c>
      <c r="N78" s="46" t="s">
        <v>685</v>
      </c>
      <c r="O78" s="46" t="s">
        <v>686</v>
      </c>
      <c r="P78" s="46" t="s">
        <v>687</v>
      </c>
    </row>
    <row r="79" spans="2:18" ht="15.75" thickBot="1">
      <c r="B79" s="54" t="s">
        <v>67</v>
      </c>
      <c r="C79" s="45" t="s">
        <v>416</v>
      </c>
      <c r="D79" s="46" t="s">
        <v>424</v>
      </c>
      <c r="E79" s="46" t="s">
        <v>422</v>
      </c>
      <c r="F79" s="46" t="s">
        <v>420</v>
      </c>
      <c r="G79" s="46" t="s">
        <v>419</v>
      </c>
      <c r="H79" s="46" t="s">
        <v>428</v>
      </c>
      <c r="I79" s="46" t="s">
        <v>397</v>
      </c>
      <c r="J79" s="46" t="s">
        <v>682</v>
      </c>
      <c r="K79" s="46" t="s">
        <v>688</v>
      </c>
      <c r="L79" s="46" t="s">
        <v>689</v>
      </c>
      <c r="M79" s="46" t="s">
        <v>690</v>
      </c>
      <c r="N79" s="46" t="s">
        <v>686</v>
      </c>
      <c r="O79" s="46" t="s">
        <v>691</v>
      </c>
      <c r="P79" s="46" t="s">
        <v>692</v>
      </c>
    </row>
    <row r="80" spans="2:18" ht="15.75" thickBot="1">
      <c r="B80" s="54" t="s">
        <v>256</v>
      </c>
      <c r="C80" s="45" t="s">
        <v>416</v>
      </c>
      <c r="D80" s="46" t="s">
        <v>438</v>
      </c>
      <c r="E80" s="46" t="s">
        <v>438</v>
      </c>
      <c r="F80" s="46" t="s">
        <v>438</v>
      </c>
      <c r="G80" s="46" t="s">
        <v>438</v>
      </c>
      <c r="H80" s="46" t="s">
        <v>438</v>
      </c>
      <c r="I80" s="46" t="s">
        <v>438</v>
      </c>
      <c r="J80" s="46" t="s">
        <v>438</v>
      </c>
      <c r="K80" s="46" t="s">
        <v>438</v>
      </c>
      <c r="L80" s="46" t="s">
        <v>438</v>
      </c>
      <c r="M80" s="46" t="s">
        <v>438</v>
      </c>
      <c r="N80" s="46" t="s">
        <v>438</v>
      </c>
      <c r="O80" s="46" t="s">
        <v>438</v>
      </c>
      <c r="P80" s="46" t="s">
        <v>438</v>
      </c>
    </row>
    <row r="81" spans="2:16" ht="15.75" thickBot="1">
      <c r="B81" s="54" t="s">
        <v>218</v>
      </c>
      <c r="C81" s="45" t="s">
        <v>416</v>
      </c>
      <c r="D81" s="46" t="s">
        <v>434</v>
      </c>
      <c r="E81" s="46" t="s">
        <v>426</v>
      </c>
      <c r="F81" s="46" t="s">
        <v>424</v>
      </c>
      <c r="G81" s="46" t="s">
        <v>421</v>
      </c>
      <c r="H81" s="46" t="s">
        <v>430</v>
      </c>
      <c r="I81" s="46" t="s">
        <v>532</v>
      </c>
      <c r="J81" s="46" t="s">
        <v>397</v>
      </c>
      <c r="K81" s="46" t="s">
        <v>313</v>
      </c>
      <c r="L81" s="46" t="s">
        <v>650</v>
      </c>
      <c r="M81" s="46" t="s">
        <v>435</v>
      </c>
      <c r="N81" s="46" t="s">
        <v>693</v>
      </c>
      <c r="O81" s="46" t="s">
        <v>694</v>
      </c>
      <c r="P81" s="46" t="s">
        <v>695</v>
      </c>
    </row>
    <row r="82" spans="2:16" ht="15.75" thickBot="1">
      <c r="B82" s="54" t="s">
        <v>37</v>
      </c>
      <c r="C82" s="45" t="s">
        <v>416</v>
      </c>
      <c r="D82" s="46" t="s">
        <v>211</v>
      </c>
      <c r="E82" s="46" t="s">
        <v>216</v>
      </c>
      <c r="F82" s="46" t="s">
        <v>117</v>
      </c>
      <c r="G82" s="46" t="s">
        <v>159</v>
      </c>
      <c r="H82" s="46" t="s">
        <v>203</v>
      </c>
      <c r="I82" s="46" t="s">
        <v>215</v>
      </c>
      <c r="J82" s="46" t="s">
        <v>548</v>
      </c>
      <c r="K82" s="46" t="s">
        <v>166</v>
      </c>
      <c r="L82" s="46" t="s">
        <v>512</v>
      </c>
      <c r="M82" s="46" t="s">
        <v>141</v>
      </c>
      <c r="N82" s="46" t="s">
        <v>549</v>
      </c>
      <c r="O82" s="46" t="s">
        <v>696</v>
      </c>
      <c r="P82" s="46" t="s">
        <v>697</v>
      </c>
    </row>
    <row r="83" spans="2:16" ht="15.75" thickBot="1">
      <c r="B83" s="54" t="s">
        <v>219</v>
      </c>
      <c r="C83" s="45" t="s">
        <v>416</v>
      </c>
      <c r="D83" s="46" t="s">
        <v>83</v>
      </c>
      <c r="E83" s="46" t="s">
        <v>83</v>
      </c>
      <c r="F83" s="46" t="s">
        <v>83</v>
      </c>
      <c r="G83" s="46" t="s">
        <v>83</v>
      </c>
      <c r="H83" s="46" t="s">
        <v>83</v>
      </c>
      <c r="I83" s="46" t="s">
        <v>418</v>
      </c>
      <c r="J83" s="46" t="s">
        <v>418</v>
      </c>
      <c r="K83" s="46" t="s">
        <v>102</v>
      </c>
      <c r="L83" s="46" t="s">
        <v>85</v>
      </c>
      <c r="M83" s="46" t="s">
        <v>202</v>
      </c>
      <c r="N83" s="46" t="s">
        <v>197</v>
      </c>
      <c r="O83" s="46" t="s">
        <v>551</v>
      </c>
      <c r="P83" s="46" t="s">
        <v>210</v>
      </c>
    </row>
    <row r="84" spans="2:16" ht="15.75" thickBot="1">
      <c r="B84" s="54" t="s">
        <v>264</v>
      </c>
      <c r="C84" s="45" t="s">
        <v>416</v>
      </c>
      <c r="D84" s="46" t="s">
        <v>78</v>
      </c>
      <c r="E84" s="46" t="s">
        <v>85</v>
      </c>
      <c r="F84" s="46" t="s">
        <v>85</v>
      </c>
      <c r="G84" s="46" t="s">
        <v>85</v>
      </c>
      <c r="H84" s="46" t="s">
        <v>79</v>
      </c>
      <c r="I84" s="46" t="s">
        <v>112</v>
      </c>
      <c r="J84" s="46" t="s">
        <v>211</v>
      </c>
      <c r="K84" s="46" t="s">
        <v>202</v>
      </c>
      <c r="L84" s="46" t="s">
        <v>117</v>
      </c>
      <c r="M84" s="46" t="s">
        <v>142</v>
      </c>
      <c r="N84" s="46" t="s">
        <v>215</v>
      </c>
      <c r="O84" s="46" t="s">
        <v>166</v>
      </c>
      <c r="P84" s="46" t="s">
        <v>698</v>
      </c>
    </row>
    <row r="85" spans="2:16" ht="15.75" thickBot="1">
      <c r="B85" s="54" t="s">
        <v>222</v>
      </c>
      <c r="C85" s="45" t="s">
        <v>416</v>
      </c>
      <c r="D85" s="46" t="s">
        <v>553</v>
      </c>
      <c r="E85" s="46" t="s">
        <v>554</v>
      </c>
      <c r="F85" s="46" t="s">
        <v>555</v>
      </c>
      <c r="G85" s="46" t="s">
        <v>549</v>
      </c>
      <c r="H85" s="46" t="s">
        <v>549</v>
      </c>
      <c r="I85" s="46" t="s">
        <v>513</v>
      </c>
      <c r="J85" s="46" t="s">
        <v>162</v>
      </c>
      <c r="K85" s="46" t="s">
        <v>556</v>
      </c>
      <c r="L85" s="46" t="s">
        <v>557</v>
      </c>
      <c r="M85" s="46" t="s">
        <v>558</v>
      </c>
      <c r="N85" s="46" t="s">
        <v>559</v>
      </c>
      <c r="O85" s="46" t="s">
        <v>560</v>
      </c>
      <c r="P85" s="46" t="s">
        <v>561</v>
      </c>
    </row>
    <row r="86" spans="2:16" ht="15.75" thickBot="1">
      <c r="B86" s="54" t="s">
        <v>654</v>
      </c>
      <c r="C86" s="45" t="s">
        <v>416</v>
      </c>
      <c r="D86" s="46" t="s">
        <v>142</v>
      </c>
      <c r="E86" s="46" t="s">
        <v>549</v>
      </c>
      <c r="F86" s="46" t="s">
        <v>140</v>
      </c>
      <c r="G86" s="46" t="s">
        <v>551</v>
      </c>
      <c r="H86" s="46" t="s">
        <v>147</v>
      </c>
      <c r="I86" s="46" t="s">
        <v>514</v>
      </c>
      <c r="J86" s="46" t="s">
        <v>200</v>
      </c>
      <c r="K86" s="46" t="s">
        <v>563</v>
      </c>
      <c r="L86" s="46" t="s">
        <v>564</v>
      </c>
      <c r="M86" s="46" t="s">
        <v>205</v>
      </c>
      <c r="N86" s="46" t="s">
        <v>565</v>
      </c>
      <c r="O86" s="46" t="s">
        <v>566</v>
      </c>
      <c r="P86" s="46" t="s">
        <v>567</v>
      </c>
    </row>
    <row r="87" spans="2:16" ht="15.75" thickBot="1">
      <c r="B87" s="54" t="s">
        <v>455</v>
      </c>
      <c r="C87" s="45" t="s">
        <v>416</v>
      </c>
      <c r="D87" s="46" t="s">
        <v>462</v>
      </c>
      <c r="E87" s="46" t="s">
        <v>462</v>
      </c>
      <c r="F87" s="46" t="s">
        <v>462</v>
      </c>
      <c r="G87" s="46" t="s">
        <v>462</v>
      </c>
      <c r="H87" s="46" t="s">
        <v>462</v>
      </c>
      <c r="I87" s="46" t="s">
        <v>462</v>
      </c>
      <c r="J87" s="46" t="s">
        <v>462</v>
      </c>
      <c r="K87" s="46" t="s">
        <v>462</v>
      </c>
      <c r="L87" s="46" t="s">
        <v>462</v>
      </c>
      <c r="M87" s="46" t="s">
        <v>462</v>
      </c>
      <c r="N87" s="46" t="s">
        <v>462</v>
      </c>
      <c r="O87" s="46" t="s">
        <v>462</v>
      </c>
      <c r="P87" s="46" t="s">
        <v>462</v>
      </c>
    </row>
    <row r="88" spans="2:16" ht="15.75" thickBot="1">
      <c r="B88" s="54" t="s">
        <v>463</v>
      </c>
      <c r="C88" s="45" t="s">
        <v>416</v>
      </c>
      <c r="D88" s="46" t="s">
        <v>464</v>
      </c>
      <c r="E88" s="46" t="s">
        <v>464</v>
      </c>
      <c r="F88" s="46" t="s">
        <v>464</v>
      </c>
      <c r="G88" s="46" t="s">
        <v>464</v>
      </c>
      <c r="H88" s="46" t="s">
        <v>464</v>
      </c>
      <c r="I88" s="46" t="s">
        <v>464</v>
      </c>
      <c r="J88" s="46" t="s">
        <v>464</v>
      </c>
      <c r="K88" s="46" t="s">
        <v>464</v>
      </c>
      <c r="L88" s="46" t="s">
        <v>464</v>
      </c>
      <c r="M88" s="46" t="s">
        <v>464</v>
      </c>
      <c r="N88" s="46" t="s">
        <v>464</v>
      </c>
      <c r="O88" s="46" t="s">
        <v>464</v>
      </c>
      <c r="P88" s="46" t="s">
        <v>464</v>
      </c>
    </row>
    <row r="89" spans="2:16" ht="15.75" thickBot="1">
      <c r="B89" s="54" t="s">
        <v>291</v>
      </c>
      <c r="C89" s="45" t="s">
        <v>416</v>
      </c>
      <c r="D89" s="46" t="s">
        <v>478</v>
      </c>
      <c r="E89" s="46" t="s">
        <v>478</v>
      </c>
      <c r="F89" s="46" t="s">
        <v>477</v>
      </c>
      <c r="G89" s="46" t="s">
        <v>477</v>
      </c>
      <c r="H89" s="46" t="s">
        <v>476</v>
      </c>
      <c r="I89" s="46" t="s">
        <v>699</v>
      </c>
      <c r="J89" s="46" t="s">
        <v>474</v>
      </c>
      <c r="K89" s="46" t="s">
        <v>700</v>
      </c>
      <c r="L89" s="46" t="s">
        <v>701</v>
      </c>
      <c r="M89" s="46" t="s">
        <v>702</v>
      </c>
      <c r="N89" s="46" t="s">
        <v>703</v>
      </c>
      <c r="O89" s="46" t="s">
        <v>704</v>
      </c>
      <c r="P89" s="46" t="s">
        <v>705</v>
      </c>
    </row>
    <row r="90" spans="2:16" ht="15.75" thickBot="1">
      <c r="B90" s="54" t="s">
        <v>305</v>
      </c>
      <c r="C90" s="45" t="s">
        <v>416</v>
      </c>
      <c r="D90" s="46" t="s">
        <v>306</v>
      </c>
      <c r="E90" s="46" t="s">
        <v>306</v>
      </c>
      <c r="F90" s="46" t="s">
        <v>306</v>
      </c>
      <c r="G90" s="46" t="s">
        <v>306</v>
      </c>
      <c r="H90" s="46" t="s">
        <v>306</v>
      </c>
      <c r="I90" s="46" t="s">
        <v>306</v>
      </c>
      <c r="J90" s="46" t="s">
        <v>306</v>
      </c>
      <c r="K90" s="46" t="s">
        <v>306</v>
      </c>
      <c r="L90" s="46" t="s">
        <v>306</v>
      </c>
      <c r="M90" s="46" t="s">
        <v>306</v>
      </c>
      <c r="N90" s="46">
        <v>365</v>
      </c>
      <c r="O90" s="46">
        <v>15</v>
      </c>
      <c r="P90" s="46">
        <v>8</v>
      </c>
    </row>
    <row r="91" spans="2:16" ht="15.75" thickBot="1">
      <c r="B91" s="54" t="s">
        <v>307</v>
      </c>
      <c r="C91" s="45" t="s">
        <v>416</v>
      </c>
      <c r="D91" s="46" t="s">
        <v>141</v>
      </c>
      <c r="E91" s="46" t="s">
        <v>141</v>
      </c>
      <c r="F91" s="46" t="s">
        <v>141</v>
      </c>
      <c r="G91" s="46" t="s">
        <v>141</v>
      </c>
      <c r="H91" s="46" t="s">
        <v>141</v>
      </c>
      <c r="I91" s="46" t="s">
        <v>141</v>
      </c>
      <c r="J91" s="46" t="s">
        <v>141</v>
      </c>
      <c r="K91" s="46" t="s">
        <v>141</v>
      </c>
      <c r="L91" s="46" t="s">
        <v>141</v>
      </c>
      <c r="M91" s="46" t="s">
        <v>141</v>
      </c>
      <c r="N91" s="46" t="s">
        <v>141</v>
      </c>
      <c r="O91" s="46" t="s">
        <v>549</v>
      </c>
      <c r="P91" s="46" t="s">
        <v>163</v>
      </c>
    </row>
    <row r="92" spans="2:16" ht="15.75" thickBot="1">
      <c r="B92" s="54" t="s">
        <v>310</v>
      </c>
      <c r="C92" s="45" t="s">
        <v>480</v>
      </c>
      <c r="D92" s="46" t="s">
        <v>631</v>
      </c>
      <c r="E92" s="46" t="s">
        <v>631</v>
      </c>
      <c r="F92" s="46" t="s">
        <v>631</v>
      </c>
      <c r="G92" s="46" t="s">
        <v>631</v>
      </c>
      <c r="H92" s="46" t="s">
        <v>631</v>
      </c>
      <c r="I92" s="46" t="s">
        <v>631</v>
      </c>
      <c r="J92" s="46" t="s">
        <v>658</v>
      </c>
      <c r="K92" s="46" t="s">
        <v>658</v>
      </c>
      <c r="L92" s="46" t="s">
        <v>658</v>
      </c>
      <c r="M92" s="46" t="s">
        <v>127</v>
      </c>
      <c r="N92" s="46" t="s">
        <v>131</v>
      </c>
      <c r="O92" s="46" t="s">
        <v>706</v>
      </c>
      <c r="P92" s="46" t="s">
        <v>604</v>
      </c>
    </row>
    <row r="93" spans="2:16" ht="15.75" thickBot="1">
      <c r="B93" s="54" t="s">
        <v>315</v>
      </c>
      <c r="C93" s="45" t="s">
        <v>480</v>
      </c>
      <c r="D93" s="46" t="s">
        <v>112</v>
      </c>
      <c r="E93" s="46" t="s">
        <v>112</v>
      </c>
      <c r="F93" s="46" t="s">
        <v>112</v>
      </c>
      <c r="G93" s="46" t="s">
        <v>112</v>
      </c>
      <c r="H93" s="46" t="s">
        <v>112</v>
      </c>
      <c r="I93" s="46" t="s">
        <v>112</v>
      </c>
      <c r="J93" s="46" t="s">
        <v>112</v>
      </c>
      <c r="K93" s="46" t="s">
        <v>112</v>
      </c>
      <c r="L93" s="46" t="s">
        <v>112</v>
      </c>
      <c r="M93" s="46" t="s">
        <v>112</v>
      </c>
      <c r="N93" s="46" t="s">
        <v>112</v>
      </c>
      <c r="O93" s="46" t="s">
        <v>211</v>
      </c>
      <c r="P93" s="46" t="s">
        <v>164</v>
      </c>
    </row>
    <row r="94" spans="2:16">
      <c r="B94" s="38"/>
    </row>
    <row r="96" spans="2:16">
      <c r="B96" s="38"/>
    </row>
    <row r="147" spans="2:2">
      <c r="B147" s="49"/>
    </row>
    <row r="148" spans="2:2">
      <c r="B148" s="49"/>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4"/>
  <sheetViews>
    <sheetView workbookViewId="0">
      <selection sqref="A1:B1"/>
    </sheetView>
  </sheetViews>
  <sheetFormatPr defaultRowHeight="15"/>
  <cols>
    <col min="1" max="1" width="12.5703125" bestFit="1" customWidth="1"/>
  </cols>
  <sheetData>
    <row r="1" spans="1:16" ht="26.25">
      <c r="A1" s="62" t="s">
        <v>777</v>
      </c>
      <c r="B1" s="62" t="s">
        <v>767</v>
      </c>
    </row>
    <row r="3" spans="1:16" ht="15.75" thickBot="1"/>
    <row r="4" spans="1:16" ht="18.75">
      <c r="B4" s="268" t="s">
        <v>778</v>
      </c>
      <c r="C4" s="269"/>
      <c r="D4" s="269"/>
      <c r="E4" s="269"/>
      <c r="F4" s="269"/>
      <c r="G4" s="269"/>
      <c r="H4" s="269"/>
      <c r="I4" s="269"/>
      <c r="J4" s="269"/>
      <c r="K4" s="269"/>
      <c r="L4" s="269"/>
      <c r="M4" s="269"/>
      <c r="N4" s="269"/>
      <c r="O4" s="269"/>
      <c r="P4" s="270"/>
    </row>
    <row r="5" spans="1:16" ht="19.5" thickBot="1">
      <c r="B5" s="77"/>
      <c r="C5" s="78"/>
      <c r="D5" s="78"/>
      <c r="E5" s="78"/>
      <c r="F5" s="78"/>
      <c r="G5" s="78"/>
      <c r="H5" s="78"/>
      <c r="I5" s="78"/>
      <c r="J5" s="78"/>
      <c r="K5" s="78"/>
      <c r="L5" s="78"/>
      <c r="M5" s="78"/>
      <c r="N5" s="78"/>
      <c r="O5" s="78"/>
      <c r="P5" s="79"/>
    </row>
    <row r="6" spans="1:16">
      <c r="B6" s="271" t="s">
        <v>779</v>
      </c>
      <c r="C6" s="272"/>
      <c r="D6" s="82" t="s">
        <v>780</v>
      </c>
      <c r="E6" s="275" t="s">
        <v>62</v>
      </c>
      <c r="F6" s="275" t="s">
        <v>782</v>
      </c>
      <c r="G6" s="275"/>
      <c r="H6" s="80"/>
      <c r="I6" s="271" t="s">
        <v>783</v>
      </c>
      <c r="J6" s="275"/>
      <c r="K6" s="275"/>
      <c r="L6" s="275"/>
      <c r="M6" s="275"/>
      <c r="N6" s="275"/>
      <c r="O6" s="275"/>
      <c r="P6" s="272"/>
    </row>
    <row r="7" spans="1:16" ht="15.75" thickBot="1">
      <c r="B7" s="273"/>
      <c r="C7" s="274"/>
      <c r="D7" s="83" t="s">
        <v>781</v>
      </c>
      <c r="E7" s="276"/>
      <c r="F7" s="84" t="s">
        <v>65</v>
      </c>
      <c r="G7" s="84" t="s">
        <v>784</v>
      </c>
      <c r="H7" s="85"/>
      <c r="I7" s="86"/>
      <c r="J7" s="86"/>
      <c r="K7" s="86"/>
      <c r="L7" s="86"/>
      <c r="M7" s="86"/>
      <c r="N7" s="86"/>
      <c r="O7" s="86"/>
      <c r="P7" s="87"/>
    </row>
    <row r="8" spans="1:16">
      <c r="B8" s="81"/>
      <c r="C8" s="88" t="s">
        <v>785</v>
      </c>
      <c r="D8" s="81"/>
      <c r="E8" s="80"/>
      <c r="F8" s="89"/>
      <c r="G8" s="89"/>
      <c r="H8" s="90"/>
      <c r="I8" s="80">
        <v>2</v>
      </c>
      <c r="J8" s="81">
        <v>5.01</v>
      </c>
      <c r="K8" s="81">
        <v>10</v>
      </c>
      <c r="L8" s="81">
        <v>47.32</v>
      </c>
      <c r="M8" s="81">
        <v>94.41</v>
      </c>
      <c r="N8" s="81">
        <v>1995.26</v>
      </c>
      <c r="O8" s="81">
        <v>4731.51</v>
      </c>
      <c r="P8" s="91">
        <v>7943.28</v>
      </c>
    </row>
    <row r="9" spans="1:16" ht="15.75" thickBot="1">
      <c r="B9" s="92"/>
      <c r="C9" s="93" t="s">
        <v>786</v>
      </c>
      <c r="D9" s="92"/>
      <c r="E9" s="86"/>
      <c r="F9" s="84"/>
      <c r="G9" s="84"/>
      <c r="H9" s="85"/>
      <c r="I9" s="86">
        <v>5.01</v>
      </c>
      <c r="J9" s="92">
        <v>10</v>
      </c>
      <c r="K9" s="92">
        <v>47.32</v>
      </c>
      <c r="L9" s="92">
        <v>94.41</v>
      </c>
      <c r="M9" s="92">
        <v>1995.26</v>
      </c>
      <c r="N9" s="92">
        <v>4731.51</v>
      </c>
      <c r="O9" s="92">
        <v>7943.28</v>
      </c>
      <c r="P9" s="94">
        <v>10000</v>
      </c>
    </row>
    <row r="10" spans="1:16">
      <c r="B10" s="277" t="s">
        <v>787</v>
      </c>
      <c r="C10" s="95" t="s">
        <v>788</v>
      </c>
      <c r="D10" s="96">
        <v>101325</v>
      </c>
      <c r="E10" s="97" t="s">
        <v>68</v>
      </c>
      <c r="F10" s="98">
        <v>1.4999999999999999E-4</v>
      </c>
      <c r="G10" s="99">
        <v>15</v>
      </c>
      <c r="H10" s="100" t="s">
        <v>310</v>
      </c>
      <c r="I10" s="99">
        <v>3.4000000000000002E-4</v>
      </c>
      <c r="J10" s="96">
        <v>3.4000000000000002E-4</v>
      </c>
      <c r="K10" s="96">
        <v>3.4000000000000002E-4</v>
      </c>
      <c r="L10" s="96">
        <v>3.4000000000000002E-4</v>
      </c>
      <c r="M10" s="96">
        <v>3.8000000000000002E-4</v>
      </c>
      <c r="N10" s="96">
        <v>5.5999999999999995E-4</v>
      </c>
      <c r="O10" s="96">
        <v>6.3000000000000003E-4</v>
      </c>
      <c r="P10" s="101">
        <v>5.4000000000000001E-4</v>
      </c>
    </row>
    <row r="11" spans="1:16">
      <c r="B11" s="265"/>
      <c r="C11" s="95" t="s">
        <v>789</v>
      </c>
      <c r="D11" s="96">
        <v>50</v>
      </c>
      <c r="E11" s="97" t="s">
        <v>762</v>
      </c>
      <c r="F11" s="98">
        <v>0.03</v>
      </c>
      <c r="G11" s="99">
        <v>1.5</v>
      </c>
      <c r="H11" s="100" t="s">
        <v>310</v>
      </c>
      <c r="I11" s="99">
        <v>8.0000000000000007E-5</v>
      </c>
      <c r="J11" s="96">
        <v>8.0000000000000007E-5</v>
      </c>
      <c r="K11" s="96">
        <v>9.0000000000000006E-5</v>
      </c>
      <c r="L11" s="96">
        <v>1E-4</v>
      </c>
      <c r="M11" s="96">
        <v>1.2E-4</v>
      </c>
      <c r="N11" s="96">
        <v>2.2000000000000001E-4</v>
      </c>
      <c r="O11" s="96">
        <v>4.4999999999999999E-4</v>
      </c>
      <c r="P11" s="101">
        <v>7.9000000000000001E-4</v>
      </c>
    </row>
    <row r="12" spans="1:16">
      <c r="B12" s="265"/>
      <c r="C12" s="95" t="s">
        <v>790</v>
      </c>
      <c r="D12" s="96">
        <v>296.14999999999998</v>
      </c>
      <c r="E12" s="97" t="s">
        <v>479</v>
      </c>
      <c r="F12" s="98">
        <v>1.01E-3</v>
      </c>
      <c r="G12" s="99">
        <v>0.3</v>
      </c>
      <c r="H12" s="100" t="s">
        <v>310</v>
      </c>
      <c r="I12" s="99">
        <v>1.07E-3</v>
      </c>
      <c r="J12" s="96">
        <v>9.7999999999999997E-4</v>
      </c>
      <c r="K12" s="96">
        <v>9.3000000000000005E-4</v>
      </c>
      <c r="L12" s="96">
        <v>8.7000000000000001E-4</v>
      </c>
      <c r="M12" s="96">
        <v>1.5E-3</v>
      </c>
      <c r="N12" s="96">
        <v>4.7400000000000003E-3</v>
      </c>
      <c r="O12" s="96">
        <v>6.94E-3</v>
      </c>
      <c r="P12" s="101">
        <v>6.7799999999999996E-3</v>
      </c>
    </row>
    <row r="13" spans="1:16">
      <c r="B13" s="265"/>
      <c r="C13" s="95" t="s">
        <v>791</v>
      </c>
      <c r="D13" s="96">
        <v>-1.4999999999999999E-2</v>
      </c>
      <c r="E13" s="97" t="s">
        <v>73</v>
      </c>
      <c r="F13" s="98">
        <v>0.1</v>
      </c>
      <c r="G13" s="99">
        <v>0</v>
      </c>
      <c r="H13" s="100" t="s">
        <v>310</v>
      </c>
      <c r="I13" s="99">
        <v>3.0000000000000001E-5</v>
      </c>
      <c r="J13" s="96">
        <v>3.0000000000000001E-5</v>
      </c>
      <c r="K13" s="96">
        <v>3.0000000000000001E-5</v>
      </c>
      <c r="L13" s="96">
        <v>3.0000000000000001E-5</v>
      </c>
      <c r="M13" s="96">
        <v>4.0000000000000003E-5</v>
      </c>
      <c r="N13" s="96">
        <v>4.0000000000000003E-5</v>
      </c>
      <c r="O13" s="96">
        <v>3.0000000000000001E-5</v>
      </c>
      <c r="P13" s="101">
        <v>6.9999999999999994E-5</v>
      </c>
    </row>
    <row r="14" spans="1:16" ht="15.75" thickBot="1">
      <c r="B14" s="266"/>
      <c r="C14" s="93" t="s">
        <v>792</v>
      </c>
      <c r="D14" s="102">
        <v>-1.4999999999999999E-2</v>
      </c>
      <c r="E14" s="103" t="s">
        <v>793</v>
      </c>
      <c r="F14" s="104">
        <v>0.1</v>
      </c>
      <c r="G14" s="105">
        <v>0</v>
      </c>
      <c r="H14" s="106" t="s">
        <v>310</v>
      </c>
      <c r="I14" s="105">
        <v>2.0000000000000002E-5</v>
      </c>
      <c r="J14" s="102">
        <v>2.0000000000000002E-5</v>
      </c>
      <c r="K14" s="102">
        <v>2.0000000000000002E-5</v>
      </c>
      <c r="L14" s="102">
        <v>2.0000000000000002E-5</v>
      </c>
      <c r="M14" s="102">
        <v>4.0000000000000003E-5</v>
      </c>
      <c r="N14" s="102">
        <v>1.2999999999999999E-4</v>
      </c>
      <c r="O14" s="102">
        <v>1.7000000000000001E-4</v>
      </c>
      <c r="P14" s="107">
        <v>1.3999999999999999E-4</v>
      </c>
    </row>
    <row r="15" spans="1:16">
      <c r="B15" s="264" t="s">
        <v>764</v>
      </c>
      <c r="C15" s="95" t="s">
        <v>794</v>
      </c>
      <c r="D15" s="108">
        <v>1.9E-3</v>
      </c>
      <c r="E15" s="97" t="s">
        <v>66</v>
      </c>
      <c r="F15" s="98">
        <v>7.8899999999999994E-3</v>
      </c>
      <c r="G15" s="109">
        <v>1.5E-5</v>
      </c>
      <c r="H15" s="100" t="s">
        <v>310</v>
      </c>
      <c r="I15" s="99">
        <v>8.8999999999999995E-4</v>
      </c>
      <c r="J15" s="96">
        <v>5.8E-4</v>
      </c>
      <c r="K15" s="96">
        <v>4.0999999999999999E-4</v>
      </c>
      <c r="L15" s="96">
        <v>1.9000000000000001E-4</v>
      </c>
      <c r="M15" s="96">
        <v>1.3999999999999999E-4</v>
      </c>
      <c r="N15" s="96">
        <v>5.1000000000000004E-4</v>
      </c>
      <c r="O15" s="96">
        <v>6.3000000000000003E-4</v>
      </c>
      <c r="P15" s="101">
        <v>4.2000000000000002E-4</v>
      </c>
    </row>
    <row r="16" spans="1:16" ht="17.25">
      <c r="B16" s="265"/>
      <c r="C16" s="95" t="s">
        <v>795</v>
      </c>
      <c r="D16" s="108">
        <v>5.3499999999999996E-7</v>
      </c>
      <c r="E16" s="97" t="s">
        <v>796</v>
      </c>
      <c r="F16" s="98">
        <v>1.2500000000000001E-2</v>
      </c>
      <c r="G16" s="109">
        <v>6.6899999999999999E-9</v>
      </c>
      <c r="H16" s="100" t="s">
        <v>310</v>
      </c>
      <c r="I16" s="99">
        <v>1.8360000000000001E-2</v>
      </c>
      <c r="J16" s="96">
        <v>1.8839999999999999E-2</v>
      </c>
      <c r="K16" s="96">
        <v>1.95E-2</v>
      </c>
      <c r="L16" s="96">
        <v>1.966E-2</v>
      </c>
      <c r="M16" s="96">
        <v>1.983E-2</v>
      </c>
      <c r="N16" s="96">
        <v>1.8970000000000001E-2</v>
      </c>
      <c r="O16" s="96">
        <v>1.4109999999999999E-2</v>
      </c>
      <c r="P16" s="101">
        <v>1.8270000000000002E-2</v>
      </c>
    </row>
    <row r="17" spans="2:16">
      <c r="B17" s="265"/>
      <c r="C17" s="95" t="s">
        <v>797</v>
      </c>
      <c r="D17" s="108">
        <v>1.7899999999999999E-2</v>
      </c>
      <c r="E17" s="97" t="s">
        <v>66</v>
      </c>
      <c r="F17" s="98">
        <v>0.2</v>
      </c>
      <c r="G17" s="109">
        <v>3.5799999999999998E-3</v>
      </c>
      <c r="H17" s="100" t="s">
        <v>310</v>
      </c>
      <c r="I17" s="99">
        <v>0</v>
      </c>
      <c r="J17" s="96">
        <v>0</v>
      </c>
      <c r="K17" s="96">
        <v>0</v>
      </c>
      <c r="L17" s="96">
        <v>2.0000000000000002E-5</v>
      </c>
      <c r="M17" s="96">
        <v>7.9600000000000001E-3</v>
      </c>
      <c r="N17" s="96">
        <v>4.2750000000000003E-2</v>
      </c>
      <c r="O17" s="96">
        <v>6.3329999999999997E-2</v>
      </c>
      <c r="P17" s="101">
        <v>8.7249999999999994E-2</v>
      </c>
    </row>
    <row r="18" spans="2:16" ht="17.25">
      <c r="B18" s="265"/>
      <c r="C18" s="95" t="s">
        <v>798</v>
      </c>
      <c r="D18" s="108">
        <v>1.36E-7</v>
      </c>
      <c r="E18" s="97" t="s">
        <v>796</v>
      </c>
      <c r="F18" s="98">
        <v>0.1</v>
      </c>
      <c r="G18" s="109">
        <v>1.3599999999999999E-8</v>
      </c>
      <c r="H18" s="100" t="s">
        <v>310</v>
      </c>
      <c r="I18" s="99">
        <v>3.5680000000000003E-2</v>
      </c>
      <c r="J18" s="96">
        <v>3.6630000000000003E-2</v>
      </c>
      <c r="K18" s="96">
        <v>3.7909999999999999E-2</v>
      </c>
      <c r="L18" s="96">
        <v>3.8219999999999997E-2</v>
      </c>
      <c r="M18" s="96">
        <v>3.857E-2</v>
      </c>
      <c r="N18" s="96">
        <v>3.7019999999999997E-2</v>
      </c>
      <c r="O18" s="96">
        <v>2.478E-2</v>
      </c>
      <c r="P18" s="101">
        <v>1.6830000000000001E-2</v>
      </c>
    </row>
    <row r="19" spans="2:16">
      <c r="B19" s="265"/>
      <c r="C19" s="95" t="s">
        <v>799</v>
      </c>
      <c r="D19" s="96">
        <v>7743.3</v>
      </c>
      <c r="E19" s="97" t="s">
        <v>763</v>
      </c>
      <c r="F19" s="98">
        <v>0.2</v>
      </c>
      <c r="G19" s="109">
        <v>1550</v>
      </c>
      <c r="H19" s="100" t="s">
        <v>310</v>
      </c>
      <c r="I19" s="99">
        <v>0</v>
      </c>
      <c r="J19" s="96">
        <v>1.0000000000000001E-5</v>
      </c>
      <c r="K19" s="96">
        <v>1.0000000000000001E-5</v>
      </c>
      <c r="L19" s="96">
        <v>2.0000000000000002E-5</v>
      </c>
      <c r="M19" s="96">
        <v>1.17E-3</v>
      </c>
      <c r="N19" s="96">
        <v>3.8679999999999999E-2</v>
      </c>
      <c r="O19" s="96">
        <v>6.6180000000000003E-2</v>
      </c>
      <c r="P19" s="101">
        <v>2.9090000000000001E-2</v>
      </c>
    </row>
    <row r="20" spans="2:16" ht="15.75" thickBot="1">
      <c r="B20" s="266"/>
      <c r="C20" s="93" t="s">
        <v>70</v>
      </c>
      <c r="D20" s="102">
        <v>1.0132000000000001</v>
      </c>
      <c r="E20" s="103"/>
      <c r="F20" s="104">
        <v>0.2</v>
      </c>
      <c r="G20" s="110">
        <v>0.20300000000000001</v>
      </c>
      <c r="H20" s="106" t="s">
        <v>310</v>
      </c>
      <c r="I20" s="105">
        <v>0</v>
      </c>
      <c r="J20" s="102">
        <v>1.0000000000000001E-5</v>
      </c>
      <c r="K20" s="102">
        <v>1.0000000000000001E-5</v>
      </c>
      <c r="L20" s="102">
        <v>1.0000000000000001E-5</v>
      </c>
      <c r="M20" s="102">
        <v>1.0109999999999999E-2</v>
      </c>
      <c r="N20" s="102">
        <v>4.4470000000000003E-2</v>
      </c>
      <c r="O20" s="102">
        <v>4.5539999999999997E-2</v>
      </c>
      <c r="P20" s="107">
        <v>4.0059999999999998E-2</v>
      </c>
    </row>
    <row r="21" spans="2:16">
      <c r="B21" s="264" t="s">
        <v>800</v>
      </c>
      <c r="C21" s="95" t="s">
        <v>801</v>
      </c>
      <c r="D21" s="108">
        <v>1.8599999999999998E-2</v>
      </c>
      <c r="E21" s="97" t="s">
        <v>66</v>
      </c>
      <c r="F21" s="98">
        <v>3.0000000000000001E-5</v>
      </c>
      <c r="G21" s="109">
        <v>4.9999999999999998E-7</v>
      </c>
      <c r="H21" s="100" t="s">
        <v>310</v>
      </c>
      <c r="I21" s="99">
        <v>8.0000000000000007E-5</v>
      </c>
      <c r="J21" s="96">
        <v>8.0000000000000007E-5</v>
      </c>
      <c r="K21" s="96">
        <v>8.0000000000000007E-5</v>
      </c>
      <c r="L21" s="96">
        <v>8.0000000000000007E-5</v>
      </c>
      <c r="M21" s="96">
        <v>8.0000000000000007E-5</v>
      </c>
      <c r="N21" s="96">
        <v>1E-4</v>
      </c>
      <c r="O21" s="96">
        <v>1.3999999999999999E-4</v>
      </c>
      <c r="P21" s="101">
        <v>1.9000000000000001E-4</v>
      </c>
    </row>
    <row r="22" spans="2:16" ht="15.75" thickBot="1">
      <c r="B22" s="266"/>
      <c r="C22" s="93" t="s">
        <v>802</v>
      </c>
      <c r="D22" s="111">
        <v>0.01</v>
      </c>
      <c r="E22" s="103" t="s">
        <v>66</v>
      </c>
      <c r="F22" s="104">
        <v>5.0000000000000002E-5</v>
      </c>
      <c r="G22" s="110">
        <v>4.9999999999999998E-7</v>
      </c>
      <c r="H22" s="106" t="s">
        <v>310</v>
      </c>
      <c r="I22" s="105">
        <v>4.0000000000000003E-5</v>
      </c>
      <c r="J22" s="102">
        <v>2.0000000000000002E-5</v>
      </c>
      <c r="K22" s="102">
        <v>2.0000000000000002E-5</v>
      </c>
      <c r="L22" s="102">
        <v>1.0000000000000001E-5</v>
      </c>
      <c r="M22" s="102">
        <v>2.0000000000000002E-5</v>
      </c>
      <c r="N22" s="102">
        <v>8.0000000000000007E-5</v>
      </c>
      <c r="O22" s="102">
        <v>1.9000000000000001E-4</v>
      </c>
      <c r="P22" s="107">
        <v>2.9999999999999997E-4</v>
      </c>
    </row>
    <row r="23" spans="2:16">
      <c r="B23" s="264" t="s">
        <v>803</v>
      </c>
      <c r="C23" s="95" t="s">
        <v>804</v>
      </c>
      <c r="D23" s="96">
        <v>0.5</v>
      </c>
      <c r="E23" s="97" t="s">
        <v>72</v>
      </c>
      <c r="F23" s="98">
        <v>1E-3</v>
      </c>
      <c r="G23" s="109">
        <v>5.0000000000000001E-4</v>
      </c>
      <c r="H23" s="100" t="s">
        <v>310</v>
      </c>
      <c r="I23" s="99">
        <v>3.2399999999999998E-3</v>
      </c>
      <c r="J23" s="96">
        <v>9.7000000000000005E-4</v>
      </c>
      <c r="K23" s="96">
        <v>2.65E-3</v>
      </c>
      <c r="L23" s="96">
        <v>1.7700000000000001E-3</v>
      </c>
      <c r="M23" s="96">
        <v>2.5600000000000002E-3</v>
      </c>
      <c r="N23" s="96">
        <v>2.0000000000000001E-4</v>
      </c>
      <c r="O23" s="96">
        <v>1.9000000000000001E-4</v>
      </c>
      <c r="P23" s="101">
        <v>2.7999999999999998E-4</v>
      </c>
    </row>
    <row r="24" spans="2:16">
      <c r="B24" s="265"/>
      <c r="C24" s="95" t="s">
        <v>805</v>
      </c>
      <c r="D24" s="96">
        <v>1.4</v>
      </c>
      <c r="E24" s="97" t="s">
        <v>72</v>
      </c>
      <c r="F24" s="98">
        <v>1E-3</v>
      </c>
      <c r="G24" s="109">
        <v>1.4E-3</v>
      </c>
      <c r="H24" s="100" t="s">
        <v>310</v>
      </c>
      <c r="I24" s="99">
        <v>8.4000000000000003E-4</v>
      </c>
      <c r="J24" s="96">
        <v>3.8000000000000002E-4</v>
      </c>
      <c r="K24" s="96">
        <v>1.2800000000000001E-3</v>
      </c>
      <c r="L24" s="96">
        <v>7.5000000000000002E-4</v>
      </c>
      <c r="M24" s="96">
        <v>1.06E-3</v>
      </c>
      <c r="N24" s="96">
        <v>1.2E-4</v>
      </c>
      <c r="O24" s="96">
        <v>1.3999999999999999E-4</v>
      </c>
      <c r="P24" s="101">
        <v>1.2999999999999999E-4</v>
      </c>
    </row>
    <row r="25" spans="2:16">
      <c r="B25" s="265"/>
      <c r="C25" s="95" t="s">
        <v>806</v>
      </c>
      <c r="D25" s="96">
        <v>1</v>
      </c>
      <c r="E25" s="97" t="s">
        <v>72</v>
      </c>
      <c r="F25" s="98">
        <v>1E-3</v>
      </c>
      <c r="G25" s="109">
        <v>1E-3</v>
      </c>
      <c r="H25" s="100" t="s">
        <v>310</v>
      </c>
      <c r="I25" s="99">
        <v>6.7999999999999996E-3</v>
      </c>
      <c r="J25" s="96">
        <v>1.89E-3</v>
      </c>
      <c r="K25" s="96">
        <v>5.8700000000000002E-3</v>
      </c>
      <c r="L25" s="96">
        <v>3.4499999999999999E-3</v>
      </c>
      <c r="M25" s="96">
        <v>4.8500000000000001E-3</v>
      </c>
      <c r="N25" s="96">
        <v>5.1999999999999995E-4</v>
      </c>
      <c r="O25" s="96">
        <v>5.9000000000000003E-4</v>
      </c>
      <c r="P25" s="101">
        <v>5.5000000000000003E-4</v>
      </c>
    </row>
    <row r="26" spans="2:16">
      <c r="B26" s="265"/>
      <c r="C26" s="95" t="s">
        <v>807</v>
      </c>
      <c r="D26" s="96">
        <v>1</v>
      </c>
      <c r="E26" s="97" t="s">
        <v>72</v>
      </c>
      <c r="F26" s="98">
        <v>1E-3</v>
      </c>
      <c r="G26" s="109">
        <v>1E-3</v>
      </c>
      <c r="H26" s="100" t="s">
        <v>310</v>
      </c>
      <c r="I26" s="99">
        <v>3.98E-3</v>
      </c>
      <c r="J26" s="96">
        <v>1.7700000000000001E-3</v>
      </c>
      <c r="K26" s="96">
        <v>5.8399999999999997E-3</v>
      </c>
      <c r="L26" s="96">
        <v>3.4499999999999999E-3</v>
      </c>
      <c r="M26" s="96">
        <v>4.8300000000000001E-3</v>
      </c>
      <c r="N26" s="96">
        <v>5.1999999999999995E-4</v>
      </c>
      <c r="O26" s="96">
        <v>5.9000000000000003E-4</v>
      </c>
      <c r="P26" s="101">
        <v>5.5000000000000003E-4</v>
      </c>
    </row>
    <row r="27" spans="2:16">
      <c r="B27" s="265"/>
      <c r="C27" s="95" t="s">
        <v>808</v>
      </c>
      <c r="D27" s="96">
        <v>180</v>
      </c>
      <c r="E27" s="97" t="s">
        <v>64</v>
      </c>
      <c r="F27" s="98">
        <v>0</v>
      </c>
      <c r="G27" s="109">
        <v>0.1</v>
      </c>
      <c r="H27" s="100" t="s">
        <v>310</v>
      </c>
      <c r="I27" s="99">
        <v>0</v>
      </c>
      <c r="J27" s="96">
        <v>0</v>
      </c>
      <c r="K27" s="96">
        <v>0</v>
      </c>
      <c r="L27" s="96">
        <v>0</v>
      </c>
      <c r="M27" s="96">
        <v>0</v>
      </c>
      <c r="N27" s="96">
        <v>0</v>
      </c>
      <c r="O27" s="96">
        <v>0</v>
      </c>
      <c r="P27" s="101">
        <v>0</v>
      </c>
    </row>
    <row r="28" spans="2:16">
      <c r="B28" s="265"/>
      <c r="C28" s="95" t="s">
        <v>809</v>
      </c>
      <c r="D28" s="96">
        <v>0</v>
      </c>
      <c r="E28" s="97" t="s">
        <v>64</v>
      </c>
      <c r="F28" s="98">
        <v>0</v>
      </c>
      <c r="G28" s="109">
        <v>0.01</v>
      </c>
      <c r="H28" s="100" t="s">
        <v>310</v>
      </c>
      <c r="I28" s="99">
        <v>0</v>
      </c>
      <c r="J28" s="96">
        <v>0</v>
      </c>
      <c r="K28" s="96">
        <v>0</v>
      </c>
      <c r="L28" s="96">
        <v>0</v>
      </c>
      <c r="M28" s="96">
        <v>0</v>
      </c>
      <c r="N28" s="96">
        <v>0</v>
      </c>
      <c r="O28" s="96">
        <v>0</v>
      </c>
      <c r="P28" s="101">
        <v>0</v>
      </c>
    </row>
    <row r="29" spans="2:16">
      <c r="B29" s="265"/>
      <c r="C29" s="95" t="s">
        <v>810</v>
      </c>
      <c r="D29" s="96">
        <v>200</v>
      </c>
      <c r="E29" s="97" t="s">
        <v>72</v>
      </c>
      <c r="F29" s="98">
        <v>1E-4</v>
      </c>
      <c r="G29" s="109">
        <v>0.02</v>
      </c>
      <c r="H29" s="100" t="s">
        <v>310</v>
      </c>
      <c r="I29" s="99">
        <v>8.7000000000000001E-4</v>
      </c>
      <c r="J29" s="96">
        <v>8.7000000000000001E-4</v>
      </c>
      <c r="K29" s="96">
        <v>8.7000000000000001E-4</v>
      </c>
      <c r="L29" s="96">
        <v>8.7000000000000001E-4</v>
      </c>
      <c r="M29" s="96">
        <v>8.7000000000000001E-4</v>
      </c>
      <c r="N29" s="96">
        <v>8.7000000000000001E-4</v>
      </c>
      <c r="O29" s="96">
        <v>8.7000000000000001E-4</v>
      </c>
      <c r="P29" s="101">
        <v>8.7000000000000001E-4</v>
      </c>
    </row>
    <row r="30" spans="2:16" ht="15.75" thickBot="1">
      <c r="B30" s="267"/>
      <c r="C30" s="95" t="s">
        <v>811</v>
      </c>
      <c r="D30" s="96">
        <v>4.7</v>
      </c>
      <c r="E30" s="97" t="s">
        <v>759</v>
      </c>
      <c r="F30" s="98">
        <v>2.0000000000000001E-4</v>
      </c>
      <c r="G30" s="109">
        <v>9.3999999999999997E-4</v>
      </c>
      <c r="H30" s="106" t="s">
        <v>310</v>
      </c>
      <c r="I30" s="99">
        <v>8.7000000000000001E-4</v>
      </c>
      <c r="J30" s="96">
        <v>8.7000000000000001E-4</v>
      </c>
      <c r="K30" s="96">
        <v>8.7000000000000001E-4</v>
      </c>
      <c r="L30" s="96">
        <v>8.7000000000000001E-4</v>
      </c>
      <c r="M30" s="96">
        <v>8.7000000000000001E-4</v>
      </c>
      <c r="N30" s="96">
        <v>8.7000000000000001E-4</v>
      </c>
      <c r="O30" s="96">
        <v>8.7000000000000001E-4</v>
      </c>
      <c r="P30" s="101">
        <v>8.7000000000000001E-4</v>
      </c>
    </row>
    <row r="31" spans="2:16" ht="15.75" thickBot="1">
      <c r="B31" s="112"/>
      <c r="C31" s="113" t="s">
        <v>74</v>
      </c>
      <c r="D31" s="114"/>
      <c r="E31" s="115"/>
      <c r="F31" s="115"/>
      <c r="G31" s="115"/>
      <c r="H31" s="106"/>
      <c r="I31" s="116">
        <v>1.123E-2</v>
      </c>
      <c r="J31" s="117">
        <v>3.8700000000000002E-3</v>
      </c>
      <c r="K31" s="117">
        <v>8.2500000000000004E-3</v>
      </c>
      <c r="L31" s="117">
        <v>2.545E-2</v>
      </c>
      <c r="M31" s="117">
        <v>1.7690000000000001E-2</v>
      </c>
      <c r="N31" s="117">
        <v>1.8620000000000001E-2</v>
      </c>
      <c r="O31" s="117">
        <v>4.6789999999999998E-2</v>
      </c>
      <c r="P31" s="118">
        <v>4.6789999999999998E-2</v>
      </c>
    </row>
    <row r="32" spans="2:16" ht="15.75" thickBot="1">
      <c r="B32" s="119"/>
      <c r="C32" s="93" t="s">
        <v>812</v>
      </c>
      <c r="D32" s="120"/>
      <c r="E32" s="121"/>
      <c r="F32" s="121"/>
      <c r="G32" s="121"/>
      <c r="H32" s="122"/>
      <c r="I32" s="123">
        <v>0.12</v>
      </c>
      <c r="J32" s="123">
        <v>4.8000000000000001E-2</v>
      </c>
      <c r="K32" s="123">
        <v>2.4E-2</v>
      </c>
      <c r="L32" s="123">
        <v>5.0000000000000001E-3</v>
      </c>
      <c r="M32" s="123">
        <v>3.0000000000000001E-3</v>
      </c>
      <c r="N32" s="123">
        <v>0</v>
      </c>
      <c r="O32" s="123">
        <v>0</v>
      </c>
      <c r="P32" s="123">
        <v>0</v>
      </c>
    </row>
    <row r="33" spans="2:16" ht="15.75" thickBot="1">
      <c r="B33" s="124"/>
      <c r="C33" s="125" t="s">
        <v>813</v>
      </c>
      <c r="D33" s="126"/>
      <c r="H33" s="127"/>
      <c r="I33" s="128">
        <v>0.127</v>
      </c>
      <c r="J33" s="128">
        <v>6.3E-2</v>
      </c>
      <c r="K33" s="128">
        <v>4.8000000000000001E-2</v>
      </c>
      <c r="L33" s="128">
        <v>0.05</v>
      </c>
      <c r="M33" s="128">
        <v>4.7E-2</v>
      </c>
      <c r="N33" s="128">
        <v>7.8E-2</v>
      </c>
      <c r="O33" s="128">
        <v>0.10199999999999999</v>
      </c>
      <c r="P33" s="128">
        <v>0.11</v>
      </c>
    </row>
    <row r="34" spans="2:16" ht="15.75" thickBot="1">
      <c r="B34" s="129"/>
      <c r="C34" s="130" t="s">
        <v>814</v>
      </c>
      <c r="D34" s="131"/>
      <c r="E34" s="132"/>
      <c r="F34" s="115"/>
      <c r="G34" s="115"/>
      <c r="H34" s="133"/>
      <c r="I34" s="134">
        <v>0.127</v>
      </c>
      <c r="J34" s="134">
        <v>6.3E-2</v>
      </c>
      <c r="K34" s="134">
        <v>4.8000000000000001E-2</v>
      </c>
      <c r="L34" s="134">
        <v>0.05</v>
      </c>
      <c r="M34" s="134">
        <v>4.7E-2</v>
      </c>
      <c r="N34" s="134">
        <v>7.8E-2</v>
      </c>
      <c r="O34" s="134">
        <v>0.10199999999999999</v>
      </c>
      <c r="P34" s="134">
        <v>0.11</v>
      </c>
    </row>
  </sheetData>
  <mergeCells count="9">
    <mergeCell ref="B15:B20"/>
    <mergeCell ref="B21:B22"/>
    <mergeCell ref="B23:B30"/>
    <mergeCell ref="B4:P4"/>
    <mergeCell ref="B6:C7"/>
    <mergeCell ref="E6:E7"/>
    <mergeCell ref="F6:G6"/>
    <mergeCell ref="I6:P6"/>
    <mergeCell ref="B10:B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4"/>
  <sheetViews>
    <sheetView workbookViewId="0"/>
  </sheetViews>
  <sheetFormatPr defaultRowHeight="15"/>
  <cols>
    <col min="1" max="1" width="12.5703125" bestFit="1" customWidth="1"/>
  </cols>
  <sheetData>
    <row r="1" spans="1:16" ht="26.25">
      <c r="A1" s="62" t="s">
        <v>777</v>
      </c>
      <c r="B1" s="62" t="s">
        <v>768</v>
      </c>
    </row>
    <row r="3" spans="1:16" ht="15.75" thickBot="1"/>
    <row r="4" spans="1:16" ht="18.75">
      <c r="B4" s="268" t="s">
        <v>815</v>
      </c>
      <c r="C4" s="269"/>
      <c r="D4" s="269"/>
      <c r="E4" s="269"/>
      <c r="F4" s="269"/>
      <c r="G4" s="269"/>
      <c r="H4" s="269"/>
      <c r="I4" s="269"/>
      <c r="J4" s="269"/>
      <c r="K4" s="269"/>
      <c r="L4" s="269"/>
      <c r="M4" s="269"/>
      <c r="N4" s="269"/>
      <c r="O4" s="269"/>
      <c r="P4" s="270"/>
    </row>
    <row r="5" spans="1:16" ht="19.5" thickBot="1">
      <c r="B5" s="77"/>
      <c r="C5" s="78"/>
      <c r="D5" s="78"/>
      <c r="E5" s="78"/>
      <c r="F5" s="78"/>
      <c r="G5" s="78"/>
      <c r="H5" s="78"/>
      <c r="I5" s="78"/>
      <c r="J5" s="78"/>
      <c r="K5" s="78"/>
      <c r="L5" s="78"/>
      <c r="M5" s="78"/>
      <c r="N5" s="78"/>
      <c r="O5" s="78"/>
      <c r="P5" s="79"/>
    </row>
    <row r="6" spans="1:16">
      <c r="B6" s="271" t="s">
        <v>779</v>
      </c>
      <c r="C6" s="272"/>
      <c r="D6" s="278" t="s">
        <v>816</v>
      </c>
      <c r="E6" s="275" t="s">
        <v>62</v>
      </c>
      <c r="F6" s="275" t="s">
        <v>782</v>
      </c>
      <c r="G6" s="275"/>
      <c r="H6" s="80"/>
      <c r="I6" s="271" t="s">
        <v>783</v>
      </c>
      <c r="J6" s="275"/>
      <c r="K6" s="275"/>
      <c r="L6" s="275"/>
      <c r="M6" s="275"/>
      <c r="N6" s="275"/>
      <c r="O6" s="275"/>
      <c r="P6" s="272"/>
    </row>
    <row r="7" spans="1:16" ht="15.75" thickBot="1">
      <c r="B7" s="273"/>
      <c r="C7" s="274"/>
      <c r="D7" s="279"/>
      <c r="E7" s="276"/>
      <c r="F7" s="84" t="s">
        <v>65</v>
      </c>
      <c r="G7" s="84" t="s">
        <v>784</v>
      </c>
      <c r="H7" s="85"/>
      <c r="I7" s="86"/>
      <c r="J7" s="86"/>
      <c r="K7" s="86"/>
      <c r="L7" s="86"/>
      <c r="M7" s="86"/>
      <c r="N7" s="86"/>
      <c r="O7" s="86"/>
      <c r="P7" s="87"/>
    </row>
    <row r="8" spans="1:16">
      <c r="B8" s="81"/>
      <c r="C8" s="135" t="s">
        <v>785</v>
      </c>
      <c r="D8" s="80"/>
      <c r="E8" s="80"/>
      <c r="F8" s="89"/>
      <c r="G8" s="89"/>
      <c r="H8" s="95"/>
      <c r="I8" s="81">
        <v>2</v>
      </c>
      <c r="J8" s="81">
        <v>5.01</v>
      </c>
      <c r="K8" s="81">
        <v>10</v>
      </c>
      <c r="L8" s="81">
        <v>47.32</v>
      </c>
      <c r="M8" s="81">
        <v>94.41</v>
      </c>
      <c r="N8" s="81">
        <v>1995.26</v>
      </c>
      <c r="O8" s="81">
        <v>4731.51</v>
      </c>
      <c r="P8" s="91">
        <v>7943.28</v>
      </c>
    </row>
    <row r="9" spans="1:16" ht="15.75" thickBot="1">
      <c r="B9" s="92"/>
      <c r="C9" s="85" t="s">
        <v>786</v>
      </c>
      <c r="D9" s="86"/>
      <c r="E9" s="86"/>
      <c r="F9" s="84"/>
      <c r="G9" s="84"/>
      <c r="H9" s="93"/>
      <c r="I9" s="92">
        <v>5.01</v>
      </c>
      <c r="J9" s="92">
        <v>10</v>
      </c>
      <c r="K9" s="92">
        <v>47.32</v>
      </c>
      <c r="L9" s="92">
        <v>94.41</v>
      </c>
      <c r="M9" s="92">
        <v>1995.26</v>
      </c>
      <c r="N9" s="92">
        <v>4731.51</v>
      </c>
      <c r="O9" s="92">
        <v>7943.28</v>
      </c>
      <c r="P9" s="94">
        <v>10000</v>
      </c>
    </row>
    <row r="10" spans="1:16">
      <c r="B10" s="277" t="s">
        <v>787</v>
      </c>
      <c r="C10" s="95" t="s">
        <v>788</v>
      </c>
      <c r="D10" s="96">
        <v>101325</v>
      </c>
      <c r="E10" s="97" t="s">
        <v>68</v>
      </c>
      <c r="F10" s="98">
        <v>1.4999999999999999E-4</v>
      </c>
      <c r="G10" s="99">
        <v>15</v>
      </c>
      <c r="H10" s="100" t="s">
        <v>310</v>
      </c>
      <c r="I10" s="99">
        <v>8.0000000000000007E-5</v>
      </c>
      <c r="J10" s="96">
        <v>5.0000000000000002E-5</v>
      </c>
      <c r="K10" s="96">
        <v>4.0000000000000003E-5</v>
      </c>
      <c r="L10" s="96">
        <v>2.0000000000000002E-5</v>
      </c>
      <c r="M10" s="96">
        <v>9.0000000000000006E-5</v>
      </c>
      <c r="N10" s="96">
        <v>2.0000000000000001E-4</v>
      </c>
      <c r="O10" s="96">
        <v>2.2000000000000001E-4</v>
      </c>
      <c r="P10" s="101">
        <v>3.5E-4</v>
      </c>
    </row>
    <row r="11" spans="1:16">
      <c r="B11" s="265"/>
      <c r="C11" s="95" t="s">
        <v>789</v>
      </c>
      <c r="D11" s="96">
        <v>50</v>
      </c>
      <c r="E11" s="97" t="s">
        <v>762</v>
      </c>
      <c r="F11" s="98">
        <v>0.03</v>
      </c>
      <c r="G11" s="99">
        <v>1.5</v>
      </c>
      <c r="H11" s="100" t="s">
        <v>310</v>
      </c>
      <c r="I11" s="99">
        <v>2.3000000000000001E-4</v>
      </c>
      <c r="J11" s="96">
        <v>1.4999999999999999E-4</v>
      </c>
      <c r="K11" s="96">
        <v>1.1E-4</v>
      </c>
      <c r="L11" s="96">
        <v>5.0000000000000002E-5</v>
      </c>
      <c r="M11" s="96">
        <v>4.0000000000000003E-5</v>
      </c>
      <c r="N11" s="96">
        <v>6.0000000000000002E-5</v>
      </c>
      <c r="O11" s="96">
        <v>5.1999999999999995E-4</v>
      </c>
      <c r="P11" s="101">
        <v>1.17E-3</v>
      </c>
    </row>
    <row r="12" spans="1:16">
      <c r="B12" s="265"/>
      <c r="C12" s="95" t="s">
        <v>790</v>
      </c>
      <c r="D12" s="96">
        <v>296.14999999999998</v>
      </c>
      <c r="E12" s="97" t="s">
        <v>479</v>
      </c>
      <c r="F12" s="98">
        <v>1.01E-3</v>
      </c>
      <c r="G12" s="99">
        <v>0.3</v>
      </c>
      <c r="H12" s="100" t="s">
        <v>310</v>
      </c>
      <c r="I12" s="99">
        <v>1.09E-3</v>
      </c>
      <c r="J12" s="96">
        <v>8.1999999999999998E-4</v>
      </c>
      <c r="K12" s="96">
        <v>6.4000000000000005E-4</v>
      </c>
      <c r="L12" s="96">
        <v>3.3E-4</v>
      </c>
      <c r="M12" s="96">
        <v>2.4000000000000001E-4</v>
      </c>
      <c r="N12" s="96">
        <v>7.5000000000000002E-4</v>
      </c>
      <c r="O12" s="96">
        <v>4.1599999999999996E-3</v>
      </c>
      <c r="P12" s="101">
        <v>9.3699999999999999E-3</v>
      </c>
    </row>
    <row r="13" spans="1:16">
      <c r="B13" s="265"/>
      <c r="C13" s="95" t="s">
        <v>791</v>
      </c>
      <c r="D13" s="96">
        <v>-0.15</v>
      </c>
      <c r="E13" s="97" t="s">
        <v>817</v>
      </c>
      <c r="F13" s="98">
        <v>0.1</v>
      </c>
      <c r="G13" s="99">
        <v>0</v>
      </c>
      <c r="H13" s="100" t="s">
        <v>310</v>
      </c>
      <c r="I13" s="99">
        <v>0</v>
      </c>
      <c r="J13" s="96">
        <v>0</v>
      </c>
      <c r="K13" s="96">
        <v>0</v>
      </c>
      <c r="L13" s="96">
        <v>0</v>
      </c>
      <c r="M13" s="96">
        <v>0</v>
      </c>
      <c r="N13" s="96">
        <v>0</v>
      </c>
      <c r="O13" s="96">
        <v>0</v>
      </c>
      <c r="P13" s="101">
        <v>0</v>
      </c>
    </row>
    <row r="14" spans="1:16" ht="15.75" thickBot="1">
      <c r="B14" s="266"/>
      <c r="C14" s="93" t="s">
        <v>792</v>
      </c>
      <c r="D14" s="102">
        <v>0.15</v>
      </c>
      <c r="E14" s="103" t="s">
        <v>818</v>
      </c>
      <c r="F14" s="104">
        <v>0.1</v>
      </c>
      <c r="G14" s="105">
        <v>0</v>
      </c>
      <c r="H14" s="106" t="s">
        <v>310</v>
      </c>
      <c r="I14" s="105">
        <v>0</v>
      </c>
      <c r="J14" s="102">
        <v>0</v>
      </c>
      <c r="K14" s="102">
        <v>0</v>
      </c>
      <c r="L14" s="102">
        <v>0</v>
      </c>
      <c r="M14" s="102">
        <v>0</v>
      </c>
      <c r="N14" s="102">
        <v>0</v>
      </c>
      <c r="O14" s="102">
        <v>0</v>
      </c>
      <c r="P14" s="107">
        <v>0</v>
      </c>
    </row>
    <row r="15" spans="1:16">
      <c r="B15" s="264" t="s">
        <v>764</v>
      </c>
      <c r="C15" s="95" t="s">
        <v>794</v>
      </c>
      <c r="D15" s="108">
        <v>1.9E-3</v>
      </c>
      <c r="E15" s="97" t="s">
        <v>66</v>
      </c>
      <c r="F15" s="98">
        <v>7.8899999999999994E-3</v>
      </c>
      <c r="G15" s="109">
        <v>1.5E-5</v>
      </c>
      <c r="H15" s="100" t="s">
        <v>310</v>
      </c>
      <c r="I15" s="99">
        <v>4.2399999999999998E-3</v>
      </c>
      <c r="J15" s="96">
        <v>3.0599999999999998E-3</v>
      </c>
      <c r="K15" s="96">
        <v>2.32E-3</v>
      </c>
      <c r="L15" s="96">
        <v>1.16E-3</v>
      </c>
      <c r="M15" s="96">
        <v>8.4000000000000003E-4</v>
      </c>
      <c r="N15" s="96">
        <v>2.3800000000000002E-3</v>
      </c>
      <c r="O15" s="96">
        <v>8.6800000000000002E-3</v>
      </c>
      <c r="P15" s="101">
        <v>9.0799999999999995E-3</v>
      </c>
    </row>
    <row r="16" spans="1:16" ht="17.25">
      <c r="B16" s="265"/>
      <c r="C16" s="95" t="s">
        <v>795</v>
      </c>
      <c r="D16" s="108">
        <v>5.3499999999999996E-7</v>
      </c>
      <c r="E16" s="97" t="s">
        <v>796</v>
      </c>
      <c r="F16" s="98">
        <v>1.2500000000000001E-2</v>
      </c>
      <c r="G16" s="109">
        <v>6.6899999999999999E-9</v>
      </c>
      <c r="H16" s="100" t="s">
        <v>310</v>
      </c>
      <c r="I16" s="99">
        <v>1.323E-2</v>
      </c>
      <c r="J16" s="96">
        <v>9.3699999999999999E-3</v>
      </c>
      <c r="K16" s="96">
        <v>7.0400000000000003E-3</v>
      </c>
      <c r="L16" s="96">
        <v>3.5599999999999998E-3</v>
      </c>
      <c r="M16" s="96">
        <v>3.8700000000000002E-3</v>
      </c>
      <c r="N16" s="96">
        <v>9.4800000000000006E-3</v>
      </c>
      <c r="O16" s="96">
        <v>1.984E-2</v>
      </c>
      <c r="P16" s="101">
        <v>3.7879999999999997E-2</v>
      </c>
    </row>
    <row r="17" spans="2:16">
      <c r="B17" s="265"/>
      <c r="C17" s="95" t="s">
        <v>797</v>
      </c>
      <c r="D17" s="108">
        <v>1.7899999999999999E-2</v>
      </c>
      <c r="E17" s="97" t="s">
        <v>66</v>
      </c>
      <c r="F17" s="98">
        <v>0.2</v>
      </c>
      <c r="G17" s="109">
        <v>3.5799999999999998E-3</v>
      </c>
      <c r="H17" s="100" t="s">
        <v>310</v>
      </c>
      <c r="I17" s="99">
        <v>0</v>
      </c>
      <c r="J17" s="96">
        <v>0</v>
      </c>
      <c r="K17" s="96">
        <v>0</v>
      </c>
      <c r="L17" s="96">
        <v>0</v>
      </c>
      <c r="M17" s="96">
        <v>8.0499999999999999E-3</v>
      </c>
      <c r="N17" s="96">
        <v>0.13975000000000001</v>
      </c>
      <c r="O17" s="96">
        <v>0.55132999999999999</v>
      </c>
      <c r="P17" s="101">
        <v>0.60480999999999996</v>
      </c>
    </row>
    <row r="18" spans="2:16" ht="17.25">
      <c r="B18" s="265"/>
      <c r="C18" s="95" t="s">
        <v>798</v>
      </c>
      <c r="D18" s="108">
        <v>1.36E-7</v>
      </c>
      <c r="E18" s="97" t="s">
        <v>796</v>
      </c>
      <c r="F18" s="98">
        <v>0.1</v>
      </c>
      <c r="G18" s="109">
        <v>1.3599999999999999E-8</v>
      </c>
      <c r="H18" s="100" t="s">
        <v>310</v>
      </c>
      <c r="I18" s="99">
        <v>2.5649999999999999E-2</v>
      </c>
      <c r="J18" s="96">
        <v>1.805E-2</v>
      </c>
      <c r="K18" s="96">
        <v>1.337E-2</v>
      </c>
      <c r="L18" s="96">
        <v>5.3699999999999998E-3</v>
      </c>
      <c r="M18" s="96">
        <v>6.0229999999999999E-2</v>
      </c>
      <c r="N18" s="96">
        <v>0.13188</v>
      </c>
      <c r="O18" s="96">
        <v>0.13428999999999999</v>
      </c>
      <c r="P18" s="101">
        <v>0.10884000000000001</v>
      </c>
    </row>
    <row r="19" spans="2:16">
      <c r="B19" s="265"/>
      <c r="C19" s="95" t="s">
        <v>799</v>
      </c>
      <c r="D19" s="96">
        <v>7743.3</v>
      </c>
      <c r="E19" s="97" t="s">
        <v>763</v>
      </c>
      <c r="F19" s="98">
        <v>0.2</v>
      </c>
      <c r="G19" s="109">
        <v>1550</v>
      </c>
      <c r="H19" s="100" t="s">
        <v>310</v>
      </c>
      <c r="I19" s="99">
        <v>3.1E-4</v>
      </c>
      <c r="J19" s="96">
        <v>6.3000000000000003E-4</v>
      </c>
      <c r="K19" s="96">
        <v>3.0999999999999999E-3</v>
      </c>
      <c r="L19" s="96">
        <v>6.2300000000000003E-3</v>
      </c>
      <c r="M19" s="96">
        <v>0.15181</v>
      </c>
      <c r="N19" s="96">
        <v>0.38658999999999999</v>
      </c>
      <c r="O19" s="96">
        <v>0.38658999999999999</v>
      </c>
      <c r="P19" s="101">
        <v>0.77673000000000003</v>
      </c>
    </row>
    <row r="20" spans="2:16" ht="15.75" thickBot="1">
      <c r="B20" s="266"/>
      <c r="C20" s="93" t="s">
        <v>70</v>
      </c>
      <c r="D20" s="102">
        <v>1.0132000000000001</v>
      </c>
      <c r="E20" s="105">
        <v>0</v>
      </c>
      <c r="F20" s="104">
        <v>0.2</v>
      </c>
      <c r="G20" s="110">
        <v>0.20300000000000001</v>
      </c>
      <c r="H20" s="106" t="s">
        <v>310</v>
      </c>
      <c r="I20" s="105">
        <v>3.1E-4</v>
      </c>
      <c r="J20" s="102">
        <v>6.3000000000000003E-4</v>
      </c>
      <c r="K20" s="102">
        <v>3.0999999999999999E-3</v>
      </c>
      <c r="L20" s="102">
        <v>6.2300000000000003E-3</v>
      </c>
      <c r="M20" s="102">
        <v>0.11795</v>
      </c>
      <c r="N20" s="102">
        <v>0.14002000000000001</v>
      </c>
      <c r="O20" s="102">
        <v>0.14840999999999999</v>
      </c>
      <c r="P20" s="107">
        <v>8.2970000000000002E-2</v>
      </c>
    </row>
    <row r="21" spans="2:16">
      <c r="B21" s="264" t="s">
        <v>800</v>
      </c>
      <c r="C21" s="95" t="s">
        <v>801</v>
      </c>
      <c r="D21" s="108">
        <v>1.8599999999999998E-2</v>
      </c>
      <c r="E21" s="97" t="s">
        <v>66</v>
      </c>
      <c r="F21" s="98">
        <v>3.0000000000000001E-5</v>
      </c>
      <c r="G21" s="109">
        <v>4.9999999999999998E-7</v>
      </c>
      <c r="H21" s="100" t="s">
        <v>310</v>
      </c>
      <c r="I21" s="99">
        <v>2.0000000000000002E-5</v>
      </c>
      <c r="J21" s="96">
        <v>1.0000000000000001E-5</v>
      </c>
      <c r="K21" s="96">
        <v>1.0000000000000001E-5</v>
      </c>
      <c r="L21" s="96">
        <v>1.0000000000000001E-5</v>
      </c>
      <c r="M21" s="96">
        <v>1.0000000000000001E-5</v>
      </c>
      <c r="N21" s="96">
        <v>1.0000000000000001E-5</v>
      </c>
      <c r="O21" s="96">
        <v>1E-4</v>
      </c>
      <c r="P21" s="101">
        <v>2.0000000000000001E-4</v>
      </c>
    </row>
    <row r="22" spans="2:16" ht="15.75" thickBot="1">
      <c r="B22" s="266"/>
      <c r="C22" s="93" t="s">
        <v>802</v>
      </c>
      <c r="D22" s="111">
        <v>0.01</v>
      </c>
      <c r="E22" s="103" t="s">
        <v>66</v>
      </c>
      <c r="F22" s="104">
        <v>5.0000000000000002E-5</v>
      </c>
      <c r="G22" s="110">
        <v>4.9999999999999998E-7</v>
      </c>
      <c r="H22" s="106" t="s">
        <v>310</v>
      </c>
      <c r="I22" s="105">
        <v>1.1E-4</v>
      </c>
      <c r="J22" s="102">
        <v>1.1E-4</v>
      </c>
      <c r="K22" s="102">
        <v>1.1E-4</v>
      </c>
      <c r="L22" s="102">
        <v>1.1E-4</v>
      </c>
      <c r="M22" s="102">
        <v>1.1E-4</v>
      </c>
      <c r="N22" s="102">
        <v>1.1E-4</v>
      </c>
      <c r="O22" s="102">
        <v>8.0000000000000007E-5</v>
      </c>
      <c r="P22" s="107">
        <v>1.7000000000000001E-4</v>
      </c>
    </row>
    <row r="23" spans="2:16">
      <c r="B23" s="264" t="s">
        <v>803</v>
      </c>
      <c r="C23" s="95" t="s">
        <v>804</v>
      </c>
      <c r="D23" s="96">
        <v>0.5</v>
      </c>
      <c r="E23" s="97" t="s">
        <v>72</v>
      </c>
      <c r="F23" s="98">
        <v>1E-3</v>
      </c>
      <c r="G23" s="109">
        <v>5.0000000000000001E-4</v>
      </c>
      <c r="H23" s="100" t="s">
        <v>310</v>
      </c>
      <c r="I23" s="99">
        <v>0</v>
      </c>
      <c r="J23" s="96">
        <v>0</v>
      </c>
      <c r="K23" s="96">
        <v>0</v>
      </c>
      <c r="L23" s="96">
        <v>0</v>
      </c>
      <c r="M23" s="96">
        <v>0</v>
      </c>
      <c r="N23" s="96">
        <v>0</v>
      </c>
      <c r="O23" s="96">
        <v>0</v>
      </c>
      <c r="P23" s="101">
        <v>0</v>
      </c>
    </row>
    <row r="24" spans="2:16">
      <c r="B24" s="265"/>
      <c r="C24" s="95" t="s">
        <v>805</v>
      </c>
      <c r="D24" s="96">
        <v>1.4</v>
      </c>
      <c r="E24" s="97" t="s">
        <v>72</v>
      </c>
      <c r="F24" s="98">
        <v>1E-3</v>
      </c>
      <c r="G24" s="109">
        <v>1.4E-3</v>
      </c>
      <c r="H24" s="100" t="s">
        <v>310</v>
      </c>
      <c r="I24" s="99">
        <v>0</v>
      </c>
      <c r="J24" s="96">
        <v>0</v>
      </c>
      <c r="K24" s="96">
        <v>0</v>
      </c>
      <c r="L24" s="96">
        <v>0</v>
      </c>
      <c r="M24" s="96">
        <v>0</v>
      </c>
      <c r="N24" s="96">
        <v>0</v>
      </c>
      <c r="O24" s="96">
        <v>0</v>
      </c>
      <c r="P24" s="101">
        <v>0</v>
      </c>
    </row>
    <row r="25" spans="2:16">
      <c r="B25" s="265"/>
      <c r="C25" s="95" t="s">
        <v>806</v>
      </c>
      <c r="D25" s="96">
        <v>1</v>
      </c>
      <c r="E25" s="97" t="s">
        <v>72</v>
      </c>
      <c r="F25" s="98">
        <v>1E-3</v>
      </c>
      <c r="G25" s="109">
        <v>1E-3</v>
      </c>
      <c r="H25" s="100" t="s">
        <v>310</v>
      </c>
      <c r="I25" s="99">
        <v>0</v>
      </c>
      <c r="J25" s="96">
        <v>0</v>
      </c>
      <c r="K25" s="96">
        <v>0</v>
      </c>
      <c r="L25" s="96">
        <v>0</v>
      </c>
      <c r="M25" s="96">
        <v>0</v>
      </c>
      <c r="N25" s="96">
        <v>0</v>
      </c>
      <c r="O25" s="96">
        <v>0</v>
      </c>
      <c r="P25" s="101">
        <v>0</v>
      </c>
    </row>
    <row r="26" spans="2:16">
      <c r="B26" s="265"/>
      <c r="C26" s="95" t="s">
        <v>807</v>
      </c>
      <c r="D26" s="96">
        <v>1</v>
      </c>
      <c r="E26" s="97" t="s">
        <v>72</v>
      </c>
      <c r="F26" s="98">
        <v>1E-3</v>
      </c>
      <c r="G26" s="109">
        <v>1E-3</v>
      </c>
      <c r="H26" s="100" t="s">
        <v>310</v>
      </c>
      <c r="I26" s="99">
        <v>0</v>
      </c>
      <c r="J26" s="96">
        <v>0</v>
      </c>
      <c r="K26" s="96">
        <v>0</v>
      </c>
      <c r="L26" s="96">
        <v>0</v>
      </c>
      <c r="M26" s="96">
        <v>0</v>
      </c>
      <c r="N26" s="96">
        <v>0</v>
      </c>
      <c r="O26" s="96">
        <v>0</v>
      </c>
      <c r="P26" s="101">
        <v>0</v>
      </c>
    </row>
    <row r="27" spans="2:16">
      <c r="B27" s="265"/>
      <c r="C27" s="95" t="s">
        <v>808</v>
      </c>
      <c r="D27" s="96">
        <v>180</v>
      </c>
      <c r="E27" s="97" t="s">
        <v>64</v>
      </c>
      <c r="F27" s="98">
        <v>0</v>
      </c>
      <c r="G27" s="109">
        <v>0.1</v>
      </c>
      <c r="H27" s="100" t="s">
        <v>310</v>
      </c>
      <c r="I27" s="99">
        <v>3.6999999999999999E-4</v>
      </c>
      <c r="J27" s="96">
        <v>1.1E-4</v>
      </c>
      <c r="K27" s="96">
        <v>3.1E-4</v>
      </c>
      <c r="L27" s="96">
        <v>2.0000000000000001E-4</v>
      </c>
      <c r="M27" s="96">
        <v>2.9E-4</v>
      </c>
      <c r="N27" s="96">
        <v>2.0000000000000002E-5</v>
      </c>
      <c r="O27" s="96">
        <v>2.0000000000000002E-5</v>
      </c>
      <c r="P27" s="101">
        <v>3.0000000000000001E-5</v>
      </c>
    </row>
    <row r="28" spans="2:16">
      <c r="B28" s="265"/>
      <c r="C28" s="95" t="s">
        <v>809</v>
      </c>
      <c r="D28" s="96">
        <v>0</v>
      </c>
      <c r="E28" s="97" t="s">
        <v>64</v>
      </c>
      <c r="F28" s="98">
        <v>0</v>
      </c>
      <c r="G28" s="109">
        <v>0.01</v>
      </c>
      <c r="H28" s="100" t="s">
        <v>310</v>
      </c>
      <c r="I28" s="99">
        <v>7.7999999999999999E-4</v>
      </c>
      <c r="J28" s="96">
        <v>2.2000000000000001E-4</v>
      </c>
      <c r="K28" s="96">
        <v>6.8000000000000005E-4</v>
      </c>
      <c r="L28" s="96">
        <v>4.0000000000000002E-4</v>
      </c>
      <c r="M28" s="96">
        <v>5.5999999999999995E-4</v>
      </c>
      <c r="N28" s="96">
        <v>6.0000000000000002E-5</v>
      </c>
      <c r="O28" s="96">
        <v>6.9999999999999994E-5</v>
      </c>
      <c r="P28" s="101">
        <v>6.0000000000000002E-5</v>
      </c>
    </row>
    <row r="29" spans="2:16">
      <c r="B29" s="265"/>
      <c r="C29" s="95" t="s">
        <v>810</v>
      </c>
      <c r="D29" s="96">
        <v>200</v>
      </c>
      <c r="E29" s="97" t="s">
        <v>72</v>
      </c>
      <c r="F29" s="98">
        <v>1E-4</v>
      </c>
      <c r="G29" s="109">
        <v>0.02</v>
      </c>
      <c r="H29" s="100" t="s">
        <v>310</v>
      </c>
      <c r="I29" s="99">
        <v>0</v>
      </c>
      <c r="J29" s="96">
        <v>0</v>
      </c>
      <c r="K29" s="96">
        <v>0</v>
      </c>
      <c r="L29" s="96">
        <v>0</v>
      </c>
      <c r="M29" s="96">
        <v>0</v>
      </c>
      <c r="N29" s="96">
        <v>0</v>
      </c>
      <c r="O29" s="96">
        <v>0</v>
      </c>
      <c r="P29" s="101">
        <v>0</v>
      </c>
    </row>
    <row r="30" spans="2:16" ht="15.75" thickBot="1">
      <c r="B30" s="267"/>
      <c r="C30" s="95" t="s">
        <v>811</v>
      </c>
      <c r="D30" s="96">
        <v>4.7</v>
      </c>
      <c r="E30" s="97" t="s">
        <v>759</v>
      </c>
      <c r="F30" s="98">
        <v>2.0000000000000001E-4</v>
      </c>
      <c r="G30" s="109">
        <v>9.3999999999999997E-4</v>
      </c>
      <c r="H30" s="106" t="s">
        <v>310</v>
      </c>
      <c r="I30" s="99">
        <v>1E-4</v>
      </c>
      <c r="J30" s="96">
        <v>4.0000000000000003E-5</v>
      </c>
      <c r="K30" s="96">
        <v>2.0000000000000002E-5</v>
      </c>
      <c r="L30" s="96">
        <v>0</v>
      </c>
      <c r="M30" s="96">
        <v>0</v>
      </c>
      <c r="N30" s="96">
        <v>0</v>
      </c>
      <c r="O30" s="96">
        <v>0</v>
      </c>
      <c r="P30" s="101">
        <v>0</v>
      </c>
    </row>
    <row r="31" spans="2:16" ht="15.75" thickBot="1">
      <c r="B31" s="112"/>
      <c r="C31" s="113" t="s">
        <v>74</v>
      </c>
      <c r="D31" s="114"/>
      <c r="E31" s="115"/>
      <c r="F31" s="115"/>
      <c r="G31" s="115"/>
      <c r="H31" s="106"/>
      <c r="I31" s="116">
        <v>0.39208999999999999</v>
      </c>
      <c r="J31" s="117">
        <v>0.16714000000000001</v>
      </c>
      <c r="K31" s="117">
        <v>8.8730000000000003E-2</v>
      </c>
      <c r="L31" s="117">
        <v>3.4209999999999997E-2</v>
      </c>
      <c r="M31" s="117">
        <v>7.8030000000000002E-2</v>
      </c>
      <c r="N31" s="117">
        <v>0.21246000000000001</v>
      </c>
      <c r="O31" s="117">
        <v>0.24198</v>
      </c>
      <c r="P31" s="118">
        <v>0.28949999999999998</v>
      </c>
    </row>
    <row r="32" spans="2:16" ht="15.75" thickBot="1">
      <c r="B32" s="119"/>
      <c r="C32" s="93" t="s">
        <v>812</v>
      </c>
      <c r="D32" s="120"/>
      <c r="E32" s="121"/>
      <c r="F32" s="121"/>
      <c r="G32" s="121"/>
      <c r="H32" s="122"/>
      <c r="I32" s="123">
        <v>0.3</v>
      </c>
      <c r="J32" s="123">
        <v>0.12</v>
      </c>
      <c r="K32" s="123">
        <v>0.06</v>
      </c>
      <c r="L32" s="123">
        <v>0.01</v>
      </c>
      <c r="M32" s="123">
        <v>0.01</v>
      </c>
      <c r="N32" s="123">
        <v>0</v>
      </c>
      <c r="O32" s="123">
        <v>0</v>
      </c>
      <c r="P32" s="123">
        <v>0</v>
      </c>
    </row>
    <row r="33" spans="2:16" ht="15.75" thickBot="1">
      <c r="B33" s="136"/>
      <c r="C33" s="125" t="s">
        <v>813</v>
      </c>
      <c r="D33" s="126"/>
      <c r="H33" s="127"/>
      <c r="I33" s="137">
        <v>0.495</v>
      </c>
      <c r="J33" s="137">
        <v>0.20699999999999999</v>
      </c>
      <c r="K33" s="137">
        <v>0.108</v>
      </c>
      <c r="L33" s="137">
        <v>3.6999999999999998E-2</v>
      </c>
      <c r="M33" s="137">
        <v>0.216</v>
      </c>
      <c r="N33" s="137">
        <v>0.48199999999999998</v>
      </c>
      <c r="O33" s="137">
        <v>0.56299999999999994</v>
      </c>
      <c r="P33" s="137">
        <v>1.0349999999999999</v>
      </c>
    </row>
    <row r="34" spans="2:16" ht="15.75" thickBot="1">
      <c r="B34" s="138"/>
      <c r="C34" s="84" t="s">
        <v>814</v>
      </c>
      <c r="D34" s="139"/>
      <c r="E34" s="140"/>
      <c r="F34" s="103"/>
      <c r="G34" s="103"/>
      <c r="H34" s="106"/>
      <c r="I34" s="141">
        <v>0.49</v>
      </c>
      <c r="J34" s="141">
        <v>0.21</v>
      </c>
      <c r="K34" s="141">
        <v>0.11</v>
      </c>
      <c r="L34" s="141">
        <v>0.04</v>
      </c>
      <c r="M34" s="141">
        <v>0.22</v>
      </c>
      <c r="N34" s="141">
        <v>0.48</v>
      </c>
      <c r="O34" s="141">
        <v>0.56000000000000005</v>
      </c>
      <c r="P34" s="141">
        <v>1.04</v>
      </c>
    </row>
  </sheetData>
  <mergeCells count="10">
    <mergeCell ref="B10:B14"/>
    <mergeCell ref="B15:B20"/>
    <mergeCell ref="B21:B22"/>
    <mergeCell ref="B23:B30"/>
    <mergeCell ref="B4:P4"/>
    <mergeCell ref="B6:C7"/>
    <mergeCell ref="D6:D7"/>
    <mergeCell ref="E6:E7"/>
    <mergeCell ref="F6:G6"/>
    <mergeCell ref="I6:P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A6F169B6B495044BEFB9448DB4FF6D2" ma:contentTypeVersion="13" ma:contentTypeDescription="Create a new document." ma:contentTypeScope="" ma:versionID="855f661b55ec9e0118d50805416d4cc5">
  <xsd:schema xmlns:xsd="http://www.w3.org/2001/XMLSchema" xmlns:xs="http://www.w3.org/2001/XMLSchema" xmlns:p="http://schemas.microsoft.com/office/2006/metadata/properties" xmlns:ns2="af499f01-4e08-488c-a50b-03d67dac9623" xmlns:ns3="1d932119-ba24-4c48-be5f-bfe72b5bcbc4" targetNamespace="http://schemas.microsoft.com/office/2006/metadata/properties" ma:root="true" ma:fieldsID="d01d7d3686938caee1dadd943dd11cb4" ns2:_="" ns3:_="">
    <xsd:import namespace="af499f01-4e08-488c-a50b-03d67dac9623"/>
    <xsd:import namespace="1d932119-ba24-4c48-be5f-bfe72b5bcbc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499f01-4e08-488c-a50b-03d67dac96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d932119-ba24-4c48-be5f-bfe72b5bcbc4"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B7C1043-70E1-4CB8-BD29-F950DD153760}"/>
</file>

<file path=customXml/itemProps2.xml><?xml version="1.0" encoding="utf-8"?>
<ds:datastoreItem xmlns:ds="http://schemas.openxmlformats.org/officeDocument/2006/customXml" ds:itemID="{780B7A2B-CEB7-4D1F-835D-71CE498165CF}"/>
</file>

<file path=customXml/itemProps3.xml><?xml version="1.0" encoding="utf-8"?>
<ds:datastoreItem xmlns:ds="http://schemas.openxmlformats.org/officeDocument/2006/customXml" ds:itemID="{3C300904-0FB2-4410-B922-020EE72D0E7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Introduction</vt:lpstr>
      <vt:lpstr>NPL Level</vt:lpstr>
      <vt:lpstr>NPL Phase</vt:lpstr>
      <vt:lpstr>LNE Level</vt:lpstr>
      <vt:lpstr>LNE Phase</vt:lpstr>
      <vt:lpstr>INRiM Level</vt:lpstr>
      <vt:lpstr>INRiM Phase</vt:lpstr>
      <vt:lpstr>METAS Level</vt:lpstr>
      <vt:lpstr>METAS Phase</vt:lpstr>
      <vt:lpstr>UME Level</vt:lpstr>
      <vt:lpstr>BIM Level</vt:lpstr>
      <vt:lpstr>DMDM Level</vt:lpstr>
      <vt:lpstr>BEV Level</vt:lpstr>
      <vt:lpstr>SP Level</vt:lpstr>
      <vt:lpstr>SP Phase</vt:lpstr>
      <vt:lpstr>PTB Level</vt:lpstr>
      <vt:lpstr>PTB Phase</vt:lpstr>
      <vt:lpstr>CEM Level</vt:lpstr>
      <vt:lpstr>NIS Level</vt:lpstr>
    </vt:vector>
  </TitlesOfParts>
  <Company>NPL Management Ltd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IMS</dc:creator>
  <cp:lastModifiedBy>Stephen Robinson</cp:lastModifiedBy>
  <dcterms:created xsi:type="dcterms:W3CDTF">2013-05-24T14:08:49Z</dcterms:created>
  <dcterms:modified xsi:type="dcterms:W3CDTF">2017-08-14T10:25:13Z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ercoClassification">
    <vt:lpwstr>NPL Official</vt:lpwstr>
  </property>
  <property fmtid="{D5CDD505-2E9C-101B-9397-08002B2CF9AE}" pid="3" name="aliashDocumentMarking">
    <vt:lpwstr/>
  </property>
  <property fmtid="{D5CDD505-2E9C-101B-9397-08002B2CF9AE}" pid="4" name="HeaderFooter">
    <vt:lpwstr>F</vt:lpwstr>
  </property>
  <property fmtid="{D5CDD505-2E9C-101B-9397-08002B2CF9AE}" pid="5" name="ContentTypeId">
    <vt:lpwstr>0x010100CA6F169B6B495044BEFB9448DB4FF6D2</vt:lpwstr>
  </property>
  <property fmtid="{D5CDD505-2E9C-101B-9397-08002B2CF9AE}" pid="6" name="Order">
    <vt:r8>2637600</vt:r8>
  </property>
</Properties>
</file>