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DieseArbeitsmappe" defaultThemeVersion="124226"/>
  <mc:AlternateContent xmlns:mc="http://schemas.openxmlformats.org/markup-compatibility/2006">
    <mc:Choice Requires="x15">
      <x15ac:absPath xmlns:x15ac="http://schemas.microsoft.com/office/spreadsheetml/2010/11/ac" url="T:\MASSMET\Force\Technical\Representation\CCM\Force Working Group\2024 Virtual\Uploads\"/>
    </mc:Choice>
  </mc:AlternateContent>
  <xr:revisionPtr revIDLastSave="0" documentId="13_ncr:1_{AD58D210-EA63-4819-BA82-83E4EEE26388}" xr6:coauthVersionLast="47" xr6:coauthVersionMax="47" xr10:uidLastSave="{00000000-0000-0000-0000-000000000000}"/>
  <bookViews>
    <workbookView xWindow="-120" yWindow="-120" windowWidth="29040" windowHeight="15990" tabRatio="781" activeTab="1" xr2:uid="{00000000-000D-0000-FFFF-FFFF00000000}"/>
  </bookViews>
  <sheets>
    <sheet name="Information" sheetId="8" r:id="rId1"/>
    <sheet name="CMC" sheetId="1" r:id="rId2"/>
    <sheet name="Evidence" sheetId="7" r:id="rId3"/>
    <sheet name="Field descriptions" sheetId="2" r:id="rId4"/>
  </sheets>
  <definedNames>
    <definedName name="_xlnm._FilterDatabase" localSheetId="1" hidden="1">CMC!$A$4:$M$16</definedName>
    <definedName name="force_cases">Evidence!$E$30:$K$36</definedName>
    <definedName name="force_traceability">Evidence!$A$33:$A$37</definedName>
    <definedName name="torque_cases">Evidence!$E$38:$K$44</definedName>
    <definedName name="torque_traceability">Evidence!$A$39:$A$43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14" i="1"/>
  <c r="J15" i="1"/>
  <c r="J16" i="1"/>
  <c r="J12" i="1"/>
  <c r="J7" i="1"/>
  <c r="J8" i="1"/>
  <c r="J9" i="1"/>
  <c r="J10" i="1"/>
  <c r="J6" i="1"/>
  <c r="M7" i="7"/>
  <c r="A54" i="7"/>
  <c r="W54" i="7"/>
  <c r="AA54" i="7"/>
  <c r="C54" i="7" l="1"/>
  <c r="M54" i="7" s="1"/>
  <c r="O34" i="7"/>
  <c r="Q34" i="7" s="1"/>
  <c r="O35" i="7"/>
  <c r="Q35" i="7" s="1"/>
  <c r="O36" i="7"/>
  <c r="Q36" i="7" s="1"/>
  <c r="O37" i="7"/>
  <c r="Q37" i="7" s="1"/>
  <c r="O38" i="7"/>
  <c r="Q38" i="7" s="1"/>
  <c r="O39" i="7"/>
  <c r="Q39" i="7" s="1"/>
  <c r="O40" i="7"/>
  <c r="Q40" i="7" s="1"/>
  <c r="O41" i="7"/>
  <c r="Q41" i="7" s="1"/>
  <c r="O42" i="7"/>
  <c r="Q42" i="7" s="1"/>
  <c r="O33" i="7"/>
  <c r="Q33" i="7" s="1"/>
  <c r="A55" i="7"/>
  <c r="A56" i="7"/>
  <c r="A57" i="7"/>
  <c r="A53" i="7"/>
  <c r="A48" i="7"/>
  <c r="A49" i="7"/>
  <c r="A50" i="7"/>
  <c r="A51" i="7"/>
  <c r="A47" i="7"/>
  <c r="W55" i="7"/>
  <c r="C55" i="7" s="1"/>
  <c r="W56" i="7"/>
  <c r="C56" i="7" s="1"/>
  <c r="W57" i="7"/>
  <c r="C57" i="7" s="1"/>
  <c r="W53" i="7"/>
  <c r="C53" i="7" s="1"/>
  <c r="W48" i="7"/>
  <c r="C48" i="7" s="1"/>
  <c r="W49" i="7"/>
  <c r="C49" i="7" s="1"/>
  <c r="W50" i="7"/>
  <c r="C50" i="7" s="1"/>
  <c r="W51" i="7"/>
  <c r="C51" i="7" s="1"/>
  <c r="W47" i="7"/>
  <c r="C47" i="7" s="1"/>
  <c r="U7" i="7"/>
  <c r="S7" i="7"/>
  <c r="Q7" i="7"/>
  <c r="O7" i="7"/>
  <c r="Y54" i="7" s="1"/>
  <c r="K7" i="7"/>
  <c r="I7" i="7"/>
  <c r="G7" i="7"/>
  <c r="E7" i="7"/>
  <c r="C7" i="7"/>
  <c r="Y47" i="7" s="1"/>
  <c r="AA51" i="7"/>
  <c r="AA47" i="7"/>
  <c r="AA48" i="7"/>
  <c r="AA49" i="7"/>
  <c r="AA50" i="7"/>
  <c r="AA57" i="7"/>
  <c r="AA56" i="7"/>
  <c r="AA55" i="7"/>
  <c r="AA53" i="7"/>
  <c r="M51" i="7" l="1"/>
  <c r="K51" i="7"/>
  <c r="I51" i="7"/>
  <c r="I50" i="7"/>
  <c r="K50" i="7"/>
  <c r="M49" i="7"/>
  <c r="K49" i="7"/>
  <c r="I49" i="7"/>
  <c r="M48" i="7"/>
  <c r="K48" i="7"/>
  <c r="I47" i="7"/>
  <c r="M47" i="7"/>
  <c r="K47" i="7"/>
  <c r="U54" i="7"/>
  <c r="K54" i="7"/>
  <c r="S54" i="7"/>
  <c r="G54" i="7"/>
  <c r="I54" i="7"/>
  <c r="K57" i="7"/>
  <c r="I57" i="7"/>
  <c r="M57" i="7"/>
  <c r="I56" i="7"/>
  <c r="K56" i="7"/>
  <c r="U56" i="7"/>
  <c r="M55" i="7"/>
  <c r="K55" i="7"/>
  <c r="I55" i="7"/>
  <c r="M53" i="7"/>
  <c r="I53" i="7"/>
  <c r="K53" i="7"/>
  <c r="I48" i="7"/>
  <c r="U51" i="7"/>
  <c r="U48" i="7"/>
  <c r="U55" i="7"/>
  <c r="S49" i="7"/>
  <c r="G48" i="7"/>
  <c r="S56" i="7"/>
  <c r="G56" i="7"/>
  <c r="S55" i="7"/>
  <c r="G55" i="7"/>
  <c r="U57" i="7"/>
  <c r="S50" i="7"/>
  <c r="S48" i="7"/>
  <c r="G49" i="7"/>
  <c r="U49" i="7"/>
  <c r="S51" i="7"/>
  <c r="G51" i="7"/>
  <c r="G57" i="7"/>
  <c r="S57" i="7"/>
  <c r="S53" i="7"/>
  <c r="G53" i="7"/>
  <c r="U53" i="7"/>
  <c r="S47" i="7"/>
  <c r="U47" i="7"/>
  <c r="G47" i="7"/>
  <c r="E43" i="7"/>
  <c r="E39" i="7"/>
  <c r="E35" i="7"/>
  <c r="E31" i="7"/>
  <c r="E30" i="7"/>
  <c r="E37" i="7"/>
  <c r="E29" i="7"/>
  <c r="E44" i="7"/>
  <c r="E42" i="7"/>
  <c r="E41" i="7"/>
  <c r="E40" i="7"/>
  <c r="E38" i="7"/>
  <c r="E32" i="7"/>
  <c r="E33" i="7"/>
  <c r="E34" i="7"/>
  <c r="E36" i="7"/>
  <c r="Y57" i="7" l="1"/>
  <c r="Y56" i="7"/>
  <c r="M56" i="7" s="1"/>
  <c r="Y55" i="7"/>
  <c r="Y53" i="7"/>
  <c r="Y51" i="7"/>
  <c r="Y50" i="7"/>
  <c r="M50" i="7" s="1"/>
  <c r="Y49" i="7"/>
  <c r="Y48" i="7"/>
  <c r="Q55" i="7" l="1"/>
  <c r="Q57" i="7"/>
  <c r="G13" i="1"/>
  <c r="G14" i="1"/>
  <c r="G15" i="1"/>
  <c r="G16" i="1"/>
  <c r="G12" i="1"/>
  <c r="Q56" i="7" l="1"/>
  <c r="O51" i="7"/>
  <c r="Q51" i="7"/>
  <c r="O53" i="7"/>
  <c r="Q53" i="7"/>
  <c r="O55" i="7"/>
  <c r="O54" i="7"/>
  <c r="Q54" i="7"/>
  <c r="O57" i="7"/>
  <c r="E57" i="7" s="1"/>
  <c r="O56" i="7"/>
  <c r="H7" i="1"/>
  <c r="H8" i="1"/>
  <c r="H9" i="1"/>
  <c r="H10" i="1"/>
  <c r="H6" i="1"/>
  <c r="U12" i="7"/>
  <c r="S12" i="7"/>
  <c r="Q12" i="7"/>
  <c r="O12" i="7"/>
  <c r="M12" i="7"/>
  <c r="K12" i="7"/>
  <c r="I12" i="7"/>
  <c r="G12" i="7"/>
  <c r="E12" i="7"/>
  <c r="M16" i="1"/>
  <c r="M15" i="1"/>
  <c r="M14" i="1"/>
  <c r="M13" i="1"/>
  <c r="M12" i="1"/>
  <c r="M7" i="1"/>
  <c r="M8" i="1"/>
  <c r="M9" i="1"/>
  <c r="M10" i="1"/>
  <c r="M6" i="1"/>
  <c r="C12" i="7"/>
  <c r="A13" i="1"/>
  <c r="A14" i="1"/>
  <c r="A15" i="1"/>
  <c r="A16" i="1"/>
  <c r="A12" i="1"/>
  <c r="U50" i="7" l="1"/>
  <c r="G50" i="7"/>
  <c r="O48" i="7"/>
  <c r="Q48" i="7"/>
  <c r="Q47" i="7"/>
  <c r="O47" i="7"/>
  <c r="Q49" i="7"/>
  <c r="O49" i="7"/>
  <c r="E56" i="7"/>
  <c r="S8" i="7" s="1"/>
  <c r="S10" i="7" s="1"/>
  <c r="S11" i="7" s="1"/>
  <c r="Q50" i="7"/>
  <c r="O50" i="7"/>
  <c r="E54" i="7"/>
  <c r="O8" i="7" s="1"/>
  <c r="O10" i="7" s="1"/>
  <c r="E51" i="7"/>
  <c r="K8" i="7" s="1"/>
  <c r="K10" i="7" s="1"/>
  <c r="U8" i="7"/>
  <c r="U10" i="7" s="1"/>
  <c r="U11" i="7" s="1"/>
  <c r="E55" i="7"/>
  <c r="Q8" i="7" s="1"/>
  <c r="Q10" i="7" s="1"/>
  <c r="E53" i="7"/>
  <c r="M8" i="7" l="1"/>
  <c r="M10" i="7" s="1"/>
  <c r="E50" i="7"/>
  <c r="I8" i="7" s="1"/>
  <c r="E49" i="7"/>
  <c r="G8" i="7" s="1"/>
  <c r="E47" i="7"/>
  <c r="E48" i="7"/>
  <c r="E8" i="7" s="1"/>
  <c r="O11" i="7"/>
  <c r="Q11" i="7"/>
  <c r="K11" i="7"/>
  <c r="C8" i="7" l="1"/>
  <c r="C10" i="7" s="1"/>
  <c r="C11" i="7" s="1"/>
  <c r="E10" i="7"/>
  <c r="E11" i="7" s="1"/>
  <c r="G10" i="7"/>
  <c r="G11" i="7" s="1"/>
  <c r="I10" i="7"/>
  <c r="I11" i="7" s="1"/>
  <c r="M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Dirk Röske</author>
  </authors>
  <commentList>
    <comment ref="D6" authorId="0" shapeId="0" xr:uid="{AB50F689-20E9-43A5-8FA8-BEB604E3622C}">
      <text>
        <r>
          <rPr>
            <b/>
            <sz val="9"/>
            <color indexed="81"/>
            <rFont val="Segoe UI"/>
            <family val="2"/>
          </rPr>
          <t>CCM-WGFT - value examples:
1
0.001
1E-6
1000</t>
        </r>
      </text>
    </comment>
    <comment ref="E6" authorId="0" shapeId="0" xr:uid="{4E26F5BB-93A0-4E0E-BEFD-A37FB232C82D}">
      <text>
        <r>
          <rPr>
            <b/>
            <sz val="9"/>
            <color indexed="81"/>
            <rFont val="Segoe UI"/>
            <family val="2"/>
          </rPr>
          <t>CCM-WGFT - value examples:
1
0.001
1E-6
1000</t>
        </r>
      </text>
    </comment>
    <comment ref="I6" authorId="0" shapeId="0" xr:uid="{0F002D1C-C7EB-4412-AA7D-938544D93892}">
      <text>
        <r>
          <rPr>
            <b/>
            <sz val="9"/>
            <color indexed="81"/>
            <rFont val="Segoe UI"/>
            <family val="2"/>
          </rPr>
          <t>CCM-WGFT - uncertainty examples:
Notes: Comments and their preceding hash symbol # should not be entered. Any negative term in formulas should be placed first.
- value examples in %, F always in N
0.001                                       # 1E-05 · 100 % = 0.001 %
0.02                                         # 0.0002 · 100 % = 0.02 % 
0.002 + 100 N / F; F in N     # (0.00002 + 1 N / F) · 100 %
-100 N / F + 0.002; F in N   # (-1 N / F + 0.00002) · 100 %
- value examples in N, F always in N
0.1 N
0.00002 F + 1 N; F in N
-1 N + 0.00002 F; F in N</t>
        </r>
      </text>
    </comment>
    <comment ref="Q6" authorId="0" shapeId="0" xr:uid="{5A6189D6-557C-496B-8B70-30FC0016AD46}">
      <text>
        <r>
          <rPr>
            <b/>
            <sz val="9"/>
            <color indexed="81"/>
            <rFont val="Segoe UI"/>
            <family val="2"/>
          </rPr>
          <t>CCM-WGFT:  List example, no space, no new line, separated by semi-colon</t>
        </r>
        <r>
          <rPr>
            <sz val="9"/>
            <color indexed="81"/>
            <rFont val="Segoe UI"/>
            <family val="2"/>
          </rPr>
          <t xml:space="preserve">
CCM.F-K1;CCM.F-K2;CCM.F-K3</t>
        </r>
      </text>
    </comment>
    <comment ref="D12" authorId="0" shapeId="0" xr:uid="{30E755BB-C952-4331-A315-865ACF02DDC0}">
      <text>
        <r>
          <rPr>
            <b/>
            <sz val="9"/>
            <color indexed="81"/>
            <rFont val="Segoe UI"/>
            <family val="2"/>
          </rPr>
          <t>CCM-WGFT - value examples:
1
0.001
1E-6
1000</t>
        </r>
      </text>
    </comment>
    <comment ref="E12" authorId="0" shapeId="0" xr:uid="{9ED03280-2D19-45DA-B2C8-B6B73A36E5C7}">
      <text>
        <r>
          <rPr>
            <b/>
            <sz val="9"/>
            <color indexed="81"/>
            <rFont val="Segoe UI"/>
            <family val="2"/>
          </rPr>
          <t>CCM-WGFT - value examples:
1
0.001
1E-6
1000</t>
        </r>
      </text>
    </comment>
    <comment ref="I12" authorId="0" shapeId="0" xr:uid="{775BED1F-1D72-47D7-B7C7-16736204C5DA}">
      <text>
        <r>
          <rPr>
            <b/>
            <sz val="9"/>
            <color indexed="81"/>
            <rFont val="Segoe UI"/>
            <family val="2"/>
          </rPr>
          <t>CCM-WGFT - uncertainty examples:
Notes: Comments and their preceding hash symbol # should not be entered. Any negative term in formulas should be placed first.
- value examples in %, T always in N m
0.001                                                # 1E-05 · 100 % = 0.001 %
0.02                                                  # 0.0002 · 100 % = 0.02 % 
0.002 + 100 N m / T; T in N m    # (0.00002 + 1 N m / T) · 100 %
-100 N m / T + 0.002; T in N m  # (-1 N m / T + 0.00002) · 100 %
- value examples in N m, T always in N m
0.1 N m
0.00002 T + 1 N m; T in N m
-1 N m + 0.00002 T; T in N m</t>
        </r>
      </text>
    </comment>
    <comment ref="Q12" authorId="0" shapeId="0" xr:uid="{D13E9CED-A177-4313-96BA-2C82A17D6962}">
      <text>
        <r>
          <rPr>
            <b/>
            <sz val="9"/>
            <color indexed="81"/>
            <rFont val="Segoe UI"/>
            <family val="2"/>
          </rPr>
          <t>CCM-WGFT:  List example, no space, no new line, separated by semi-colon</t>
        </r>
        <r>
          <rPr>
            <sz val="9"/>
            <color indexed="81"/>
            <rFont val="Segoe UI"/>
            <family val="2"/>
          </rPr>
          <t xml:space="preserve">
CCM.F-K1;CCM.F-K2;CCM.F-K3</t>
        </r>
      </text>
    </comment>
  </commentList>
</comments>
</file>

<file path=xl/sharedStrings.xml><?xml version="1.0" encoding="utf-8"?>
<sst xmlns="http://schemas.openxmlformats.org/spreadsheetml/2006/main" count="282" uniqueCount="157">
  <si>
    <t>Instrument Type or Method</t>
  </si>
  <si>
    <t>Units</t>
  </si>
  <si>
    <t>Parameter</t>
  </si>
  <si>
    <t>Value</t>
  </si>
  <si>
    <t>Reference Standard used in calibration</t>
  </si>
  <si>
    <t>Specifications</t>
  </si>
  <si>
    <t>Calibration or Measurement Service</t>
  </si>
  <si>
    <t>Measurand Level or Range</t>
  </si>
  <si>
    <t>Expanded Uncertainty</t>
  </si>
  <si>
    <t>Measurement Conditions/Independent Variable</t>
  </si>
  <si>
    <t>Standard</t>
  </si>
  <si>
    <t>Source of traceability</t>
  </si>
  <si>
    <t>Minimum value</t>
  </si>
  <si>
    <t>Maximum value</t>
  </si>
  <si>
    <t>Level of Confidence</t>
  </si>
  <si>
    <t>Instrument or Artifact</t>
  </si>
  <si>
    <t>NMI</t>
  </si>
  <si>
    <t>NMI Service Identifier</t>
  </si>
  <si>
    <t>List of Comparisons supporting this measurement/        calibration service</t>
  </si>
  <si>
    <t>Coverage Factor</t>
  </si>
  <si>
    <t>Review Status</t>
  </si>
  <si>
    <t>Review Comments</t>
  </si>
  <si>
    <t>Administration</t>
  </si>
  <si>
    <t>Is the expanded uncertainty a relative one?</t>
  </si>
  <si>
    <t>List of Comparisons supporting this measurement/calibration service</t>
  </si>
  <si>
    <t>Device under calibration. Item received by the customer</t>
  </si>
  <si>
    <t>This field may be used to further specify the type of instrument to be calibrated or the calibration method</t>
  </si>
  <si>
    <t>Field</t>
  </si>
  <si>
    <t>Description</t>
  </si>
  <si>
    <t>The measurement range can be expressed explicitly or implicitly
(i.e. through a range of parameters) but never with a reference to
other services. Implicit specifications must provide enough
information in the parameters section so as to indicate the range of
validity of the uncertainty statement.</t>
  </si>
  <si>
    <r>
      <t xml:space="preserve">Examples of parameters are calibration conditions like ambient temperature, a variable condition like frequency for AC electrical quantities or a radionuclide for a CMC in radioactivity:
</t>
    </r>
    <r>
      <rPr>
        <b/>
        <sz val="10"/>
        <rFont val="Arial"/>
        <family val="2"/>
      </rPr>
      <t xml:space="preserve">Parameter                Specifications
----------------------         ----------------------------------------
</t>
    </r>
    <r>
      <rPr>
        <sz val="10"/>
        <rFont val="Arial"/>
        <family val="2"/>
      </rPr>
      <t>Temperature              20 ºC</t>
    </r>
    <r>
      <rPr>
        <b/>
        <sz val="10"/>
        <rFont val="Arial"/>
        <family val="2"/>
      </rPr>
      <t xml:space="preserve">
</t>
    </r>
    <r>
      <rPr>
        <sz val="10"/>
        <rFont val="Arial"/>
        <family val="2"/>
      </rPr>
      <t>Frequency                10 Hz to 100 Hz
Co-60                       rectangular, planar sources
Use separate lines if specifying more than one parameter. Never imbed more than one line in a single cell.</t>
    </r>
  </si>
  <si>
    <t>The coverage factor and the level of confidence should be consistent with an assumed distribution shape. Normal values are 2 and 95 %, respectively, but other values may be given if it is customary in a given metrology field and the issuing laboratory has enough information on the measurement distribution.</t>
  </si>
  <si>
    <t>Provide an unambiguous uncertainty statement. Examples are a fixed value, a range of values or a formula in terms of the measurand or a parameter. When the measurand and the uncertainty cover a range of values, it is assumed that linear interpolation can be used to find intermediate values.</t>
  </si>
  <si>
    <t>Write "Yes" or "No". This is especially important when both, the measurement and the uncertainty levels are given as percentages but is should never be left blank.</t>
  </si>
  <si>
    <t>Indicate the standard that is used to carry out the calibration or measurement.</t>
  </si>
  <si>
    <t>Provide the name(s) or acronym(s) of the NMI(s) that hold(s) the primary standard(s) from which the standard specified in the previous cell obtains traceability to the SI. Additionally, indicate the names of intermediate laboratories if this traceability is not obtained directly from the above-mentioned primary NMI(s).</t>
  </si>
  <si>
    <t>Provide the name of comparisons as designated by the organizers. Comparisons listed in Appendix B are preferred but CC working groups on CMCs may accept other types of comparisons.</t>
  </si>
  <si>
    <t>To be used by the RMO review panel for comments or by the issuing NMI to communicate comments to reviewers.</t>
  </si>
  <si>
    <t>To be used by the RMO review panel.</t>
  </si>
  <si>
    <t>The organization that is responsible for the CMC declaration. Use the official abbreviation for the NMI or Designated Service Provider.</t>
  </si>
  <si>
    <t>Click on a heading to see its description.</t>
  </si>
  <si>
    <t>Follow the recommendations provided in worksheets "Formatting Instructions" and "Formatting Examples"</t>
  </si>
  <si>
    <t>Quantity</t>
  </si>
  <si>
    <t>White cells contain information that will be published in the KCDB web page</t>
  </si>
  <si>
    <t>Information for reviewers. Not to be published</t>
  </si>
  <si>
    <t>To be published in the KCDB</t>
  </si>
  <si>
    <t>Comments to be published via the web page</t>
  </si>
  <si>
    <t>Information listed here will be published with the CMC. Examples are restrictions on the service scope requested by reviewers. After 24 May 2004 the KCDB adds the publication date in this field. Rows corresponding to CMCs to be deleted from Appendix C are shaded in pink and inlcude in this field the comment "To be deleted from the KCDB".</t>
  </si>
  <si>
    <t>NMI and NMI Service Identifier are published in the KCDB</t>
  </si>
  <si>
    <t>NOTE: Additional columns to the right may be used for intra- or inter-regional review purposes</t>
  </si>
  <si>
    <t>Quantity/Class</t>
  </si>
  <si>
    <t>Enter the quantity being measured. In the area of Length this filed is called "Class" and specifies the type of artifact under calibration, for example: "diameter standards", "end standards", "CMM artifacts".</t>
  </si>
  <si>
    <t>Quantity/ Class</t>
  </si>
  <si>
    <t>Service Category</t>
  </si>
  <si>
    <t>Torque</t>
  </si>
  <si>
    <t>Reference torque wrench</t>
  </si>
  <si>
    <t>No</t>
  </si>
  <si>
    <t>95%</t>
  </si>
  <si>
    <t>Points</t>
  </si>
  <si>
    <t>Force</t>
  </si>
  <si>
    <t>Deadweight</t>
  </si>
  <si>
    <t>Deadweight + lever(s)</t>
  </si>
  <si>
    <t>Hydraulic amplification</t>
  </si>
  <si>
    <t>Jockey weights + lever</t>
  </si>
  <si>
    <t>Lever amplification</t>
  </si>
  <si>
    <t>Load cell(s) + lever(s)</t>
  </si>
  <si>
    <t>Single reference transducer</t>
  </si>
  <si>
    <t>Reference transducer</t>
  </si>
  <si>
    <t>Supplied</t>
  </si>
  <si>
    <t>Fully-documented uncertainty budget</t>
  </si>
  <si>
    <t>Results of key or supplementary comparison</t>
  </si>
  <si>
    <t>Onsite peer assessment reports</t>
  </si>
  <si>
    <t>Publicly-available information on technical activities</t>
  </si>
  <si>
    <t>Active participation in RMO projects</t>
  </si>
  <si>
    <t>Other evidence of knowledge and experience</t>
  </si>
  <si>
    <t>CIPM MRA Appendix C: Calibration and Measurement Capability  (CMC) Declarations</t>
  </si>
  <si>
    <t>Traceability</t>
  </si>
  <si>
    <r>
      <t>Minimum expanded (</t>
    </r>
    <r>
      <rPr>
        <i/>
        <sz val="10"/>
        <rFont val="Arial"/>
        <family val="2"/>
      </rPr>
      <t>k</t>
    </r>
    <r>
      <rPr>
        <sz val="10"/>
        <rFont val="Arial"/>
        <family val="2"/>
      </rPr>
      <t xml:space="preserve"> = 2) uncertainty</t>
    </r>
  </si>
  <si>
    <t>Technical evidence</t>
  </si>
  <si>
    <t>Difficulty level</t>
  </si>
  <si>
    <t>Required points</t>
  </si>
  <si>
    <t>Total points</t>
  </si>
  <si>
    <t>FORCE</t>
  </si>
  <si>
    <t>TORQUE</t>
  </si>
  <si>
    <t>Evidence check</t>
  </si>
  <si>
    <t>Back to CMC</t>
  </si>
  <si>
    <t>2</t>
  </si>
  <si>
    <t>Minimum force in N / Minimum torque in N m</t>
  </si>
  <si>
    <t>Multiple reference transducers / build-up system</t>
  </si>
  <si>
    <t>CMC metadata</t>
  </si>
  <si>
    <t>Copyright note</t>
  </si>
  <si>
    <t xml:space="preserve">Licensed under the EUPL, Version 1.2 or – as soon they will be approved by the European Commission - subsequent versions of the EUPL (the "Licence"). You may not use this work except in compliance with the Licence. </t>
  </si>
  <si>
    <t>You may obtain a copy of the Licence at:</t>
  </si>
  <si>
    <t>https://joinup.ec.europa.eu/software/page/eupl</t>
  </si>
  <si>
    <t>Unless required by applicable law or agreed to in writing, software distributed under the Licence is distributed on an "AS IS" basis, WITHOUT WARRANTIES OR CONDITIONS OF ANY KIND, either express or implied.</t>
  </si>
  <si>
    <t>See the Licence for the specific language governing permissions and limitations under the Licence.</t>
  </si>
  <si>
    <t>Instruction on how to use this tool</t>
  </si>
  <si>
    <t>Important note</t>
  </si>
  <si>
    <t>This file is a template and should not be changed or renamed.</t>
  </si>
  <si>
    <t>How to use the tool</t>
  </si>
  <si>
    <t>Further development</t>
  </si>
  <si>
    <t>dirk.roeske@ptb.de</t>
  </si>
  <si>
    <t>Contact persons:</t>
  </si>
  <si>
    <t>Andy Knott, NPL, London, United Kingdom</t>
  </si>
  <si>
    <t>Depending on the future work on the CCM-WGFT - CMC Review Guidance, this tool might be further developed, and, if necessary, substantially changed.</t>
  </si>
  <si>
    <t>Make a copy of it for your own CMC submission.</t>
  </si>
  <si>
    <t>andy.knott@npl.co.uk</t>
  </si>
  <si>
    <t>Each laboratory can choose how to identify its internal service identifiers. Examples are a simple consecutive number or the NMI catalogue number. Internal identifiers that include blank characters or a series of words should be avoided.</t>
  </si>
  <si>
    <t>Service number to be drawn from service categories identified by the CC of each metrology area.</t>
  </si>
  <si>
    <t>CMC-F1</t>
  </si>
  <si>
    <t>CMC-F2</t>
  </si>
  <si>
    <t>CMC-F3</t>
  </si>
  <si>
    <t>CMC-F4</t>
  </si>
  <si>
    <t>CMC-F5</t>
  </si>
  <si>
    <t>CMC-T1</t>
  </si>
  <si>
    <t>CMC-T2</t>
  </si>
  <si>
    <t>CMC-T3</t>
  </si>
  <si>
    <t>CMC-T4</t>
  </si>
  <si>
    <t>CMC-T5</t>
  </si>
  <si>
    <t>Decimal sign check</t>
  </si>
  <si>
    <t>%,no sum,no F,no div</t>
  </si>
  <si>
    <t>N,sum,F,no div</t>
  </si>
  <si>
    <t>%,no sum,no T,no div</t>
  </si>
  <si>
    <t>N m,sum,T,no div</t>
  </si>
  <si>
    <t>Result in %</t>
  </si>
  <si>
    <t>N,no sum,F,no div</t>
  </si>
  <si>
    <t>N m,no sum,T,no div</t>
  </si>
  <si>
    <t>Force: Min-Max check</t>
  </si>
  <si>
    <t>Torque: Min-Max check</t>
  </si>
  <si>
    <t>Force: Minimum uncertainty</t>
  </si>
  <si>
    <t>Torque: Minimum uncertainty</t>
  </si>
  <si>
    <t>a</t>
  </si>
  <si>
    <t>b</t>
  </si>
  <si>
    <t>u(F) = a + b · F</t>
  </si>
  <si>
    <t>u(F) / F</t>
  </si>
  <si>
    <t>N m,no sum,no T,no div</t>
  </si>
  <si>
    <t>N,no sum,no F,no div</t>
  </si>
  <si>
    <t>%,no sum,F,div N/F</t>
  </si>
  <si>
    <t>%,no sum,F,div F/N</t>
  </si>
  <si>
    <t>%,sum,F,div N/F</t>
  </si>
  <si>
    <t>%,sum,F,div F/N</t>
  </si>
  <si>
    <t>%,no sum,T,div Nm/T</t>
  </si>
  <si>
    <t>%,sum,T,div Nm/T</t>
  </si>
  <si>
    <t>%,no sum,T,div T/(Nm)</t>
  </si>
  <si>
    <t>%,sum,T,div T/(Nm)</t>
  </si>
  <si>
    <t>①</t>
  </si>
  <si>
    <t>②</t>
  </si>
  <si>
    <t>③</t>
  </si>
  <si>
    <t>④</t>
  </si>
  <si>
    <t>⑤</t>
  </si>
  <si>
    <t>⑥</t>
  </si>
  <si>
    <t>⑦</t>
  </si>
  <si>
    <t>⑧</t>
  </si>
  <si>
    <t>Instructions on how to use this tool can be found in the "Guidelines for Submission and Review of Calibration and Measurement Capabilities (CMCs)" issued by the Working Group on Force and Torque (CCM-WGFT) of the CIPM's Consultative Committee for Mass and Related Quantities (CCM).</t>
  </si>
  <si>
    <t xml:space="preserve">https://www.bipm.org/en/committees/cc/ccm/wg/ccm-wgft </t>
  </si>
  <si>
    <t>Dirk Röske, PTB, Braunschweig, Germany</t>
  </si>
  <si>
    <t>Copyright 2024 CCM-WGFT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</si>
</sst>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General&quot; N&quot;"/>
    <numFmt numFmtId="166" formatCode="General&quot; N m&quot;"/>
    <numFmt numFmtId="167" formatCode="0.000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u/>
      <sz val="10"/>
      <color indexed="12"/>
      <name val="Arial"/>
      <family val="2"/>
    </font>
    <font>
      <b/>
      <sz val="12"/>
      <name val="Arial"/>
      <family val="2"/>
    </font>
    <font>
      <b/>
      <sz val="10"/>
      <color indexed="12"/>
      <name val="Arial"/>
      <family val="2"/>
    </font>
    <font>
      <sz val="10"/>
      <color indexed="12"/>
      <name val="Arial"/>
      <family val="2"/>
    </font>
    <font>
      <b/>
      <sz val="12"/>
      <color indexed="53"/>
      <name val="Arial"/>
      <family val="2"/>
    </font>
    <font>
      <b/>
      <sz val="14"/>
      <name val="Arial"/>
      <family val="2"/>
    </font>
    <font>
      <i/>
      <sz val="10"/>
      <name val="Arial"/>
      <family val="2"/>
    </font>
    <font>
      <b/>
      <sz val="11"/>
      <color theme="1"/>
      <name val="Calibri"/>
      <family val="2"/>
      <scheme val="minor"/>
    </font>
    <font>
      <sz val="11"/>
      <name val="Calibri"/>
      <family val="2"/>
    </font>
    <font>
      <sz val="11"/>
      <name val="Calibri"/>
      <family val="2"/>
      <scheme val="minor"/>
    </font>
    <font>
      <b/>
      <sz val="12"/>
      <name val="Calibri"/>
      <family val="2"/>
      <scheme val="minor"/>
    </font>
    <font>
      <b/>
      <sz val="11"/>
      <color rgb="FFFF0000"/>
      <name val="Calibri"/>
      <family val="2"/>
    </font>
    <font>
      <b/>
      <sz val="9"/>
      <color indexed="81"/>
      <name val="Segoe UI"/>
      <family val="2"/>
    </font>
    <font>
      <sz val="9"/>
      <color indexed="81"/>
      <name val="Segoe UI"/>
      <family val="2"/>
    </font>
    <font>
      <sz val="8"/>
      <name val="Arial"/>
      <family val="2"/>
    </font>
    <font>
      <sz val="10"/>
      <color rgb="FF0000FF"/>
      <name val="Arial"/>
      <family val="2"/>
    </font>
    <font>
      <u/>
      <sz val="12"/>
      <color indexed="12"/>
      <name val="Calibri"/>
      <family val="2"/>
    </font>
    <font>
      <b/>
      <sz val="14"/>
      <color theme="1"/>
      <name val="Calibri"/>
      <family val="2"/>
      <scheme val="minor"/>
    </font>
    <font>
      <u/>
      <sz val="11"/>
      <color theme="10"/>
      <name val="Calibri"/>
      <family val="2"/>
      <scheme val="minor"/>
    </font>
    <font>
      <sz val="10"/>
      <name val="Arial"/>
      <family val="2"/>
    </font>
    <font>
      <u/>
      <sz val="11"/>
      <color indexed="12"/>
      <name val="Calibri"/>
      <family val="2"/>
    </font>
    <font>
      <u/>
      <sz val="11"/>
      <color indexed="12"/>
      <name val="Calibri"/>
      <family val="2"/>
      <scheme val="minor"/>
    </font>
    <font>
      <sz val="10"/>
      <name val="Calibri"/>
      <family val="2"/>
    </font>
  </fonts>
  <fills count="10">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5" fillId="0" borderId="0"/>
    <xf numFmtId="0" fontId="4" fillId="0" borderId="0"/>
    <xf numFmtId="0" fontId="27" fillId="0" borderId="0" applyNumberFormat="0" applyFill="0" applyBorder="0" applyAlignment="0" applyProtection="0"/>
    <xf numFmtId="9" fontId="28" fillId="0" borderId="0" applyFont="0" applyFill="0" applyBorder="0" applyAlignment="0" applyProtection="0"/>
  </cellStyleXfs>
  <cellXfs count="160">
    <xf numFmtId="0" fontId="0" fillId="0" borderId="0" xfId="0"/>
    <xf numFmtId="0" fontId="0" fillId="0" borderId="0" xfId="0" applyAlignment="1">
      <alignment vertical="top" wrapText="1"/>
    </xf>
    <xf numFmtId="0" fontId="0" fillId="0" borderId="0" xfId="0" applyAlignment="1">
      <alignment vertical="top"/>
    </xf>
    <xf numFmtId="0" fontId="11" fillId="0" borderId="0" xfId="0" applyFont="1" applyAlignment="1">
      <alignment horizontal="center" vertical="center" wrapText="1"/>
    </xf>
    <xf numFmtId="0" fontId="12" fillId="0" borderId="0" xfId="0" applyFont="1" applyAlignment="1">
      <alignment vertical="top" wrapText="1"/>
    </xf>
    <xf numFmtId="0" fontId="12" fillId="0" borderId="0" xfId="0" applyFont="1"/>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2" borderId="6" xfId="0" applyFont="1" applyFill="1" applyBorder="1" applyAlignment="1">
      <alignment horizontal="center" vertical="center" wrapText="1"/>
    </xf>
    <xf numFmtId="0" fontId="6" fillId="3" borderId="7" xfId="0" applyFont="1" applyFill="1" applyBorder="1" applyAlignment="1">
      <alignment horizontal="center"/>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vertical="top" wrapText="1"/>
    </xf>
    <xf numFmtId="0" fontId="11" fillId="2" borderId="8"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49" fontId="6"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7" fillId="0" borderId="16" xfId="0" applyNumberFormat="1" applyFont="1" applyBorder="1" applyAlignment="1">
      <alignment horizontal="center" vertical="top" wrapText="1"/>
    </xf>
    <xf numFmtId="49" fontId="13" fillId="0" borderId="0" xfId="0" applyNumberFormat="1" applyFont="1" applyAlignment="1">
      <alignment horizontal="left" vertical="top"/>
    </xf>
    <xf numFmtId="49" fontId="10" fillId="0" borderId="0" xfId="0" applyNumberFormat="1" applyFont="1" applyAlignment="1">
      <alignment horizontal="left" vertical="top"/>
    </xf>
    <xf numFmtId="0" fontId="6" fillId="0" borderId="7" xfId="0" applyFont="1" applyBorder="1" applyAlignment="1">
      <alignment horizontal="center" vertical="center" textRotation="90" wrapText="1"/>
    </xf>
    <xf numFmtId="0" fontId="11" fillId="0" borderId="21" xfId="0" applyFont="1" applyBorder="1" applyAlignment="1">
      <alignment horizontal="center" vertical="center" wrapText="1"/>
    </xf>
    <xf numFmtId="0" fontId="14" fillId="0" borderId="0" xfId="0" applyFont="1" applyAlignment="1">
      <alignment vertical="top"/>
    </xf>
    <xf numFmtId="0" fontId="11" fillId="4" borderId="37" xfId="0" applyFont="1" applyFill="1" applyBorder="1" applyAlignment="1">
      <alignment horizontal="center"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left" vertical="top"/>
    </xf>
    <xf numFmtId="0" fontId="0" fillId="7" borderId="0" xfId="0" applyFill="1"/>
    <xf numFmtId="0" fontId="7" fillId="7" borderId="0" xfId="0" applyFont="1" applyFill="1"/>
    <xf numFmtId="0" fontId="17" fillId="6" borderId="15" xfId="0" applyFont="1" applyFill="1" applyBorder="1" applyAlignment="1">
      <alignment horizontal="center" vertical="center"/>
    </xf>
    <xf numFmtId="0" fontId="17" fillId="8" borderId="15" xfId="0" applyFont="1" applyFill="1" applyBorder="1" applyAlignment="1">
      <alignment horizontal="center" vertical="center"/>
    </xf>
    <xf numFmtId="49" fontId="7" fillId="5" borderId="23" xfId="0" applyNumberFormat="1" applyFont="1" applyFill="1" applyBorder="1" applyAlignment="1">
      <alignment horizontal="center" vertical="top"/>
    </xf>
    <xf numFmtId="49" fontId="7" fillId="5" borderId="38" xfId="0" applyNumberFormat="1" applyFont="1" applyFill="1" applyBorder="1" applyAlignment="1">
      <alignment vertical="top"/>
    </xf>
    <xf numFmtId="49" fontId="7" fillId="5" borderId="34" xfId="0" applyNumberFormat="1" applyFont="1" applyFill="1" applyBorder="1" applyAlignment="1">
      <alignment vertical="top"/>
    </xf>
    <xf numFmtId="49" fontId="9" fillId="5" borderId="39" xfId="1" applyNumberFormat="1" applyFill="1" applyBorder="1" applyAlignment="1" applyProtection="1">
      <alignment horizontal="center" vertical="top" wrapText="1"/>
    </xf>
    <xf numFmtId="49" fontId="9" fillId="5" borderId="40" xfId="1" applyNumberFormat="1" applyFill="1" applyBorder="1" applyAlignment="1" applyProtection="1">
      <alignment horizontal="center" vertical="top" wrapText="1"/>
    </xf>
    <xf numFmtId="49" fontId="7" fillId="8" borderId="15" xfId="0" applyNumberFormat="1" applyFont="1" applyFill="1" applyBorder="1" applyAlignment="1">
      <alignment horizontal="center" vertical="top" wrapText="1"/>
    </xf>
    <xf numFmtId="49" fontId="7" fillId="8" borderId="15" xfId="0" quotePrefix="1" applyNumberFormat="1" applyFont="1" applyFill="1" applyBorder="1" applyAlignment="1">
      <alignment horizontal="center" vertical="top" wrapText="1"/>
    </xf>
    <xf numFmtId="0" fontId="7" fillId="8" borderId="15" xfId="0" applyFont="1" applyFill="1" applyBorder="1" applyAlignment="1">
      <alignment horizontal="center" vertical="top" wrapText="1"/>
    </xf>
    <xf numFmtId="49" fontId="7" fillId="0" borderId="14" xfId="0" applyNumberFormat="1" applyFont="1" applyBorder="1" applyAlignment="1" applyProtection="1">
      <alignment horizontal="center" vertical="top" wrapText="1"/>
      <protection locked="0"/>
    </xf>
    <xf numFmtId="49" fontId="7" fillId="0" borderId="15" xfId="0" applyNumberFormat="1" applyFont="1" applyBorder="1" applyAlignment="1" applyProtection="1">
      <alignment horizontal="center" vertical="top" wrapText="1"/>
      <protection locked="0"/>
    </xf>
    <xf numFmtId="49" fontId="7" fillId="0" borderId="15" xfId="0" applyNumberFormat="1" applyFont="1" applyBorder="1" applyAlignment="1" applyProtection="1">
      <alignment horizontal="center" vertical="top"/>
      <protection locked="0"/>
    </xf>
    <xf numFmtId="49" fontId="7" fillId="2" borderId="15" xfId="0" applyNumberFormat="1" applyFont="1" applyFill="1" applyBorder="1" applyAlignment="1" applyProtection="1">
      <alignment horizontal="center" vertical="top" wrapText="1"/>
      <protection locked="0"/>
    </xf>
    <xf numFmtId="49" fontId="7" fillId="2" borderId="15" xfId="0" applyNumberFormat="1" applyFont="1" applyFill="1" applyBorder="1" applyAlignment="1" applyProtection="1">
      <alignment horizontal="center" vertical="center" wrapText="1"/>
      <protection locked="0"/>
    </xf>
    <xf numFmtId="49" fontId="7" fillId="4" borderId="15" xfId="0" applyNumberFormat="1" applyFont="1" applyFill="1" applyBorder="1" applyAlignment="1" applyProtection="1">
      <alignment horizontal="center" vertical="top" wrapText="1" shrinkToFit="1"/>
      <protection locked="0"/>
    </xf>
    <xf numFmtId="49" fontId="6" fillId="4" borderId="15" xfId="0" applyNumberFormat="1" applyFont="1" applyFill="1" applyBorder="1" applyAlignment="1" applyProtection="1">
      <alignment horizontal="center" vertical="top" wrapText="1" shrinkToFit="1"/>
      <protection locked="0"/>
    </xf>
    <xf numFmtId="49" fontId="7" fillId="4" borderId="15" xfId="0" applyNumberFormat="1" applyFont="1" applyFill="1" applyBorder="1" applyAlignment="1" applyProtection="1">
      <alignment horizontal="center" vertical="top" wrapText="1"/>
      <protection locked="0"/>
    </xf>
    <xf numFmtId="49" fontId="7" fillId="4" borderId="14" xfId="0" applyNumberFormat="1" applyFont="1" applyFill="1" applyBorder="1" applyAlignment="1" applyProtection="1">
      <alignment horizontal="center" vertical="top" wrapText="1" shrinkToFit="1"/>
      <protection locked="0"/>
    </xf>
    <xf numFmtId="0" fontId="0" fillId="7" borderId="0" xfId="0" applyFill="1" applyAlignment="1">
      <alignment horizontal="center" vertical="center"/>
    </xf>
    <xf numFmtId="0" fontId="17" fillId="0" borderId="15"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protection locked="0"/>
    </xf>
    <xf numFmtId="0" fontId="7" fillId="0" borderId="0" xfId="0" applyFont="1" applyAlignment="1">
      <alignment horizontal="center" vertical="top" wrapText="1"/>
    </xf>
    <xf numFmtId="0" fontId="7" fillId="0" borderId="0" xfId="0" applyFont="1" applyAlignment="1">
      <alignment horizontal="left" vertical="top"/>
    </xf>
    <xf numFmtId="0" fontId="7" fillId="8" borderId="0" xfId="0" applyFont="1" applyFill="1"/>
    <xf numFmtId="0" fontId="0" fillId="8" borderId="0" xfId="0" applyFill="1"/>
    <xf numFmtId="49" fontId="24" fillId="0" borderId="0" xfId="0" applyNumberFormat="1" applyFont="1" applyAlignment="1">
      <alignment horizontal="center" vertical="top" wrapText="1"/>
    </xf>
    <xf numFmtId="0" fontId="0" fillId="9" borderId="0" xfId="0" applyFill="1"/>
    <xf numFmtId="0" fontId="19" fillId="9" borderId="0" xfId="0" applyFont="1" applyFill="1" applyAlignment="1">
      <alignment horizontal="right" vertical="center"/>
    </xf>
    <xf numFmtId="0" fontId="18" fillId="9" borderId="0" xfId="0" applyFont="1" applyFill="1" applyAlignment="1">
      <alignment horizontal="right" vertical="center"/>
    </xf>
    <xf numFmtId="0" fontId="0" fillId="9" borderId="0" xfId="0" applyFill="1" applyAlignment="1">
      <alignment horizontal="right"/>
    </xf>
    <xf numFmtId="0" fontId="18" fillId="9" borderId="0" xfId="0" applyFont="1" applyFill="1" applyAlignment="1">
      <alignment horizontal="right"/>
    </xf>
    <xf numFmtId="0" fontId="19" fillId="9" borderId="0" xfId="0" applyFont="1" applyFill="1" applyAlignment="1">
      <alignment horizontal="center" vertical="center"/>
    </xf>
    <xf numFmtId="0" fontId="18" fillId="9" borderId="0" xfId="0" applyFont="1" applyFill="1" applyAlignment="1">
      <alignment horizontal="center" vertical="center"/>
    </xf>
    <xf numFmtId="0" fontId="0" fillId="9" borderId="0" xfId="0" applyFill="1" applyAlignment="1">
      <alignment horizontal="center" vertical="center"/>
    </xf>
    <xf numFmtId="0" fontId="17" fillId="9" borderId="0" xfId="0" applyFont="1" applyFill="1" applyAlignment="1">
      <alignment horizontal="center"/>
    </xf>
    <xf numFmtId="0" fontId="25" fillId="9" borderId="0" xfId="1" applyFont="1" applyFill="1" applyAlignment="1" applyProtection="1">
      <alignment horizontal="right" vertical="center"/>
      <protection locked="0"/>
    </xf>
    <xf numFmtId="0" fontId="4" fillId="7" borderId="0" xfId="3" applyFill="1"/>
    <xf numFmtId="0" fontId="4" fillId="0" borderId="0" xfId="3"/>
    <xf numFmtId="0" fontId="26" fillId="7" borderId="0" xfId="3" applyFont="1" applyFill="1" applyAlignment="1">
      <alignment vertical="center" wrapText="1"/>
    </xf>
    <xf numFmtId="0" fontId="4" fillId="7" borderId="0" xfId="3" applyFill="1" applyAlignment="1">
      <alignment wrapText="1"/>
    </xf>
    <xf numFmtId="0" fontId="4" fillId="7" borderId="0" xfId="3" applyFill="1" applyAlignment="1">
      <alignment vertical="center" wrapText="1"/>
    </xf>
    <xf numFmtId="0" fontId="16" fillId="8" borderId="0" xfId="3" applyFont="1" applyFill="1" applyAlignment="1">
      <alignment vertical="center" wrapText="1"/>
    </xf>
    <xf numFmtId="0" fontId="4" fillId="0" borderId="0" xfId="3" applyAlignment="1">
      <alignment wrapText="1"/>
    </xf>
    <xf numFmtId="49" fontId="9" fillId="0" borderId="0" xfId="1" applyNumberFormat="1" applyAlignment="1" applyProtection="1">
      <alignment horizontal="center" vertical="center" wrapText="1"/>
      <protection locked="0"/>
    </xf>
    <xf numFmtId="165" fontId="17" fillId="8" borderId="15" xfId="0" applyNumberFormat="1" applyFont="1" applyFill="1" applyBorder="1" applyAlignment="1">
      <alignment horizontal="center" vertical="center"/>
    </xf>
    <xf numFmtId="166" fontId="17" fillId="8" borderId="15" xfId="0" applyNumberFormat="1" applyFont="1" applyFill="1" applyBorder="1" applyAlignment="1">
      <alignment horizontal="center" vertical="center"/>
    </xf>
    <xf numFmtId="0" fontId="0" fillId="7" borderId="0" xfId="0" applyFill="1" applyAlignment="1">
      <alignment horizontal="right"/>
    </xf>
    <xf numFmtId="0" fontId="0" fillId="8" borderId="0" xfId="0" applyFill="1" applyAlignment="1">
      <alignment horizontal="right"/>
    </xf>
    <xf numFmtId="10" fontId="0" fillId="8" borderId="0" xfId="0" applyNumberFormat="1" applyFill="1" applyAlignment="1">
      <alignment horizontal="right"/>
    </xf>
    <xf numFmtId="164" fontId="0" fillId="8" borderId="0" xfId="0" applyNumberFormat="1" applyFill="1" applyAlignment="1">
      <alignment horizontal="right"/>
    </xf>
    <xf numFmtId="164" fontId="17" fillId="8" borderId="15" xfId="5" applyNumberFormat="1" applyFont="1" applyFill="1" applyBorder="1" applyAlignment="1">
      <alignment horizontal="center" vertical="center"/>
    </xf>
    <xf numFmtId="0" fontId="7" fillId="7" borderId="0" xfId="0" applyFont="1" applyFill="1" applyAlignment="1">
      <alignment horizontal="right"/>
    </xf>
    <xf numFmtId="167" fontId="0" fillId="7" borderId="0" xfId="0" applyNumberFormat="1" applyFill="1"/>
    <xf numFmtId="164" fontId="0" fillId="9" borderId="0" xfId="0" applyNumberFormat="1" applyFill="1"/>
    <xf numFmtId="0" fontId="29" fillId="7" borderId="0" xfId="1" applyFont="1" applyFill="1" applyAlignment="1" applyProtection="1"/>
    <xf numFmtId="0" fontId="3" fillId="7" borderId="0" xfId="3" applyFont="1" applyFill="1" applyAlignment="1">
      <alignment vertical="center" wrapText="1"/>
    </xf>
    <xf numFmtId="0" fontId="30" fillId="7" borderId="0" xfId="1" applyFont="1" applyFill="1" applyAlignment="1" applyProtection="1">
      <alignment vertical="center" wrapText="1"/>
    </xf>
    <xf numFmtId="49" fontId="9" fillId="0" borderId="17" xfId="1" applyNumberFormat="1" applyBorder="1" applyAlignment="1" applyProtection="1">
      <alignment horizontal="center" vertical="top" wrapText="1"/>
      <protection locked="0"/>
    </xf>
    <xf numFmtId="49" fontId="9" fillId="0" borderId="13" xfId="1" applyNumberFormat="1" applyBorder="1" applyAlignment="1" applyProtection="1">
      <alignment horizontal="center" vertical="top" wrapText="1"/>
      <protection locked="0"/>
    </xf>
    <xf numFmtId="49" fontId="9" fillId="0" borderId="6" xfId="1" applyNumberFormat="1" applyBorder="1" applyAlignment="1" applyProtection="1">
      <alignment horizontal="center" vertical="top" wrapText="1"/>
      <protection locked="0"/>
    </xf>
    <xf numFmtId="49" fontId="9" fillId="0" borderId="18" xfId="1" applyNumberFormat="1" applyBorder="1" applyAlignment="1" applyProtection="1">
      <alignment horizontal="center" vertical="top" wrapText="1" shrinkToFit="1"/>
      <protection locked="0"/>
    </xf>
    <xf numFmtId="49" fontId="9" fillId="0" borderId="19" xfId="1" applyNumberFormat="1" applyBorder="1" applyAlignment="1" applyProtection="1">
      <alignment horizontal="center" vertical="top" wrapText="1" shrinkToFit="1"/>
      <protection locked="0"/>
    </xf>
    <xf numFmtId="49" fontId="9" fillId="0" borderId="20" xfId="1" applyNumberFormat="1" applyBorder="1" applyAlignment="1" applyProtection="1">
      <alignment horizontal="center" vertical="top" wrapText="1" shrinkToFit="1"/>
      <protection locked="0"/>
    </xf>
    <xf numFmtId="49" fontId="9" fillId="2" borderId="18" xfId="1" applyNumberFormat="1" applyFill="1" applyBorder="1" applyAlignment="1" applyProtection="1">
      <alignment horizontal="center" vertical="top" wrapText="1" shrinkToFit="1"/>
      <protection locked="0"/>
    </xf>
    <xf numFmtId="49" fontId="9" fillId="2" borderId="19" xfId="1" applyNumberFormat="1" applyFill="1" applyBorder="1" applyAlignment="1" applyProtection="1">
      <alignment horizontal="center" vertical="top" wrapText="1" shrinkToFit="1"/>
      <protection locked="0"/>
    </xf>
    <xf numFmtId="49" fontId="9" fillId="4" borderId="18" xfId="1" applyNumberFormat="1" applyFill="1" applyBorder="1" applyAlignment="1" applyProtection="1">
      <alignment horizontal="center" vertical="top" wrapText="1"/>
      <protection locked="0"/>
    </xf>
    <xf numFmtId="49" fontId="9" fillId="4" borderId="35" xfId="1" applyNumberFormat="1" applyFill="1" applyBorder="1" applyAlignment="1" applyProtection="1">
      <alignment horizontal="center" vertical="top" wrapText="1"/>
      <protection locked="0"/>
    </xf>
    <xf numFmtId="49" fontId="9" fillId="4" borderId="20" xfId="1" applyNumberFormat="1" applyFill="1" applyBorder="1" applyAlignment="1" applyProtection="1">
      <alignment horizontal="center" vertical="top" wrapText="1" shrinkToFit="1"/>
      <protection locked="0"/>
    </xf>
    <xf numFmtId="49" fontId="9" fillId="4" borderId="19" xfId="1" applyNumberFormat="1" applyFill="1" applyBorder="1" applyAlignment="1" applyProtection="1">
      <alignment horizontal="center" vertical="top" wrapText="1" shrinkToFit="1"/>
      <protection locked="0"/>
    </xf>
    <xf numFmtId="0" fontId="31" fillId="7" borderId="0" xfId="0" applyFont="1" applyFill="1" applyAlignment="1">
      <alignment horizontal="center"/>
    </xf>
    <xf numFmtId="0" fontId="2" fillId="7" borderId="0" xfId="3" applyFont="1" applyFill="1" applyAlignment="1">
      <alignment vertical="center" wrapText="1"/>
    </xf>
    <xf numFmtId="0" fontId="0" fillId="0" borderId="0" xfId="0" applyFill="1" applyAlignment="1">
      <alignment vertical="top"/>
    </xf>
    <xf numFmtId="0" fontId="11" fillId="0" borderId="0" xfId="0" applyFont="1" applyFill="1" applyAlignment="1">
      <alignment horizontal="center" vertical="center" wrapText="1"/>
    </xf>
    <xf numFmtId="49" fontId="9" fillId="0" borderId="22" xfId="1" applyNumberFormat="1" applyFill="1" applyBorder="1" applyAlignment="1" applyProtection="1">
      <alignment horizontal="center" vertical="top" wrapText="1"/>
      <protection locked="0"/>
    </xf>
    <xf numFmtId="49" fontId="9" fillId="0" borderId="23" xfId="1" applyNumberFormat="1" applyFill="1" applyBorder="1" applyAlignment="1" applyProtection="1">
      <alignment horizontal="center" vertical="top" wrapText="1"/>
      <protection locked="0"/>
    </xf>
    <xf numFmtId="49" fontId="9" fillId="0" borderId="24" xfId="1" applyNumberFormat="1" applyFill="1" applyBorder="1" applyAlignment="1" applyProtection="1">
      <alignment horizontal="center" vertical="top" wrapText="1"/>
      <protection locked="0"/>
    </xf>
    <xf numFmtId="49" fontId="9" fillId="4" borderId="25" xfId="1" applyNumberFormat="1" applyFill="1" applyBorder="1" applyAlignment="1" applyProtection="1">
      <alignment horizontal="center" vertical="top" wrapText="1"/>
      <protection locked="0"/>
    </xf>
    <xf numFmtId="49" fontId="9" fillId="4" borderId="34" xfId="1" applyNumberFormat="1" applyFill="1" applyBorder="1" applyAlignment="1" applyProtection="1">
      <alignment horizontal="center" vertical="top" wrapText="1"/>
      <protection locked="0"/>
    </xf>
    <xf numFmtId="49" fontId="9" fillId="4" borderId="26" xfId="1" applyNumberFormat="1" applyFill="1" applyBorder="1" applyAlignment="1" applyProtection="1">
      <alignment horizontal="center" vertical="top" wrapText="1"/>
      <protection locked="0"/>
    </xf>
    <xf numFmtId="49" fontId="9" fillId="4" borderId="8" xfId="1" applyNumberFormat="1" applyFill="1" applyBorder="1" applyAlignment="1" applyProtection="1">
      <alignment horizontal="center" vertical="top" wrapText="1"/>
      <protection locked="0"/>
    </xf>
    <xf numFmtId="49" fontId="9" fillId="0" borderId="25" xfId="1" applyNumberFormat="1" applyFill="1" applyBorder="1" applyAlignment="1" applyProtection="1">
      <alignment horizontal="center" vertical="top" wrapText="1"/>
      <protection locked="0"/>
    </xf>
    <xf numFmtId="49" fontId="9" fillId="0" borderId="26" xfId="1" applyNumberFormat="1" applyFill="1" applyBorder="1" applyAlignment="1" applyProtection="1">
      <alignment horizontal="center" vertical="top" wrapText="1"/>
      <protection locked="0"/>
    </xf>
    <xf numFmtId="49" fontId="9" fillId="0" borderId="8" xfId="1" applyNumberFormat="1" applyFill="1" applyBorder="1" applyAlignment="1" applyProtection="1">
      <alignment horizontal="center" vertical="top" wrapText="1"/>
      <protection locked="0"/>
    </xf>
    <xf numFmtId="49" fontId="9" fillId="0" borderId="26" xfId="1" applyNumberFormat="1" applyBorder="1" applyAlignment="1" applyProtection="1">
      <alignment horizontal="center" vertical="top" wrapText="1"/>
      <protection locked="0"/>
    </xf>
    <xf numFmtId="49" fontId="9" fillId="0" borderId="8" xfId="1" applyNumberFormat="1" applyBorder="1" applyAlignment="1" applyProtection="1">
      <alignment horizontal="center" vertical="top" wrapText="1"/>
      <protection locked="0"/>
    </xf>
    <xf numFmtId="49" fontId="9" fillId="2" borderId="25" xfId="1" applyNumberFormat="1" applyFill="1" applyBorder="1" applyAlignment="1" applyProtection="1">
      <alignment horizontal="center" vertical="top" wrapText="1" shrinkToFit="1"/>
      <protection locked="0"/>
    </xf>
    <xf numFmtId="49" fontId="9" fillId="2" borderId="8" xfId="1" applyNumberFormat="1" applyFill="1" applyBorder="1" applyAlignment="1" applyProtection="1">
      <alignment horizontal="center" vertical="top" wrapText="1" shrinkToFit="1"/>
      <protection locked="0"/>
    </xf>
    <xf numFmtId="49" fontId="9" fillId="2" borderId="1" xfId="1" applyNumberFormat="1" applyFill="1" applyBorder="1" applyAlignment="1" applyProtection="1">
      <alignment horizontal="center" vertical="top" wrapText="1" shrinkToFit="1"/>
      <protection locked="0"/>
    </xf>
    <xf numFmtId="49" fontId="9" fillId="2" borderId="3" xfId="1" applyNumberFormat="1" applyFill="1" applyBorder="1" applyAlignment="1" applyProtection="1">
      <alignment horizontal="center" vertical="top" wrapText="1" shrinkToFit="1"/>
      <protection locked="0"/>
    </xf>
    <xf numFmtId="49" fontId="9" fillId="0" borderId="1" xfId="1" applyNumberFormat="1" applyFill="1" applyBorder="1" applyAlignment="1" applyProtection="1">
      <alignment horizontal="center" vertical="top" wrapText="1"/>
      <protection locked="0"/>
    </xf>
    <xf numFmtId="49" fontId="9" fillId="0" borderId="3" xfId="1" applyNumberFormat="1" applyFill="1" applyBorder="1" applyAlignment="1" applyProtection="1">
      <alignment horizontal="center" vertical="top" wrapText="1"/>
      <protection locked="0"/>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0" borderId="3" xfId="0" applyFont="1" applyBorder="1" applyAlignment="1">
      <alignment horizontal="center" vertical="center" textRotation="90"/>
    </xf>
    <xf numFmtId="0" fontId="6" fillId="0" borderId="1"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6" fillId="0" borderId="3" xfId="0" applyFont="1" applyBorder="1" applyAlignment="1">
      <alignment horizontal="center" vertical="center" textRotation="90" wrapText="1"/>
    </xf>
    <xf numFmtId="0" fontId="6" fillId="3" borderId="29" xfId="0" applyFont="1" applyFill="1" applyBorder="1" applyAlignment="1">
      <alignment horizontal="center"/>
    </xf>
    <xf numFmtId="0" fontId="6" fillId="3" borderId="12" xfId="0" applyFont="1" applyFill="1" applyBorder="1" applyAlignment="1">
      <alignment horizontal="center"/>
    </xf>
    <xf numFmtId="49" fontId="11" fillId="2" borderId="25" xfId="0" applyNumberFormat="1" applyFont="1" applyFill="1" applyBorder="1" applyAlignment="1">
      <alignment horizontal="center" vertical="center" wrapText="1" shrinkToFit="1"/>
    </xf>
    <xf numFmtId="49" fontId="11" fillId="2" borderId="18" xfId="0" applyNumberFormat="1" applyFont="1" applyFill="1" applyBorder="1" applyAlignment="1">
      <alignment horizontal="center" vertical="center" wrapText="1" shrinkToFit="1"/>
    </xf>
    <xf numFmtId="49" fontId="11" fillId="4" borderId="22" xfId="0" applyNumberFormat="1" applyFont="1" applyFill="1" applyBorder="1" applyAlignment="1">
      <alignment horizontal="center" vertical="center" wrapText="1"/>
    </xf>
    <xf numFmtId="49" fontId="11" fillId="4" borderId="36" xfId="0" applyNumberFormat="1" applyFont="1" applyFill="1" applyBorder="1" applyAlignment="1">
      <alignment horizontal="center" vertical="center" wrapText="1"/>
    </xf>
    <xf numFmtId="49" fontId="11" fillId="4" borderId="27" xfId="0" applyNumberFormat="1" applyFont="1" applyFill="1" applyBorder="1" applyAlignment="1">
      <alignment horizontal="center" vertical="center" wrapText="1"/>
    </xf>
    <xf numFmtId="49" fontId="11" fillId="4" borderId="28" xfId="0" applyNumberFormat="1"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0" borderId="29" xfId="0" applyFont="1" applyBorder="1" applyAlignment="1">
      <alignment horizontal="center" vertical="center" wrapText="1"/>
    </xf>
    <xf numFmtId="0" fontId="11" fillId="0" borderId="4" xfId="0" applyFont="1" applyBorder="1" applyAlignment="1">
      <alignment horizontal="center" vertical="center" wrapText="1"/>
    </xf>
    <xf numFmtId="49" fontId="11" fillId="0" borderId="25"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8"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3"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0" fontId="1" fillId="7" borderId="0" xfId="3" applyFont="1" applyFill="1"/>
  </cellXfs>
  <cellStyles count="6">
    <cellStyle name="Hyperlink" xfId="1" builtinId="8"/>
    <cellStyle name="Link 2" xfId="4" xr:uid="{B8354043-8C76-4AF9-AED2-2D9390F546A1}"/>
    <cellStyle name="Normal" xfId="0" builtinId="0"/>
    <cellStyle name="Percent" xfId="5" builtinId="5"/>
    <cellStyle name="Standard 2" xfId="2" xr:uid="{2F841AA8-D6A2-4034-9EE3-F8D291D2E8CF}"/>
    <cellStyle name="Standard 3" xfId="3" xr:uid="{C8DA644C-D52C-4D51-BDE3-1D35B5B4E45F}"/>
  </cellStyles>
  <dxfs count="85">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ont>
        <color rgb="FF00B050"/>
      </font>
      <fill>
        <patternFill>
          <bgColor theme="2"/>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ipm.org/en/committees/cc/ccm/wg/ccm-wgft" TargetMode="External"/><Relationship Id="rId2" Type="http://schemas.openxmlformats.org/officeDocument/2006/relationships/hyperlink" Target="mailto:andy.knott@npl.co.uk" TargetMode="External"/><Relationship Id="rId1" Type="http://schemas.openxmlformats.org/officeDocument/2006/relationships/hyperlink" Target="mailto:dirk.roeske@ptb.de" TargetMode="External"/><Relationship Id="rId5" Type="http://schemas.openxmlformats.org/officeDocument/2006/relationships/printerSettings" Target="../printerSettings/printerSettings1.bin"/><Relationship Id="rId4" Type="http://schemas.openxmlformats.org/officeDocument/2006/relationships/hyperlink" Target="https://joinup.ec.europa.eu/software/page/eup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447A-B368-436B-A414-65ED53667B1A}">
  <sheetPr codeName="Tabelle100"/>
  <dimension ref="A1:C30"/>
  <sheetViews>
    <sheetView zoomScaleNormal="100" workbookViewId="0"/>
  </sheetViews>
  <sheetFormatPr defaultColWidth="11.42578125" defaultRowHeight="15" x14ac:dyDescent="0.25"/>
  <cols>
    <col min="1" max="1" width="7.140625" style="75" customWidth="1"/>
    <col min="2" max="2" width="121.42578125" style="75" customWidth="1"/>
    <col min="3" max="3" width="1.42578125" style="75" customWidth="1"/>
    <col min="4" max="16384" width="11.42578125" style="75"/>
  </cols>
  <sheetData>
    <row r="1" spans="1:3" x14ac:dyDescent="0.25">
      <c r="B1" s="74"/>
    </row>
    <row r="2" spans="1:3" ht="18.75" customHeight="1" x14ac:dyDescent="0.25">
      <c r="A2" s="74"/>
      <c r="B2" s="76" t="s">
        <v>90</v>
      </c>
    </row>
    <row r="3" spans="1:3" x14ac:dyDescent="0.25">
      <c r="A3" s="74"/>
      <c r="B3" s="159" t="s">
        <v>156</v>
      </c>
    </row>
    <row r="4" spans="1:3" x14ac:dyDescent="0.25">
      <c r="A4" s="74"/>
      <c r="B4" s="92" t="s">
        <v>154</v>
      </c>
    </row>
    <row r="5" spans="1:3" x14ac:dyDescent="0.25">
      <c r="A5" s="74"/>
      <c r="B5" s="92"/>
    </row>
    <row r="6" spans="1:3" ht="30" x14ac:dyDescent="0.25">
      <c r="A6" s="74"/>
      <c r="B6" s="77" t="s">
        <v>91</v>
      </c>
    </row>
    <row r="7" spans="1:3" x14ac:dyDescent="0.25">
      <c r="A7" s="74"/>
      <c r="B7" s="74" t="s">
        <v>92</v>
      </c>
    </row>
    <row r="8" spans="1:3" x14ac:dyDescent="0.25">
      <c r="A8" s="74"/>
      <c r="B8" s="92" t="s">
        <v>93</v>
      </c>
    </row>
    <row r="9" spans="1:3" ht="30" x14ac:dyDescent="0.25">
      <c r="A9" s="74"/>
      <c r="B9" s="77" t="s">
        <v>94</v>
      </c>
    </row>
    <row r="10" spans="1:3" x14ac:dyDescent="0.25">
      <c r="A10" s="74"/>
      <c r="B10" s="74" t="s">
        <v>95</v>
      </c>
    </row>
    <row r="11" spans="1:3" x14ac:dyDescent="0.25">
      <c r="A11" s="74"/>
      <c r="B11" s="74"/>
      <c r="C11" s="74"/>
    </row>
    <row r="12" spans="1:3" ht="18.75" x14ac:dyDescent="0.25">
      <c r="A12" s="74"/>
      <c r="B12" s="76" t="s">
        <v>96</v>
      </c>
    </row>
    <row r="13" spans="1:3" x14ac:dyDescent="0.25">
      <c r="A13" s="74"/>
      <c r="B13" s="78"/>
    </row>
    <row r="14" spans="1:3" x14ac:dyDescent="0.25">
      <c r="A14" s="74"/>
      <c r="B14" s="79" t="s">
        <v>97</v>
      </c>
    </row>
    <row r="15" spans="1:3" x14ac:dyDescent="0.25">
      <c r="A15" s="74"/>
      <c r="B15" s="78" t="s">
        <v>98</v>
      </c>
    </row>
    <row r="16" spans="1:3" x14ac:dyDescent="0.25">
      <c r="A16" s="74"/>
      <c r="B16" s="78" t="s">
        <v>105</v>
      </c>
    </row>
    <row r="17" spans="1:2" x14ac:dyDescent="0.25">
      <c r="A17" s="74"/>
      <c r="B17" s="78"/>
    </row>
    <row r="18" spans="1:2" x14ac:dyDescent="0.25">
      <c r="A18" s="74"/>
      <c r="B18" s="79" t="s">
        <v>99</v>
      </c>
    </row>
    <row r="19" spans="1:2" ht="45" x14ac:dyDescent="0.25">
      <c r="A19" s="74"/>
      <c r="B19" s="108" t="s">
        <v>153</v>
      </c>
    </row>
    <row r="20" spans="1:2" x14ac:dyDescent="0.25">
      <c r="A20" s="74"/>
      <c r="B20" s="78"/>
    </row>
    <row r="21" spans="1:2" x14ac:dyDescent="0.25">
      <c r="A21" s="74"/>
      <c r="B21" s="79" t="s">
        <v>100</v>
      </c>
    </row>
    <row r="22" spans="1:2" ht="30" x14ac:dyDescent="0.25">
      <c r="A22" s="74"/>
      <c r="B22" s="78" t="s">
        <v>104</v>
      </c>
    </row>
    <row r="23" spans="1:2" x14ac:dyDescent="0.25">
      <c r="A23" s="74"/>
      <c r="B23" s="78"/>
    </row>
    <row r="24" spans="1:2" x14ac:dyDescent="0.25">
      <c r="A24" s="74"/>
      <c r="B24" s="93" t="s">
        <v>102</v>
      </c>
    </row>
    <row r="25" spans="1:2" x14ac:dyDescent="0.25">
      <c r="A25" s="74"/>
      <c r="B25" s="93" t="s">
        <v>103</v>
      </c>
    </row>
    <row r="26" spans="1:2" x14ac:dyDescent="0.25">
      <c r="A26" s="74"/>
      <c r="B26" s="94" t="s">
        <v>106</v>
      </c>
    </row>
    <row r="27" spans="1:2" x14ac:dyDescent="0.25">
      <c r="A27" s="74"/>
      <c r="B27" s="108" t="s">
        <v>155</v>
      </c>
    </row>
    <row r="28" spans="1:2" x14ac:dyDescent="0.25">
      <c r="A28" s="74"/>
      <c r="B28" s="94" t="s">
        <v>101</v>
      </c>
    </row>
    <row r="29" spans="1:2" x14ac:dyDescent="0.25">
      <c r="A29" s="74"/>
      <c r="B29" s="78"/>
    </row>
    <row r="30" spans="1:2" x14ac:dyDescent="0.25">
      <c r="B30" s="80"/>
    </row>
  </sheetData>
  <phoneticPr fontId="23" type="noConversion"/>
  <hyperlinks>
    <hyperlink ref="B28" r:id="rId1" xr:uid="{90740F99-2C58-4481-AEB4-5165476542ED}"/>
    <hyperlink ref="B26" r:id="rId2" xr:uid="{EE2F6509-FEE7-4ED5-826A-091F41174B47}"/>
    <hyperlink ref="B4" r:id="rId3" xr:uid="{FFE4F752-6447-43CF-9EAB-0E22C08ABF41}"/>
    <hyperlink ref="B8" r:id="rId4" xr:uid="{67054DD0-98F4-424F-A0F7-BB03857C3BD7}"/>
  </hyperlinks>
  <pageMargins left="0.70866141732283472" right="0.70866141732283472" top="0.78740157480314965" bottom="0.78740157480314965"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W23"/>
  <sheetViews>
    <sheetView tabSelected="1" workbookViewId="0">
      <selection activeCell="A6" sqref="A6"/>
    </sheetView>
  </sheetViews>
  <sheetFormatPr defaultColWidth="11.42578125" defaultRowHeight="12.75" x14ac:dyDescent="0.2"/>
  <cols>
    <col min="1" max="1" width="12.5703125" style="25" customWidth="1"/>
    <col min="2" max="7" width="11.42578125" style="25"/>
    <col min="8" max="8" width="14.28515625" style="25" customWidth="1"/>
    <col min="9" max="9" width="22.85546875" style="25" customWidth="1"/>
    <col min="10" max="12" width="11.42578125" style="25"/>
    <col min="13" max="13" width="10.140625" style="25" bestFit="1" customWidth="1"/>
    <col min="14" max="14" width="10.140625" style="25" customWidth="1"/>
    <col min="15" max="15" width="18.42578125" style="25" customWidth="1"/>
    <col min="16" max="16" width="10" style="25" bestFit="1" customWidth="1"/>
    <col min="17" max="18" width="22.28515625" style="25" customWidth="1"/>
    <col min="19" max="16384" width="11.42578125" style="25"/>
  </cols>
  <sheetData>
    <row r="1" spans="1:23" ht="15.75" x14ac:dyDescent="0.2">
      <c r="A1" s="28" t="s">
        <v>75</v>
      </c>
      <c r="E1" s="24"/>
      <c r="F1" s="24"/>
      <c r="I1" s="59"/>
    </row>
    <row r="2" spans="1:23" ht="13.5" thickBot="1" x14ac:dyDescent="0.25">
      <c r="E2" s="24"/>
      <c r="F2" s="24"/>
    </row>
    <row r="3" spans="1:23" ht="42" customHeight="1" x14ac:dyDescent="0.2">
      <c r="A3" s="111" t="s">
        <v>6</v>
      </c>
      <c r="B3" s="112"/>
      <c r="C3" s="113"/>
      <c r="D3" s="118" t="s">
        <v>7</v>
      </c>
      <c r="E3" s="119"/>
      <c r="F3" s="120"/>
      <c r="G3" s="118" t="s">
        <v>9</v>
      </c>
      <c r="H3" s="120"/>
      <c r="I3" s="118" t="s">
        <v>8</v>
      </c>
      <c r="J3" s="121"/>
      <c r="K3" s="121"/>
      <c r="L3" s="121"/>
      <c r="M3" s="122"/>
      <c r="O3" s="123" t="s">
        <v>4</v>
      </c>
      <c r="P3" s="124"/>
      <c r="Q3" s="125" t="s">
        <v>18</v>
      </c>
      <c r="R3" s="127" t="s">
        <v>46</v>
      </c>
      <c r="S3" s="114" t="s">
        <v>22</v>
      </c>
      <c r="T3" s="115"/>
      <c r="U3" s="116"/>
      <c r="V3" s="116"/>
      <c r="W3" s="117"/>
    </row>
    <row r="4" spans="1:23" ht="64.5" thickBot="1" x14ac:dyDescent="0.25">
      <c r="A4" s="95" t="s">
        <v>52</v>
      </c>
      <c r="B4" s="96" t="s">
        <v>15</v>
      </c>
      <c r="C4" s="97" t="s">
        <v>0</v>
      </c>
      <c r="D4" s="95" t="s">
        <v>12</v>
      </c>
      <c r="E4" s="96" t="s">
        <v>13</v>
      </c>
      <c r="F4" s="97" t="s">
        <v>1</v>
      </c>
      <c r="G4" s="98" t="s">
        <v>2</v>
      </c>
      <c r="H4" s="99" t="s">
        <v>5</v>
      </c>
      <c r="I4" s="98" t="s">
        <v>3</v>
      </c>
      <c r="J4" s="100" t="s">
        <v>1</v>
      </c>
      <c r="K4" s="100" t="s">
        <v>19</v>
      </c>
      <c r="L4" s="100" t="s">
        <v>14</v>
      </c>
      <c r="M4" s="99" t="s">
        <v>23</v>
      </c>
      <c r="N4" s="63" t="s">
        <v>84</v>
      </c>
      <c r="O4" s="101" t="s">
        <v>10</v>
      </c>
      <c r="P4" s="102" t="s">
        <v>11</v>
      </c>
      <c r="Q4" s="126"/>
      <c r="R4" s="128"/>
      <c r="S4" s="103" t="s">
        <v>17</v>
      </c>
      <c r="T4" s="104" t="s">
        <v>53</v>
      </c>
      <c r="U4" s="105" t="s">
        <v>16</v>
      </c>
      <c r="V4" s="105" t="s">
        <v>20</v>
      </c>
      <c r="W4" s="106" t="s">
        <v>21</v>
      </c>
    </row>
    <row r="5" spans="1:23" x14ac:dyDescent="0.2">
      <c r="A5" s="40"/>
      <c r="B5" s="39" t="s">
        <v>82</v>
      </c>
      <c r="C5" s="41"/>
      <c r="I5" s="59"/>
    </row>
    <row r="6" spans="1:23" ht="39.950000000000003" customHeight="1" x14ac:dyDescent="0.2">
      <c r="A6" s="47"/>
      <c r="B6" s="47"/>
      <c r="C6" s="44"/>
      <c r="D6" s="48"/>
      <c r="E6" s="48"/>
      <c r="F6" s="48"/>
      <c r="G6" s="48"/>
      <c r="H6" s="46" t="str">
        <f>IF(G6="","","incremental only")</f>
        <v/>
      </c>
      <c r="I6" s="49"/>
      <c r="J6" s="46" t="str">
        <f>IF(I6="","",
    IF(
        AND(ISERROR(FIND("F",SUBSTITUTE(I6," ",""))),ISERROR(FIND("N",SUBSTITUTE(I6," ","")))),
        "%",
        IF(AND(ISERROR(FIND("N/F",SUBSTITUTE(I6," ",""))),ISERROR(FIND("F/N",SUBSTITUTE(I6," ","")))),
            "N",
            "%"
        )
    )
)</f>
        <v/>
      </c>
      <c r="K6" s="44" t="s">
        <v>86</v>
      </c>
      <c r="L6" s="45" t="s">
        <v>57</v>
      </c>
      <c r="M6" s="46" t="str">
        <f>IF(OR(J6="%",J6=""),"Yes","No")</f>
        <v>Yes</v>
      </c>
      <c r="N6" s="81" t="s">
        <v>109</v>
      </c>
      <c r="O6" s="50"/>
      <c r="P6" s="50"/>
      <c r="Q6" s="51"/>
      <c r="R6" s="48"/>
      <c r="S6" s="52"/>
      <c r="T6" s="52"/>
      <c r="U6" s="52"/>
      <c r="V6" s="53"/>
      <c r="W6" s="54"/>
    </row>
    <row r="7" spans="1:23" ht="39.950000000000003" customHeight="1" x14ac:dyDescent="0.2">
      <c r="A7" s="47"/>
      <c r="B7" s="47"/>
      <c r="C7" s="44"/>
      <c r="D7" s="48"/>
      <c r="E7" s="48"/>
      <c r="F7" s="48"/>
      <c r="G7" s="48"/>
      <c r="H7" s="46" t="str">
        <f t="shared" ref="H7:H10" si="0">IF(G7="","","incremental only")</f>
        <v/>
      </c>
      <c r="I7" s="48"/>
      <c r="J7" s="46" t="str">
        <f t="shared" ref="J7:J10" si="1">IF(I7="","",
    IF(
        AND(ISERROR(FIND("F",SUBSTITUTE(I7," ",""))),ISERROR(FIND("N",SUBSTITUTE(I7," ","")))),
        "%",
        IF(AND(ISERROR(FIND("N/F",SUBSTITUTE(I7," ",""))),ISERROR(FIND("F/N",SUBSTITUTE(I7," ","")))),
            "N",
            "%"
        )
    )
)</f>
        <v/>
      </c>
      <c r="K7" s="44">
        <v>2</v>
      </c>
      <c r="L7" s="45" t="s">
        <v>57</v>
      </c>
      <c r="M7" s="46" t="str">
        <f t="shared" ref="M7:M10" si="2">IF(OR(J7="%",J7=""),"Yes","No")</f>
        <v>Yes</v>
      </c>
      <c r="N7" s="81" t="s">
        <v>110</v>
      </c>
      <c r="O7" s="50"/>
      <c r="P7" s="50"/>
      <c r="Q7" s="51"/>
      <c r="R7" s="48"/>
      <c r="S7" s="55"/>
      <c r="T7" s="52"/>
      <c r="U7" s="55"/>
      <c r="V7" s="53"/>
      <c r="W7" s="54"/>
    </row>
    <row r="8" spans="1:23" ht="39.950000000000003" customHeight="1" x14ac:dyDescent="0.2">
      <c r="A8" s="47"/>
      <c r="B8" s="47"/>
      <c r="C8" s="44"/>
      <c r="D8" s="48"/>
      <c r="E8" s="48"/>
      <c r="F8" s="48"/>
      <c r="G8" s="48"/>
      <c r="H8" s="46" t="str">
        <f t="shared" si="0"/>
        <v/>
      </c>
      <c r="I8" s="48"/>
      <c r="J8" s="46" t="str">
        <f t="shared" si="1"/>
        <v/>
      </c>
      <c r="K8" s="44">
        <v>2</v>
      </c>
      <c r="L8" s="45" t="s">
        <v>57</v>
      </c>
      <c r="M8" s="46" t="str">
        <f t="shared" si="2"/>
        <v>Yes</v>
      </c>
      <c r="N8" s="81" t="s">
        <v>111</v>
      </c>
      <c r="O8" s="50"/>
      <c r="P8" s="50"/>
      <c r="Q8" s="51"/>
      <c r="R8" s="48"/>
      <c r="S8" s="55"/>
      <c r="T8" s="52"/>
      <c r="U8" s="55"/>
      <c r="V8" s="53"/>
      <c r="W8" s="54"/>
    </row>
    <row r="9" spans="1:23" ht="39.950000000000003" customHeight="1" x14ac:dyDescent="0.2">
      <c r="A9" s="47"/>
      <c r="B9" s="47"/>
      <c r="C9" s="44"/>
      <c r="D9" s="48"/>
      <c r="E9" s="48"/>
      <c r="F9" s="48"/>
      <c r="G9" s="48"/>
      <c r="H9" s="46" t="str">
        <f t="shared" si="0"/>
        <v/>
      </c>
      <c r="I9" s="48"/>
      <c r="J9" s="46" t="str">
        <f t="shared" si="1"/>
        <v/>
      </c>
      <c r="K9" s="44">
        <v>2</v>
      </c>
      <c r="L9" s="45" t="s">
        <v>57</v>
      </c>
      <c r="M9" s="46" t="str">
        <f t="shared" si="2"/>
        <v>Yes</v>
      </c>
      <c r="N9" s="81" t="s">
        <v>112</v>
      </c>
      <c r="O9" s="50"/>
      <c r="P9" s="50"/>
      <c r="Q9" s="51"/>
      <c r="R9" s="48"/>
      <c r="S9" s="55"/>
      <c r="T9" s="52"/>
      <c r="U9" s="55"/>
      <c r="V9" s="53"/>
      <c r="W9" s="54"/>
    </row>
    <row r="10" spans="1:23" ht="39.950000000000003" customHeight="1" thickBot="1" x14ac:dyDescent="0.25">
      <c r="A10" s="47"/>
      <c r="B10" s="47"/>
      <c r="C10" s="44"/>
      <c r="D10" s="48"/>
      <c r="E10" s="48"/>
      <c r="F10" s="48"/>
      <c r="G10" s="48"/>
      <c r="H10" s="46" t="str">
        <f t="shared" si="0"/>
        <v/>
      </c>
      <c r="I10" s="48"/>
      <c r="J10" s="46" t="str">
        <f t="shared" si="1"/>
        <v/>
      </c>
      <c r="K10" s="44">
        <v>2</v>
      </c>
      <c r="L10" s="45" t="s">
        <v>57</v>
      </c>
      <c r="M10" s="46" t="str">
        <f t="shared" si="2"/>
        <v>Yes</v>
      </c>
      <c r="N10" s="81" t="s">
        <v>113</v>
      </c>
      <c r="O10" s="50"/>
      <c r="P10" s="50"/>
      <c r="Q10" s="51"/>
      <c r="R10" s="48"/>
      <c r="S10" s="55"/>
      <c r="T10" s="52"/>
      <c r="U10" s="55"/>
      <c r="V10" s="53"/>
      <c r="W10" s="54"/>
    </row>
    <row r="11" spans="1:23" x14ac:dyDescent="0.2">
      <c r="A11" s="43"/>
      <c r="B11" s="39" t="s">
        <v>83</v>
      </c>
      <c r="C11" s="42"/>
      <c r="I11" s="59"/>
      <c r="Q11" s="33"/>
    </row>
    <row r="12" spans="1:23" ht="39.950000000000003" customHeight="1" x14ac:dyDescent="0.2">
      <c r="A12" s="46" t="str">
        <f>IF(B12="","","Torque")</f>
        <v/>
      </c>
      <c r="B12" s="47"/>
      <c r="C12" s="44"/>
      <c r="D12" s="48"/>
      <c r="E12" s="48"/>
      <c r="F12" s="48"/>
      <c r="G12" s="46" t="str">
        <f>IF(H12="","","Torque application mode")</f>
        <v/>
      </c>
      <c r="H12" s="48"/>
      <c r="I12" s="49"/>
      <c r="J12" s="46" t="str">
        <f>IF(I12="","",
    IF(
        AND(ISERROR(FIND("T",SUBSTITUTE(I12," ",""))),ISERROR(FIND("Nm",SUBSTITUTE(I12," ","")))),
        "%",
        IF(AND(ISERROR(FIND("Nm/T",SUBSTITUTE(I12," ",""))),ISERROR(FIND("T/(Nm)",SUBSTITUTE(I12," ","")))),
            "N m",
            "%"
        )
    )
)</f>
        <v/>
      </c>
      <c r="K12" s="44">
        <v>2</v>
      </c>
      <c r="L12" s="45" t="s">
        <v>57</v>
      </c>
      <c r="M12" s="46" t="str">
        <f>IF(OR(J12="%",J12=""),"Yes","No")</f>
        <v>Yes</v>
      </c>
      <c r="N12" s="81" t="s">
        <v>114</v>
      </c>
      <c r="O12" s="50"/>
      <c r="P12" s="51"/>
      <c r="Q12" s="51"/>
      <c r="R12" s="48"/>
      <c r="S12" s="52"/>
      <c r="T12" s="52"/>
      <c r="U12" s="52"/>
      <c r="V12" s="53"/>
      <c r="W12" s="54"/>
    </row>
    <row r="13" spans="1:23" ht="39.950000000000003" customHeight="1" x14ac:dyDescent="0.2">
      <c r="A13" s="46" t="str">
        <f t="shared" ref="A13:A16" si="3">IF(B13="","","Torque")</f>
        <v/>
      </c>
      <c r="B13" s="47"/>
      <c r="C13" s="44"/>
      <c r="D13" s="48"/>
      <c r="E13" s="48"/>
      <c r="F13" s="48"/>
      <c r="G13" s="46" t="str">
        <f t="shared" ref="G13:G16" si="4">IF(H13="","","Torque application mode")</f>
        <v/>
      </c>
      <c r="H13" s="48"/>
      <c r="I13" s="48"/>
      <c r="J13" s="46" t="str">
        <f t="shared" ref="J13:J16" si="5">IF(I13="","",
    IF(
        AND(ISERROR(FIND("T",SUBSTITUTE(I13," ",""))),ISERROR(FIND("Nm",SUBSTITUTE(I13," ","")))),
        "%",
        IF(AND(ISERROR(FIND("Nm/T",SUBSTITUTE(I13," ",""))),ISERROR(FIND("T/(Nm)",SUBSTITUTE(I13," ","")))),
            "N m",
            "%"
        )
    )
)</f>
        <v/>
      </c>
      <c r="K13" s="44">
        <v>2</v>
      </c>
      <c r="L13" s="45" t="s">
        <v>57</v>
      </c>
      <c r="M13" s="46" t="str">
        <f t="shared" ref="M13:M16" si="6">IF(OR(J13="%",J13=""),"Yes","No")</f>
        <v>Yes</v>
      </c>
      <c r="N13" s="81" t="s">
        <v>115</v>
      </c>
      <c r="O13" s="50"/>
      <c r="P13" s="51"/>
      <c r="Q13" s="51"/>
      <c r="R13" s="48"/>
      <c r="S13" s="52"/>
      <c r="T13" s="52"/>
      <c r="U13" s="52"/>
      <c r="V13" s="53"/>
      <c r="W13" s="54"/>
    </row>
    <row r="14" spans="1:23" ht="39.950000000000003" customHeight="1" x14ac:dyDescent="0.2">
      <c r="A14" s="46" t="str">
        <f t="shared" si="3"/>
        <v/>
      </c>
      <c r="B14" s="47"/>
      <c r="C14" s="44"/>
      <c r="D14" s="48"/>
      <c r="E14" s="48"/>
      <c r="F14" s="48"/>
      <c r="G14" s="46" t="str">
        <f t="shared" si="4"/>
        <v/>
      </c>
      <c r="H14" s="48"/>
      <c r="I14" s="48"/>
      <c r="J14" s="46" t="str">
        <f t="shared" si="5"/>
        <v/>
      </c>
      <c r="K14" s="44">
        <v>2</v>
      </c>
      <c r="L14" s="45" t="s">
        <v>57</v>
      </c>
      <c r="M14" s="46" t="str">
        <f t="shared" si="6"/>
        <v>Yes</v>
      </c>
      <c r="N14" s="81" t="s">
        <v>116</v>
      </c>
      <c r="O14" s="50"/>
      <c r="P14" s="51"/>
      <c r="Q14" s="51"/>
      <c r="R14" s="48"/>
      <c r="S14" s="52"/>
      <c r="T14" s="52"/>
      <c r="U14" s="52"/>
      <c r="V14" s="53"/>
      <c r="W14" s="54"/>
    </row>
    <row r="15" spans="1:23" ht="39.950000000000003" customHeight="1" x14ac:dyDescent="0.2">
      <c r="A15" s="46" t="str">
        <f t="shared" si="3"/>
        <v/>
      </c>
      <c r="B15" s="47"/>
      <c r="C15" s="44"/>
      <c r="D15" s="48"/>
      <c r="E15" s="48"/>
      <c r="F15" s="48"/>
      <c r="G15" s="46" t="str">
        <f t="shared" si="4"/>
        <v/>
      </c>
      <c r="H15" s="48"/>
      <c r="I15" s="48"/>
      <c r="J15" s="46" t="str">
        <f t="shared" si="5"/>
        <v/>
      </c>
      <c r="K15" s="44">
        <v>2</v>
      </c>
      <c r="L15" s="45" t="s">
        <v>57</v>
      </c>
      <c r="M15" s="46" t="str">
        <f t="shared" si="6"/>
        <v>Yes</v>
      </c>
      <c r="N15" s="81" t="s">
        <v>117</v>
      </c>
      <c r="O15" s="50"/>
      <c r="P15" s="51"/>
      <c r="Q15" s="51"/>
      <c r="R15" s="48"/>
      <c r="S15" s="52"/>
      <c r="T15" s="52"/>
      <c r="U15" s="52"/>
      <c r="V15" s="53"/>
      <c r="W15" s="54"/>
    </row>
    <row r="16" spans="1:23" ht="39.950000000000003" customHeight="1" x14ac:dyDescent="0.2">
      <c r="A16" s="46" t="str">
        <f t="shared" si="3"/>
        <v/>
      </c>
      <c r="B16" s="47"/>
      <c r="C16" s="44"/>
      <c r="D16" s="48"/>
      <c r="E16" s="48"/>
      <c r="F16" s="48"/>
      <c r="G16" s="46" t="str">
        <f t="shared" si="4"/>
        <v/>
      </c>
      <c r="H16" s="48"/>
      <c r="I16" s="48"/>
      <c r="J16" s="46" t="str">
        <f t="shared" si="5"/>
        <v/>
      </c>
      <c r="K16" s="44">
        <v>2</v>
      </c>
      <c r="L16" s="45" t="s">
        <v>57</v>
      </c>
      <c r="M16" s="46" t="str">
        <f t="shared" si="6"/>
        <v>Yes</v>
      </c>
      <c r="N16" s="81" t="s">
        <v>118</v>
      </c>
      <c r="O16" s="50"/>
      <c r="P16" s="51"/>
      <c r="Q16" s="51"/>
      <c r="R16" s="48"/>
      <c r="S16" s="52"/>
      <c r="T16" s="52"/>
      <c r="U16" s="52"/>
      <c r="V16" s="53"/>
      <c r="W16" s="54"/>
    </row>
    <row r="18" spans="1:4" ht="15.75" x14ac:dyDescent="0.2">
      <c r="A18" s="27" t="s">
        <v>40</v>
      </c>
    </row>
    <row r="19" spans="1:4" ht="15.75" x14ac:dyDescent="0.2">
      <c r="A19" s="27" t="s">
        <v>41</v>
      </c>
      <c r="D19" s="26"/>
    </row>
    <row r="22" spans="1:4" x14ac:dyDescent="0.2">
      <c r="A22" s="60"/>
    </row>
    <row r="23" spans="1:4" x14ac:dyDescent="0.2">
      <c r="A23" s="34"/>
    </row>
  </sheetData>
  <sheetProtection algorithmName="SHA-512" hashValue="vdKHwU7jpKEz1+eaGVcV8XMGV9iFfjtmDcjvxx7LIMxblP+SZ1W5ENiQOQyfA3eHO7Z0ciLvjFryORnUHuCDrw==" saltValue="LRcmHuQ4JRD/NrACOQ9VFA==" spinCount="100000" sheet="1" selectLockedCells="1"/>
  <mergeCells count="8">
    <mergeCell ref="A3:C3"/>
    <mergeCell ref="S3:W3"/>
    <mergeCell ref="D3:F3"/>
    <mergeCell ref="G3:H3"/>
    <mergeCell ref="I3:M3"/>
    <mergeCell ref="O3:P3"/>
    <mergeCell ref="Q3:Q4"/>
    <mergeCell ref="R3:R4"/>
  </mergeCells>
  <phoneticPr fontId="8" type="noConversion"/>
  <dataValidations count="7">
    <dataValidation type="list" allowBlank="1" showInputMessage="1" showErrorMessage="1" sqref="A6:A10" xr:uid="{94BDD1A3-F346-424C-A456-5D8CD5103A78}">
      <formula1>"Force - tension and compression,Force - tension only,Force - compression only"</formula1>
    </dataValidation>
    <dataValidation type="list" allowBlank="1" showInputMessage="1" showErrorMessage="1" sqref="F6:F10" xr:uid="{0CC72EB8-86CA-4D34-BD47-A906941188A8}">
      <formula1>"mN,N,kN,MN"</formula1>
    </dataValidation>
    <dataValidation type="list" allowBlank="1" showInputMessage="1" showErrorMessage="1" sqref="G6:G10" xr:uid="{916E0583-DDA4-48EF-B0A0-3052B943BBCE}">
      <formula1>"Force application mode"</formula1>
    </dataValidation>
    <dataValidation type="list" allowBlank="1" showInputMessage="1" showErrorMessage="1" sqref="B12:B16" xr:uid="{7A56E8E1-B808-4385-87A6-F5B47558E43B}">
      <formula1>"Torque measuring device,Reference torque wrench,Torque tools calibration equipment"</formula1>
    </dataValidation>
    <dataValidation type="list" allowBlank="1" showInputMessage="1" showErrorMessage="1" sqref="F12:F16" xr:uid="{FA51DC96-9993-4F1C-8EF9-308C45DF0849}">
      <formula1>"mN m,N m,kN m,MN m"</formula1>
    </dataValidation>
    <dataValidation type="list" allowBlank="1" showInputMessage="1" showErrorMessage="1" sqref="H12:H16" xr:uid="{3EACDB4E-B56C-4465-A3E3-A1E0EDB84A61}">
      <formula1>"incremental only,clockwise only,incremental only and clockwise only"</formula1>
    </dataValidation>
    <dataValidation type="list" allowBlank="1" showInputMessage="1" showErrorMessage="1" sqref="B6:B10" xr:uid="{B9FE02A7-3CF4-41CC-8F14-8075EF949557}">
      <formula1>"Force measuring device,Force calibration machine"</formula1>
    </dataValidation>
  </dataValidations>
  <hyperlinks>
    <hyperlink ref="A4" location="'Field descriptions'!E5" display="Quantity/ Class" xr:uid="{00000000-0004-0000-0000-000000000000}"/>
    <hyperlink ref="B4" location="'Field descriptions'!E6" display="Instrument or Artifact" xr:uid="{00000000-0004-0000-0000-000001000000}"/>
    <hyperlink ref="C4" location="'Field descriptions'!E7" display="Instrument Type or Method" xr:uid="{00000000-0004-0000-0000-000002000000}"/>
    <hyperlink ref="D3:F3" location="'Field descriptions'!C9" display="Measurand Level or Range" xr:uid="{00000000-0004-0000-0000-000003000000}"/>
    <hyperlink ref="D4" location="'Field descriptions'!E9" display="Minimum value" xr:uid="{00000000-0004-0000-0000-000004000000}"/>
    <hyperlink ref="E4" location="'Field descriptions'!E9" display="Maximum value" xr:uid="{00000000-0004-0000-0000-000005000000}"/>
    <hyperlink ref="F4" location="'Field descriptions'!E9" display="Units" xr:uid="{00000000-0004-0000-0000-000006000000}"/>
    <hyperlink ref="G3:H3" location="'Field descriptions'!C12" display="Measurement Conditions/Independent Variable" xr:uid="{00000000-0004-0000-0000-000007000000}"/>
    <hyperlink ref="G4" location="'Field descriptions'!E12" display="Parameter" xr:uid="{00000000-0004-0000-0000-000008000000}"/>
    <hyperlink ref="H4" location="'Field descriptions'!E12" display="Specifications" xr:uid="{00000000-0004-0000-0000-000009000000}"/>
    <hyperlink ref="I3:M3" location="'Field descriptions'!C14" display="Expanded Uncertainty" xr:uid="{00000000-0004-0000-0000-00000A000000}"/>
    <hyperlink ref="I4" location="'Field descriptions'!E14" display="Value" xr:uid="{00000000-0004-0000-0000-00000B000000}"/>
    <hyperlink ref="J4" location="'Field descriptions'!E14" display="Units" xr:uid="{00000000-0004-0000-0000-00000C000000}"/>
    <hyperlink ref="K4" location="'Field descriptions'!E16" display="Coverage Factor" xr:uid="{00000000-0004-0000-0000-00000D000000}"/>
    <hyperlink ref="L4" location="'Field descriptions'!E16" display="Level of Confidence" xr:uid="{00000000-0004-0000-0000-00000E000000}"/>
    <hyperlink ref="M4" location="'Field descriptions'!E17" display="Is the expanded uncertainty a relative one?" xr:uid="{00000000-0004-0000-0000-00000F000000}"/>
    <hyperlink ref="O3:P3" location="'Field descriptions'!C19" display="Reference Standard used in calibration" xr:uid="{00000000-0004-0000-0000-000010000000}"/>
    <hyperlink ref="O4" location="'Field descriptions'!E18" display="Standard" xr:uid="{00000000-0004-0000-0000-000011000000}"/>
    <hyperlink ref="P4" location="'Field descriptions'!E19" display="Source of traceability" xr:uid="{00000000-0004-0000-0000-000012000000}"/>
    <hyperlink ref="Q3:Q4" location="'Field descriptions'!E20" display="List of Comparisons supporting this measurement/        calibration service" xr:uid="{00000000-0004-0000-0000-000013000000}"/>
    <hyperlink ref="R3:R4" location="'Field descriptions'!E21" display="Comments to be published via the web page" xr:uid="{00000000-0004-0000-0000-000014000000}"/>
    <hyperlink ref="S3:W3" location="'Field descriptions'!C23" display="Administration" xr:uid="{00000000-0004-0000-0000-000015000000}"/>
    <hyperlink ref="S4" location="'Field descriptions'!E22" display="NMI Service Identifier" xr:uid="{00000000-0004-0000-0000-000016000000}"/>
    <hyperlink ref="U4" location="'Field descriptions'!E23" display="NMI" xr:uid="{00000000-0004-0000-0000-000017000000}"/>
    <hyperlink ref="V4" location="'Field descriptions'!E24" display="Review Status" xr:uid="{00000000-0004-0000-0000-000018000000}"/>
    <hyperlink ref="W4" location="'Field descriptions'!E25" display="Review Comments" xr:uid="{00000000-0004-0000-0000-000019000000}"/>
    <hyperlink ref="A3:C3" location="'Field descriptions'!C5" display="Calibration or Measurement Service" xr:uid="{00000000-0004-0000-0000-00001A000000}"/>
    <hyperlink ref="T4" location="'Field descriptions'!D23" display="Service Category" xr:uid="{00000000-0004-0000-0000-00001C000000}"/>
    <hyperlink ref="N6" location="Evidence!C5" display="F1" xr:uid="{EE2CF019-D9D5-4AAA-8290-EF9E4599ED07}"/>
    <hyperlink ref="N7" location="Evidence!E5" display="F2" xr:uid="{6277E275-1401-4EC9-83BE-F9D590CACDB2}"/>
    <hyperlink ref="N8" location="Evidence!G5" display="F3" xr:uid="{25AFCD84-F3DD-4062-BC30-E3FA8B66C861}"/>
    <hyperlink ref="N9" location="Evidence!I5" display="F4" xr:uid="{29440A3B-636B-4C1A-8E5D-420B5096DF0C}"/>
    <hyperlink ref="N10" location="Evidence!K5" display="F5" xr:uid="{EF65BEED-3A5F-4781-96F9-F70FA9508FF7}"/>
    <hyperlink ref="N12" location="Evidence!M5" display="T1" xr:uid="{42C129C1-BBB5-448A-BDFA-330BC50374CA}"/>
    <hyperlink ref="N13:N16" location="Evidence!A1" display="T1" xr:uid="{97D19495-D5CA-4ECD-B27D-7DC3C2300714}"/>
    <hyperlink ref="N13" location="Evidence!O5" display="T2" xr:uid="{57E0BF83-9137-4B65-A611-8645DB17771B}"/>
    <hyperlink ref="N14" location="Evidence!Q5" display="T3" xr:uid="{BA44B4AE-468E-4BE8-8D43-E0511E70A146}"/>
    <hyperlink ref="N15" location="Evidence!S5" display="T4" xr:uid="{A69A0C59-29BA-4007-A61B-6651E58A0D3C}"/>
    <hyperlink ref="N16" location="Evidence!U5" display="T5" xr:uid="{D10BD436-5CC3-461E-A7EA-BFF8321C6DD3}"/>
  </hyperlinks>
  <pageMargins left="0.25" right="0.25" top="0.75" bottom="0.75" header="0.3" footer="0.3"/>
  <pageSetup paperSize="9" scale="40" orientation="landscape" r:id="rId1"/>
  <headerFooter alignWithMargins="0"/>
  <ignoredErrors>
    <ignoredError sqref="K6:L6 L7:L10 L12:L16" numberStoredAsText="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32" id="{8720507A-6F26-449C-8E23-0A48479E63B4}">
            <xm:f>Evidence!$A$47=FALSE</xm:f>
            <x14:dxf>
              <fill>
                <patternFill>
                  <bgColor rgb="FFFFFF00"/>
                </patternFill>
              </fill>
            </x14:dxf>
          </x14:cfRule>
          <xm:sqref>D6:E6</xm:sqref>
        </x14:conditionalFormatting>
        <x14:conditionalFormatting xmlns:xm="http://schemas.microsoft.com/office/excel/2006/main">
          <x14:cfRule type="expression" priority="133" id="{98E31581-3D6B-4B21-A941-E103C28FA64A}">
            <xm:f>Evidence!$A48=FALSE</xm:f>
            <x14:dxf>
              <fill>
                <patternFill>
                  <bgColor rgb="FFFFFF00"/>
                </patternFill>
              </fill>
            </x14:dxf>
          </x14:cfRule>
          <xm:sqref>D7:E10 D13:E16</xm:sqref>
        </x14:conditionalFormatting>
        <x14:conditionalFormatting xmlns:xm="http://schemas.microsoft.com/office/excel/2006/main">
          <x14:cfRule type="expression" priority="135" id="{E03702EE-8737-49E8-90F5-E7C576A2EB48}">
            <xm:f>Evidence!$A$53=FALSE</xm:f>
            <x14:dxf>
              <fill>
                <patternFill>
                  <bgColor rgb="FFFFFF00"/>
                </patternFill>
              </fill>
            </x14:dxf>
          </x14:cfRule>
          <xm:sqref>D12:E12</xm:sqref>
        </x14:conditionalFormatting>
        <x14:conditionalFormatting xmlns:xm="http://schemas.microsoft.com/office/excel/2006/main">
          <x14:cfRule type="expression" priority="10" id="{B17C0349-E8CF-4CB3-8C5D-DBABEADD05CA}">
            <xm:f>Evidence!C8&lt;=0</xm:f>
            <x14:dxf>
              <fill>
                <patternFill>
                  <bgColor rgb="FFFFFF00"/>
                </patternFill>
              </fill>
            </x14:dxf>
          </x14:cfRule>
          <xm:sqref>I6</xm:sqref>
        </x14:conditionalFormatting>
        <x14:conditionalFormatting xmlns:xm="http://schemas.microsoft.com/office/excel/2006/main">
          <x14:cfRule type="expression" priority="9" id="{DABDA5FC-2EA9-4EEC-A851-976A193E7BF1}">
            <xm:f>Evidence!E8&lt;=0</xm:f>
            <x14:dxf>
              <fill>
                <patternFill>
                  <bgColor rgb="FFFFFF00"/>
                </patternFill>
              </fill>
            </x14:dxf>
          </x14:cfRule>
          <xm:sqref>I7</xm:sqref>
        </x14:conditionalFormatting>
        <x14:conditionalFormatting xmlns:xm="http://schemas.microsoft.com/office/excel/2006/main">
          <x14:cfRule type="expression" priority="8" id="{EA04653B-8FBB-45AF-A6A8-D62647B47E03}">
            <xm:f>Evidence!G8&lt;=0</xm:f>
            <x14:dxf>
              <fill>
                <patternFill>
                  <bgColor rgb="FFFFFF00"/>
                </patternFill>
              </fill>
            </x14:dxf>
          </x14:cfRule>
          <xm:sqref>I8</xm:sqref>
        </x14:conditionalFormatting>
        <x14:conditionalFormatting xmlns:xm="http://schemas.microsoft.com/office/excel/2006/main">
          <x14:cfRule type="expression" priority="7" id="{2F3E0228-6D92-4EBA-B492-7BF58A27EFFD}">
            <xm:f>Evidence!I8&lt;=0</xm:f>
            <x14:dxf>
              <fill>
                <patternFill>
                  <bgColor rgb="FFFFFF00"/>
                </patternFill>
              </fill>
            </x14:dxf>
          </x14:cfRule>
          <xm:sqref>I9</xm:sqref>
        </x14:conditionalFormatting>
        <x14:conditionalFormatting xmlns:xm="http://schemas.microsoft.com/office/excel/2006/main">
          <x14:cfRule type="expression" priority="6" id="{EB46D327-C9F2-4B49-B08C-9F403D80F0E4}">
            <xm:f>Evidence!K8&lt;=0</xm:f>
            <x14:dxf>
              <fill>
                <patternFill>
                  <bgColor rgb="FFFFFF00"/>
                </patternFill>
              </fill>
            </x14:dxf>
          </x14:cfRule>
          <xm:sqref>I10</xm:sqref>
        </x14:conditionalFormatting>
        <x14:conditionalFormatting xmlns:xm="http://schemas.microsoft.com/office/excel/2006/main">
          <x14:cfRule type="expression" priority="5" id="{4CABF83F-F35D-49A1-B4E3-A02C50D022FC}">
            <xm:f>Evidence!M8&lt;=0</xm:f>
            <x14:dxf>
              <fill>
                <patternFill>
                  <bgColor rgb="FFFFFF00"/>
                </patternFill>
              </fill>
            </x14:dxf>
          </x14:cfRule>
          <xm:sqref>I12</xm:sqref>
        </x14:conditionalFormatting>
        <x14:conditionalFormatting xmlns:xm="http://schemas.microsoft.com/office/excel/2006/main">
          <x14:cfRule type="expression" priority="4" id="{7D25D4AB-1FDA-4CA4-B346-F2637C05CEDB}">
            <xm:f>Evidence!O8&lt;=0</xm:f>
            <x14:dxf>
              <fill>
                <patternFill>
                  <bgColor rgb="FFFFFF00"/>
                </patternFill>
              </fill>
            </x14:dxf>
          </x14:cfRule>
          <xm:sqref>I13</xm:sqref>
        </x14:conditionalFormatting>
        <x14:conditionalFormatting xmlns:xm="http://schemas.microsoft.com/office/excel/2006/main">
          <x14:cfRule type="expression" priority="3" id="{D5098585-957F-4577-AD5A-4ABA0BCE66AC}">
            <xm:f>Evidence!Q8&lt;=0</xm:f>
            <x14:dxf>
              <fill>
                <patternFill>
                  <bgColor rgb="FFFFFF00"/>
                </patternFill>
              </fill>
            </x14:dxf>
          </x14:cfRule>
          <xm:sqref>I14</xm:sqref>
        </x14:conditionalFormatting>
        <x14:conditionalFormatting xmlns:xm="http://schemas.microsoft.com/office/excel/2006/main">
          <x14:cfRule type="expression" priority="2" id="{81D04B89-06FA-4015-B663-33536B9BE68E}">
            <xm:f>Evidence!S8&lt;=0</xm:f>
            <x14:dxf>
              <fill>
                <patternFill>
                  <bgColor rgb="FFFFFF00"/>
                </patternFill>
              </fill>
            </x14:dxf>
          </x14:cfRule>
          <xm:sqref>I15</xm:sqref>
        </x14:conditionalFormatting>
        <x14:conditionalFormatting xmlns:xm="http://schemas.microsoft.com/office/excel/2006/main">
          <x14:cfRule type="expression" priority="1" id="{0897745E-3566-4735-A31D-B331D7C5EF40}">
            <xm:f>Evidence!U8&lt;=0</xm:f>
            <x14:dxf>
              <fill>
                <patternFill>
                  <bgColor rgb="FFFFFF00"/>
                </patternFill>
              </fill>
            </x14:dxf>
          </x14:cfRule>
          <xm:sqref>I16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E03FB-E079-40AD-BE57-8D8B00A11A6D}">
  <sheetPr codeName="Tabelle7"/>
  <dimension ref="A1:AA57"/>
  <sheetViews>
    <sheetView zoomScaleNormal="100" workbookViewId="0">
      <selection activeCell="C5" sqref="C5"/>
    </sheetView>
  </sheetViews>
  <sheetFormatPr defaultColWidth="11.42578125" defaultRowHeight="12.75" x14ac:dyDescent="0.2"/>
  <cols>
    <col min="1" max="1" width="48.7109375" style="35" customWidth="1"/>
    <col min="2" max="2" width="7.140625" style="35" bestFit="1" customWidth="1"/>
    <col min="3" max="3" width="18.5703125" style="35" customWidth="1"/>
    <col min="4" max="4" width="1.7109375" style="35" customWidth="1"/>
    <col min="5" max="5" width="18.5703125" style="35" customWidth="1"/>
    <col min="6" max="6" width="1.7109375" style="35" customWidth="1"/>
    <col min="7" max="7" width="18.5703125" style="35" customWidth="1"/>
    <col min="8" max="8" width="1.7109375" style="35" customWidth="1"/>
    <col min="9" max="9" width="18.5703125" style="35" customWidth="1"/>
    <col min="10" max="10" width="1.7109375" style="35" customWidth="1"/>
    <col min="11" max="11" width="18.5703125" style="35" customWidth="1"/>
    <col min="12" max="12" width="2.85546875" style="35" customWidth="1"/>
    <col min="13" max="13" width="18.5703125" style="35" customWidth="1"/>
    <col min="14" max="14" width="1.7109375" style="35" customWidth="1"/>
    <col min="15" max="15" width="18.5703125" style="35" customWidth="1"/>
    <col min="16" max="16" width="1.7109375" style="35" customWidth="1"/>
    <col min="17" max="17" width="18.5703125" style="35" customWidth="1"/>
    <col min="18" max="18" width="1.7109375" style="35" customWidth="1"/>
    <col min="19" max="19" width="18.5703125" style="35" customWidth="1"/>
    <col min="20" max="20" width="1.7109375" style="35" customWidth="1"/>
    <col min="21" max="21" width="18.5703125" style="35" customWidth="1"/>
    <col min="22" max="22" width="2.85546875" style="35" customWidth="1"/>
    <col min="23" max="23" width="18.5703125" style="35" customWidth="1"/>
    <col min="24" max="24" width="2.85546875" style="35" customWidth="1"/>
    <col min="25" max="25" width="18.5703125" style="35" customWidth="1"/>
    <col min="26" max="26" width="2.85546875" style="35" customWidth="1"/>
    <col min="27" max="16384" width="11.42578125" style="35"/>
  </cols>
  <sheetData>
    <row r="1" spans="1:26" ht="18" customHeight="1" x14ac:dyDescent="0.2">
      <c r="A1" s="73" t="s">
        <v>85</v>
      </c>
      <c r="B1" s="64"/>
      <c r="C1" s="64"/>
      <c r="D1" s="64"/>
      <c r="E1" s="64"/>
      <c r="F1" s="64"/>
      <c r="G1" s="64"/>
      <c r="H1" s="64"/>
      <c r="I1" s="64"/>
      <c r="J1" s="64"/>
      <c r="K1" s="64"/>
      <c r="L1" s="64"/>
      <c r="M1" s="64"/>
      <c r="N1" s="64"/>
      <c r="O1" s="64"/>
      <c r="P1" s="64"/>
      <c r="Q1" s="64"/>
      <c r="R1" s="64"/>
      <c r="S1" s="64"/>
      <c r="T1" s="64"/>
      <c r="U1" s="64"/>
      <c r="V1" s="64"/>
    </row>
    <row r="2" spans="1:26" ht="18" customHeight="1" x14ac:dyDescent="0.2">
      <c r="A2" s="65" t="s">
        <v>89</v>
      </c>
      <c r="B2" s="65"/>
      <c r="C2" s="71" t="s">
        <v>109</v>
      </c>
      <c r="D2" s="71"/>
      <c r="E2" s="71" t="s">
        <v>110</v>
      </c>
      <c r="F2" s="71"/>
      <c r="G2" s="71" t="s">
        <v>111</v>
      </c>
      <c r="H2" s="71"/>
      <c r="I2" s="71" t="s">
        <v>112</v>
      </c>
      <c r="J2" s="71"/>
      <c r="K2" s="71" t="s">
        <v>113</v>
      </c>
      <c r="L2" s="71"/>
      <c r="M2" s="71" t="s">
        <v>114</v>
      </c>
      <c r="N2" s="71"/>
      <c r="O2" s="71" t="s">
        <v>115</v>
      </c>
      <c r="P2" s="71"/>
      <c r="Q2" s="71" t="s">
        <v>116</v>
      </c>
      <c r="R2" s="71"/>
      <c r="S2" s="71" t="s">
        <v>117</v>
      </c>
      <c r="T2" s="71"/>
      <c r="U2" s="71" t="s">
        <v>118</v>
      </c>
      <c r="V2" s="71"/>
      <c r="W2" s="56"/>
      <c r="X2" s="56"/>
      <c r="Y2" s="56"/>
      <c r="Z2" s="56"/>
    </row>
    <row r="3" spans="1:26" ht="18" customHeight="1" x14ac:dyDescent="0.2">
      <c r="A3" s="66" t="s">
        <v>42</v>
      </c>
      <c r="B3" s="66"/>
      <c r="C3" s="37" t="s">
        <v>59</v>
      </c>
      <c r="D3" s="64"/>
      <c r="E3" s="37" t="s">
        <v>59</v>
      </c>
      <c r="F3" s="64"/>
      <c r="G3" s="37" t="s">
        <v>59</v>
      </c>
      <c r="H3" s="64"/>
      <c r="I3" s="37" t="s">
        <v>59</v>
      </c>
      <c r="J3" s="64"/>
      <c r="K3" s="37" t="s">
        <v>59</v>
      </c>
      <c r="L3" s="64"/>
      <c r="M3" s="37" t="s">
        <v>54</v>
      </c>
      <c r="N3" s="64"/>
      <c r="O3" s="37" t="s">
        <v>54</v>
      </c>
      <c r="P3" s="64"/>
      <c r="Q3" s="37" t="s">
        <v>54</v>
      </c>
      <c r="R3" s="64"/>
      <c r="S3" s="37" t="s">
        <v>54</v>
      </c>
      <c r="T3" s="64"/>
      <c r="U3" s="37" t="s">
        <v>54</v>
      </c>
      <c r="V3" s="64"/>
    </row>
    <row r="4" spans="1:26" ht="12.75" customHeight="1" x14ac:dyDescent="0.2">
      <c r="A4" s="67"/>
      <c r="B4" s="67"/>
      <c r="C4" s="64"/>
      <c r="D4" s="64"/>
      <c r="E4" s="64"/>
      <c r="F4" s="64"/>
      <c r="G4" s="64"/>
      <c r="H4" s="64"/>
      <c r="I4" s="64"/>
      <c r="J4" s="64"/>
      <c r="K4" s="64"/>
      <c r="L4" s="64"/>
      <c r="M4" s="64"/>
      <c r="N4" s="64"/>
      <c r="O4" s="64"/>
      <c r="P4" s="64"/>
      <c r="Q4" s="64"/>
      <c r="R4" s="64"/>
      <c r="S4" s="64"/>
      <c r="T4" s="64"/>
      <c r="U4" s="64"/>
      <c r="V4" s="64"/>
    </row>
    <row r="5" spans="1:26" ht="45.95" customHeight="1" x14ac:dyDescent="0.2">
      <c r="A5" s="66" t="s">
        <v>76</v>
      </c>
      <c r="B5" s="66"/>
      <c r="C5" s="57"/>
      <c r="D5" s="64"/>
      <c r="E5" s="57"/>
      <c r="F5" s="64"/>
      <c r="G5" s="57"/>
      <c r="H5" s="64"/>
      <c r="I5" s="57"/>
      <c r="J5" s="64"/>
      <c r="K5" s="57"/>
      <c r="L5" s="64"/>
      <c r="M5" s="57"/>
      <c r="N5" s="64"/>
      <c r="O5" s="57"/>
      <c r="P5" s="64"/>
      <c r="Q5" s="57"/>
      <c r="R5" s="64"/>
      <c r="S5" s="57"/>
      <c r="T5" s="64"/>
      <c r="U5" s="57"/>
      <c r="V5" s="64"/>
    </row>
    <row r="6" spans="1:26" ht="12.75" customHeight="1" x14ac:dyDescent="0.2">
      <c r="A6" s="67"/>
      <c r="B6" s="67"/>
      <c r="C6" s="64"/>
      <c r="D6" s="64"/>
      <c r="E6" s="64"/>
      <c r="F6" s="64"/>
      <c r="G6" s="64"/>
      <c r="H6" s="64"/>
      <c r="I6" s="64"/>
      <c r="J6" s="64"/>
      <c r="K6" s="64"/>
      <c r="L6" s="64"/>
      <c r="M6" s="64"/>
      <c r="N6" s="64"/>
      <c r="O6" s="64"/>
      <c r="P6" s="64"/>
      <c r="Q6" s="64"/>
      <c r="R6" s="64"/>
      <c r="S6" s="64"/>
      <c r="T6" s="64"/>
      <c r="U6" s="64"/>
      <c r="V6" s="64"/>
    </row>
    <row r="7" spans="1:26" ht="18" customHeight="1" x14ac:dyDescent="0.25">
      <c r="A7" s="66" t="s">
        <v>87</v>
      </c>
      <c r="B7" s="66"/>
      <c r="C7" s="82" t="str">
        <f>IF(C$5="","",
  IF(CMC!$D6="","Min. value missing.",
    IF(CMC!$F6="","Unit missing.",
      IF(EXACT(CMC!$F6,"mN"),VALUE(IF(MID($A$30,2,1)=",",SUBSTITUTE(CMC!$D6,".",","),CMC!$D6))/1000,
        IF(EXACT(CMC!$F6,"N"),VALUE(IF(MID($A$30,2,1)=",",SUBSTITUTE(CMC!$D6,".",","),CMC!$D6)),
          IF(EXACT(CMC!$F6,"kN"),VALUE(IF(MID($A$30,2,1)=",",SUBSTITUTE(CMC!$D6,".",","),CMC!$D6))*1000,
            IF(EXACT(CMC!$F6,"MN"),VALUE(IF(MID($A$30,2,1)=",",SUBSTITUTE(CMC!$D6,".",","),CMC!$D6))*1000000)
            )
          )
      )
    )
  )
)</f>
        <v/>
      </c>
      <c r="D7" s="72"/>
      <c r="E7" s="82" t="str">
        <f>IF(E$5="","",
  IF(CMC!$D7="","Min. value missing.",
    IF(CMC!$F7="","Unit missing.",
      IF(EXACT(CMC!$F7,"mN"),VALUE(IF(MID($A$30,2,1)=",",SUBSTITUTE(CMC!$D7,".",","),CMC!$D7))/1000,
        IF(EXACT(CMC!$F7,"N"),VALUE(IF(MID($A$30,2,1)=",",SUBSTITUTE(CMC!$D7,".",","),CMC!$D7)),
          IF(EXACT(CMC!$F7,"kN"),VALUE(IF(MID($A$30,2,1)=",",SUBSTITUTE(CMC!$D7,".",","),CMC!$D7))*1000,
            IF(EXACT(CMC!$F7,"MN"),VALUE(IF(MID($A$30,2,1)=",",SUBSTITUTE(CMC!$D7,".",","),CMC!$D7))*1000000)
            )
          )
      )
    )
  )
)</f>
        <v/>
      </c>
      <c r="F7" s="64"/>
      <c r="G7" s="82" t="str">
        <f>IF(G$5="","",
  IF(CMC!$D8="","Min. value missing.",
    IF(CMC!$F8="","Unit missing.",
      IF(EXACT(CMC!$F8,"mN"),VALUE(IF(MID($A$30,2,1)=",",SUBSTITUTE(CMC!$D8,".",","),CMC!$D8))/1000,
        IF(EXACT(CMC!$F8,"N"),VALUE(IF(MID($A$30,2,1)=",",SUBSTITUTE(CMC!$D8,".",","),CMC!$D8)),
          IF(EXACT(CMC!$F8,"kN"),VALUE(IF(MID($A$30,2,1)=",",SUBSTITUTE(CMC!$D8,".",","),CMC!$D8))*1000,
            IF(EXACT(CMC!$F8,"MN"),VALUE(IF(MID($A$30,2,1)=",",SUBSTITUTE(CMC!$D8,".",","),CMC!$D8))*1000000)
            )
          )
      )
    )
  )
)</f>
        <v/>
      </c>
      <c r="H7" s="64"/>
      <c r="I7" s="82" t="str">
        <f>IF(I$5="","",
  IF(CMC!$D9="","Min. value missing.",
    IF(CMC!$F9="","Unit missing.",
      IF(EXACT(CMC!$F9,"mN"),VALUE(IF(MID($A$30,2,1)=",",SUBSTITUTE(CMC!$D9,".",","),CMC!$D9))/1000,
        IF(EXACT(CMC!$F9,"N"),VALUE(IF(MID($A$30,2,1)=",",SUBSTITUTE(CMC!$D9,".",","),CMC!$D9)),
          IF(EXACT(CMC!$F9,"kN"),VALUE(IF(MID($A$30,2,1)=",",SUBSTITUTE(CMC!$D9,".",","),CMC!$D9))*1000,
            IF(EXACT(CMC!$F9,"MN"),VALUE(IF(MID($A$30,2,1)=",",SUBSTITUTE(CMC!$D9,".",","),CMC!$D9))*1000000)
            )
          )
      )
    )
  )
)</f>
        <v/>
      </c>
      <c r="J7" s="64"/>
      <c r="K7" s="82" t="str">
        <f>IF(K$5="","",
  IF(CMC!$D10="","Min. value missing.",
    IF(CMC!$F10="","Unit missing.",
      IF(EXACT(CMC!$F10,"mN"),VALUE(IF(MID($A$30,2,1)=",",SUBSTITUTE(CMC!$D10,".",","),CMC!$D10))/1000,
        IF(EXACT(CMC!$F10,"N"),VALUE(IF(MID($A$30,2,1)=",",SUBSTITUTE(CMC!$D10,".",","),CMC!$D10)),
          IF(EXACT(CMC!$F10,"kN"),VALUE(IF(MID($A$30,2,1)=",",SUBSTITUTE(CMC!$D10,".",","),CMC!$D10))*1000,
            IF(EXACT(CMC!$F10,"MN"),VALUE(IF(MID($A$30,2,1)=",",SUBSTITUTE(CMC!$D10,".",","),CMC!$D10))*1000000)
            )
          )
      )
    )
  )
)</f>
        <v/>
      </c>
      <c r="L7" s="64"/>
      <c r="M7" s="83" t="str">
        <f>IF(M$5="","",
  IF(CMC!$D12="","Min. value missing.",
    IF(CMC!$F12="","Unit missing.",
      IF(EXACT(CMC!$F12,"mN m"),VALUE(IF(MID($A$30,2,1)=",",SUBSTITUTE(CMC!$D12,".",","),CMC!$D12))/1000,
        IF(EXACT(CMC!$F12,"N m"),VALUE(IF(MID($A$30,2,1)=",",SUBSTITUTE(CMC!$D12,".",","),CMC!$D12)),
          IF(EXACT(CMC!$F12,"kN m"),VALUE(IF(MID($A$30,2,1)=",",SUBSTITUTE(CMC!$D12,".",","),CMC!$D12))*1000,
            IF(EXACT(CMC!$F12,"MN m"),VALUE(IF(MID($A$30,2,1)=",",SUBSTITUTE(CMC!$D12,".",","),CMC!$D12))*1000000)
            )
          )
      )
    )
  )
)</f>
        <v/>
      </c>
      <c r="N7" s="64"/>
      <c r="O7" s="83" t="str">
        <f>IF(O$5="","",
  IF(CMC!$D13="","Min. value missing.",
    IF(CMC!$F13="","Unit missing.",
      IF(EXACT(CMC!$F13,"mN m"),VALUE(IF(MID($A$30,2,1)=",",SUBSTITUTE(CMC!$D13,".",","),CMC!$D13))/1000,
        IF(EXACT(CMC!$F13,"N m"),VALUE(IF(MID($A$30,2,1)=",",SUBSTITUTE(CMC!$D13,".",","),CMC!$D13)),
          IF(EXACT(CMC!$F13,"kN m"),VALUE(IF(MID($A$30,2,1)=",",SUBSTITUTE(CMC!$D13,".",","),CMC!$D13))*1000,
            IF(EXACT(CMC!$F13,"MN m"),VALUE(IF(MID($A$30,2,1)=",",SUBSTITUTE(CMC!$D13,".",","),CMC!$D13))*1000000)
            )
          )
      )
    )
  )
)</f>
        <v/>
      </c>
      <c r="P7" s="64"/>
      <c r="Q7" s="83" t="str">
        <f>IF(Q$5="","",
  IF(CMC!$D14="","Min. value missing.",
    IF(CMC!$F14="","Unit missing.",
      IF(EXACT(CMC!$F14,"mN m"),VALUE(IF(MID($A$30,2,1)=",",SUBSTITUTE(CMC!$D14,".",","),CMC!$D14))/1000,
        IF(EXACT(CMC!$F14,"N m"),VALUE(IF(MID($A$30,2,1)=",",SUBSTITUTE(CMC!$D14,".",","),CMC!$D14)),
          IF(EXACT(CMC!$F14,"kN m"),VALUE(IF(MID($A$30,2,1)=",",SUBSTITUTE(CMC!$D14,".",","),CMC!$D14))*1000,
            IF(EXACT(CMC!$F14,"MN m"),VALUE(IF(MID($A$30,2,1)=",",SUBSTITUTE(CMC!$D14,".",","),CMC!$D14))*1000000)
            )
          )
      )
    )
  )
)</f>
        <v/>
      </c>
      <c r="R7" s="64"/>
      <c r="S7" s="83" t="str">
        <f>IF(S$5="","",
  IF(CMC!$D15="","Min. value missing.",
    IF(CMC!$F15="","Unit missing.",
      IF(EXACT(CMC!$F15,"mN m"),VALUE(IF(MID($A$30,2,1)=",",SUBSTITUTE(CMC!$D15,".",","),CMC!$D15))/1000,
        IF(EXACT(CMC!$F15,"N m"),VALUE(IF(MID($A$30,2,1)=",",SUBSTITUTE(CMC!$D15,".",","),CMC!$D15)),
          IF(EXACT(CMC!$F15,"kN m"),VALUE(IF(MID($A$30,2,1)=",",SUBSTITUTE(CMC!$D15,".",","),CMC!$D15))*1000,
            IF(EXACT(CMC!$F15,"MN m"),VALUE(IF(MID($A$30,2,1)=",",SUBSTITUTE(CMC!$D15,".",","),CMC!$D15))*1000000)
            )
          )
      )
    )
  )
)</f>
        <v/>
      </c>
      <c r="T7" s="64"/>
      <c r="U7" s="83" t="str">
        <f>IF(U$5="","",
  IF(CMC!$D16="","Min. value missing.",
    IF(CMC!$F16="","Unit missing.",
      IF(EXACT(CMC!$F16,"mN m"),VALUE(IF(MID($A$30,2,1)=",",SUBSTITUTE(CMC!$D16,".",","),CMC!$D16))/1000,
        IF(EXACT(CMC!$F16,"N m"),VALUE(IF(MID($A$30,2,1)=",",SUBSTITUTE(CMC!$D16,".",","),CMC!$D16)),
          IF(EXACT(CMC!$F16,"kN m"),VALUE(IF(MID($A$30,2,1)=",",SUBSTITUTE(CMC!$D16,".",","),CMC!$D16))*1000,
            IF(EXACT(CMC!$F16,"MN m"),VALUE(IF(MID($A$30,2,1)=",",SUBSTITUTE(CMC!$D16,".",","),CMC!$D16))*1000000)
            )
          )
      )
    )
  )
)</f>
        <v/>
      </c>
      <c r="V7" s="64"/>
    </row>
    <row r="8" spans="1:26" ht="18" customHeight="1" x14ac:dyDescent="0.2">
      <c r="A8" s="66" t="s">
        <v>77</v>
      </c>
      <c r="B8" s="66"/>
      <c r="C8" s="88" t="str">
        <f>IF(CMC!$F6="","",IF(ISNUMBER($E47),$E47/100,$E47))</f>
        <v/>
      </c>
      <c r="D8" s="64"/>
      <c r="E8" s="88" t="str">
        <f>IF(CMC!$F7="","",IF(ISNUMBER($E48),$E48/100,$E48))</f>
        <v/>
      </c>
      <c r="F8" s="64"/>
      <c r="G8" s="88" t="str">
        <f>IF(CMC!$F8="","",IF(ISNUMBER($E49),$E49/100,$E49))</f>
        <v/>
      </c>
      <c r="H8" s="64"/>
      <c r="I8" s="88" t="str">
        <f>IF(CMC!$F9="","",IF(ISNUMBER($E50),$E50/100,$E50))</f>
        <v/>
      </c>
      <c r="J8" s="64"/>
      <c r="K8" s="88" t="str">
        <f>IF(CMC!$F10="","",IF(ISNUMBER($E51),$E51/100,$E51))</f>
        <v/>
      </c>
      <c r="L8" s="64"/>
      <c r="M8" s="88" t="str">
        <f>IF(CMC!$F12="","",IF(ISNUMBER($E53),$E53/100,$E53))</f>
        <v/>
      </c>
      <c r="N8" s="64"/>
      <c r="O8" s="88" t="str">
        <f>IF(CMC!$F13="","",IF(ISNUMBER($E54),$E54/100,$E54))</f>
        <v/>
      </c>
      <c r="P8" s="64"/>
      <c r="Q8" s="88" t="str">
        <f>IF(CMC!$F14="","",IF(ISNUMBER($E55),$E55/100,$E55))</f>
        <v/>
      </c>
      <c r="R8" s="64"/>
      <c r="S8" s="88" t="str">
        <f>IF(CMC!$F15="","",IF(ISNUMBER($E56),$E56/100,$E56))</f>
        <v/>
      </c>
      <c r="T8" s="64"/>
      <c r="U8" s="88" t="str">
        <f>IF(CMC!$F16="","",IF(ISNUMBER($E57),$E57/100,$E57))</f>
        <v/>
      </c>
      <c r="V8" s="64"/>
    </row>
    <row r="9" spans="1:26" ht="12.75" customHeight="1" x14ac:dyDescent="0.2">
      <c r="A9" s="64"/>
      <c r="B9" s="64"/>
      <c r="C9" s="91"/>
      <c r="D9" s="64"/>
      <c r="E9" s="64"/>
      <c r="F9" s="64"/>
      <c r="G9" s="64"/>
      <c r="H9" s="64"/>
      <c r="I9" s="64"/>
      <c r="J9" s="64"/>
      <c r="K9" s="64"/>
      <c r="L9" s="64"/>
      <c r="M9" s="64"/>
      <c r="N9" s="64"/>
      <c r="O9" s="64"/>
      <c r="P9" s="64"/>
      <c r="Q9" s="64"/>
      <c r="R9" s="64"/>
      <c r="S9" s="64"/>
      <c r="T9" s="64"/>
      <c r="U9" s="64"/>
      <c r="V9" s="64"/>
    </row>
    <row r="10" spans="1:26" ht="18" customHeight="1" x14ac:dyDescent="0.2">
      <c r="A10" s="66" t="s">
        <v>79</v>
      </c>
      <c r="B10" s="66"/>
      <c r="C10" s="38" t="str">
        <f>IF(OR(ISNUMBER(C8)=FALSE,C8&lt;=0,ISERROR(C8)),
    "",
    IF(OR(C5="",C8=""),
        "",
        IF(OR(VLOOKUP(C5,force_cases,3,FALSE)="",C7&lt;VLOOKUP(C5,force_cases,3,FALSE)),
            IF(C8&lt;=VLOOKUP(C5,force_cases,5,FALSE),
                1,
                IF(C8&gt;VLOOKUP(C5,force_cases,7,FALSE),3,2)
            ),
            IF(C8&lt;=INDEX(force_cases,MATCH(C5,$E$30:$E$36,0),5),
                1,
                IF(C8&gt;INDEX(force_cases,MATCH(C5,$E$30:$E$36,0),7),3,2)
            )
        )
    )
)</f>
        <v/>
      </c>
      <c r="D10" s="64"/>
      <c r="E10" s="38" t="str">
        <f>IF(OR(ISNUMBER(E8)=FALSE,E8&lt;=0,ISERROR(E8)),
    "",
    IF(OR(E5="",E8=""),
        "",
        IF(OR(VLOOKUP(E5,force_cases,3,FALSE)="",E7&lt;VLOOKUP(E5,force_cases,3,FALSE)),
            IF(E8&lt;=VLOOKUP(E5,force_cases,5,FALSE),
                1,
                IF(E8&gt;VLOOKUP(E5,force_cases,7,FALSE),3,2)
            ),
            IF(E8&lt;=INDEX(force_cases,MATCH(E5,$E$30:$E$36,0),5),
                1,
                IF(E8&gt;INDEX(force_cases,MATCH(E5,$E$30:$E$36,0),7),3,2)
            )
        )
    )
)</f>
        <v/>
      </c>
      <c r="F10" s="64"/>
      <c r="G10" s="38" t="str">
        <f>IF(OR(ISNUMBER(G8)=FALSE,G8&lt;=0,ISERROR(G8)),
    "",
    IF(OR(G5="",G8=""),
        "",
        IF(OR(VLOOKUP(G5,force_cases,3,FALSE)="",G7&lt;VLOOKUP(G5,force_cases,3,FALSE)),
            IF(G8&lt;=VLOOKUP(G5,force_cases,5,FALSE),
                1,
                IF(G8&gt;VLOOKUP(G5,force_cases,7,FALSE),3,2)
            ),
            IF(G8&lt;=INDEX(force_cases,MATCH(G5,$E$30:$E$36,0),5),
                1,
                IF(G8&gt;INDEX(force_cases,MATCH(G5,$E$30:$E$36,0),7),3,2)
            )
        )
    )
)</f>
        <v/>
      </c>
      <c r="H10" s="64"/>
      <c r="I10" s="38" t="str">
        <f>IF(OR(ISNUMBER(I8)=FALSE,I8&lt;=0,ISERROR(I8)),
    "",
    IF(OR(I5="",I8=""),
        "",
        IF(OR(VLOOKUP(I5,force_cases,3,FALSE)="",I7&lt;VLOOKUP(I5,force_cases,3,FALSE)),
            IF(I8&lt;=VLOOKUP(I5,force_cases,5,FALSE),
                1,
                IF(I8&gt;VLOOKUP(I5,force_cases,7,FALSE),3,2)
            ),
            IF(I8&lt;=INDEX(force_cases,MATCH(I5,$E$30:$E$36,0),5),
                1,
                IF(I8&gt;INDEX(force_cases,MATCH(I5,$E$30:$E$36,0),7),3,2)
            )
        )
    )
)</f>
        <v/>
      </c>
      <c r="J10" s="64"/>
      <c r="K10" s="38" t="str">
        <f>IF(OR(ISNUMBER(K8)=FALSE,K8&lt;=0,ISERROR(K8)),
    "",
    IF(OR(K5="",K8=""),
        "",
        IF(OR(VLOOKUP(K5,force_cases,3,FALSE)="",K7&lt;VLOOKUP(K5,force_cases,3,FALSE)),
            IF(K8&lt;=VLOOKUP(K5,force_cases,5,FALSE),
                1,
                IF(K8&gt;VLOOKUP(K5,force_cases,7,FALSE),3,2)
            ),
            IF(K8&lt;=INDEX(force_cases,MATCH(K5,$E$30:$E$36,0),5),
                1,
                IF(K8&gt;INDEX(force_cases,MATCH(K5,$E$30:$E$36,0),7),3,2)
            )
        )
    )
)</f>
        <v/>
      </c>
      <c r="L10" s="64"/>
      <c r="M10" s="38" t="str">
        <f>IF(OR(ISNUMBER(M8)=FALSE,M8&lt;=0,ISERROR(M8)),
    "",
    IF(OR(M5="",M8=""),
        "",
        IF(OR(VLOOKUP(M5,torque_cases,3,FALSE)="",M7&lt;VLOOKUP(M5,torque_cases,3,FALSE)),
            IF(M8&lt;=VLOOKUP(M5,torque_cases,5,FALSE),
                1,
                IF(M8&gt;VLOOKUP(M5,torque_cases,7,FALSE),3,2)
            ),
            IF(M8&lt;=INDEX(torque_cases,MATCH(M5,$E$38:$E$44,0),5),
                1,
                IF(M8&gt;INDEX(torque_cases,MATCH(M5,$E$38:$E$44,0),7),3,2)
            )
        )
    )
)</f>
        <v/>
      </c>
      <c r="N10" s="64"/>
      <c r="O10" s="38" t="str">
        <f>IF(OR(ISNUMBER(O8)=FALSE,O8&lt;=0,ISERROR(O8)),
    "",
    IF(OR(O5="",O8=""),
        "",
        IF(OR(VLOOKUP(O5,torque_cases,3,FALSE)="",O7&lt;VLOOKUP(O5,torque_cases,3,FALSE)),
            IF(O8&lt;=VLOOKUP(O5,torque_cases,5,FALSE),
                1,
                IF(O8&gt;VLOOKUP(O5,torque_cases,7,FALSE),3,2)
            ),
            IF(O8&lt;=INDEX(torque_cases,MATCH(O5,$E$38:$E$44,0),5),
                1,
                IF(O8&gt;INDEX(torque_cases,MATCH(O5,$E$38:$E$44,0),7),3,2)
            )
        )
    )
)</f>
        <v/>
      </c>
      <c r="P10" s="64"/>
      <c r="Q10" s="38" t="str">
        <f>IF(OR(ISNUMBER(Q8)=FALSE,Q8&lt;=0,ISERROR(Q8)),
    "",
    IF(OR(Q5="",Q8=""),
        "",
        IF(OR(VLOOKUP(Q5,torque_cases,3,FALSE)="",Q7&lt;VLOOKUP(Q5,torque_cases,3,FALSE)),
            IF(Q8&lt;=VLOOKUP(Q5,torque_cases,5,FALSE),
                1,
                IF(Q8&gt;VLOOKUP(Q5,torque_cases,7,FALSE),3,2)
            ),
            IF(Q8&lt;=INDEX(torque_cases,MATCH(Q5,$E$38:$E$44,0),5),
                1,
                IF(Q8&gt;INDEX(torque_cases,MATCH(Q5,$E$38:$E$44,0),7),3,2)
            )
        )
    )
)</f>
        <v/>
      </c>
      <c r="R10" s="64"/>
      <c r="S10" s="38" t="str">
        <f>IF(OR(ISNUMBER(S8)=FALSE,S8&lt;=0,ISERROR(S8)),
    "",
    IF(OR(S5="",S8=""),
        "",
        IF(OR(VLOOKUP(S5,torque_cases,3,FALSE)="",S7&lt;VLOOKUP(S5,torque_cases,3,FALSE)),
            IF(S8&lt;=VLOOKUP(S5,torque_cases,5,FALSE),
                1,
                IF(S8&gt;VLOOKUP(S5,torque_cases,7,FALSE),3,2)
            ),
            IF(S8&lt;=INDEX(torque_cases,MATCH(S5,$E$38:$E$44,0),5),
                1,
                IF(S8&gt;INDEX(torque_cases,MATCH(S5,$E$38:$E$44,0),7),3,2)
            )
        )
    )
)</f>
        <v/>
      </c>
      <c r="T10" s="64"/>
      <c r="U10" s="38" t="str">
        <f>IF(OR(ISNUMBER(U8)=FALSE,U8&lt;=0,ISERROR(U8)),
    "",
    IF(OR(U5="",U8=""),
        "",
        IF(OR(VLOOKUP(U5,torque_cases,3,FALSE)="",U7&lt;VLOOKUP(U5,torque_cases,3,FALSE)),
            IF(U8&lt;=VLOOKUP(U5,torque_cases,5,FALSE),
                1,
                IF(U8&gt;VLOOKUP(U5,torque_cases,7,FALSE),3,2)
            ),
            IF(U8&lt;=INDEX(torque_cases,MATCH(U5,$E$38:$E$44,0),5),
                1,
                IF(U8&gt;INDEX(torque_cases,MATCH(U5,$E$38:$E$44,0),7),3,2)
            )
        )
    )
)</f>
        <v/>
      </c>
      <c r="V10" s="64"/>
    </row>
    <row r="11" spans="1:26" ht="18" customHeight="1" x14ac:dyDescent="0.2">
      <c r="A11" s="66" t="s">
        <v>80</v>
      </c>
      <c r="B11" s="66"/>
      <c r="C11" s="38" t="str">
        <f>IF(C10=1,36,
  IF(C10=2,31,
    IF(C10=3,28,""
    )
  )
)</f>
        <v/>
      </c>
      <c r="D11" s="64"/>
      <c r="E11" s="38" t="str">
        <f>IF(E10=1,36,
  IF(E10=2,31,
    IF(E10=3,28,""
    )
  )
)</f>
        <v/>
      </c>
      <c r="F11" s="64"/>
      <c r="G11" s="38" t="str">
        <f>IF(G10=1,36,
  IF(G10=2,31,
    IF(G10=3,28,""
    )
  )
)</f>
        <v/>
      </c>
      <c r="H11" s="64"/>
      <c r="I11" s="38" t="str">
        <f>IF(I10=1,36,
  IF(I10=2,31,
    IF(I10=3,28,""
    )
  )
)</f>
        <v/>
      </c>
      <c r="J11" s="64"/>
      <c r="K11" s="38" t="str">
        <f>IF(K10=1,36,
  IF(K10=2,31,
    IF(K10=3,28,""
    )
  )
)</f>
        <v/>
      </c>
      <c r="L11" s="64"/>
      <c r="M11" s="38" t="str">
        <f>IF(M10=1,36,
  IF(M10=2,31,
    IF(M10=3,28,""
    )
  )
)</f>
        <v/>
      </c>
      <c r="N11" s="64"/>
      <c r="O11" s="38" t="str">
        <f>IF(O10=1,36,
  IF(O10=2,31,
    IF(O10=3,28,""
    )
  )
)</f>
        <v/>
      </c>
      <c r="P11" s="64"/>
      <c r="Q11" s="38" t="str">
        <f>IF(Q10=1,36,
  IF(Q10=2,31,
    IF(Q10=3,28,""
    )
  )
)</f>
        <v/>
      </c>
      <c r="R11" s="64"/>
      <c r="S11" s="38" t="str">
        <f>IF(S10=1,36,
  IF(S10=2,31,
    IF(S10=3,28,""
    )
  )
)</f>
        <v/>
      </c>
      <c r="T11" s="64"/>
      <c r="U11" s="38" t="str">
        <f>IF(U10=1,36,
  IF(U10=2,31,
    IF(U10=3,28,""
    )
  )
)</f>
        <v/>
      </c>
      <c r="V11" s="64"/>
    </row>
    <row r="12" spans="1:26" ht="18" customHeight="1" x14ac:dyDescent="0.2">
      <c r="A12" s="66" t="s">
        <v>81</v>
      </c>
      <c r="B12" s="66"/>
      <c r="C12" s="38">
        <f>SUMIF(C16:C26,"Yes",$B$16:$B$26)</f>
        <v>0</v>
      </c>
      <c r="D12" s="64"/>
      <c r="E12" s="38">
        <f>SUMIF(E16:E26,"Yes",$B$16:$B$26)</f>
        <v>0</v>
      </c>
      <c r="F12" s="64"/>
      <c r="G12" s="38">
        <f>SUMIF(G16:G26,"Yes",$B$16:$B$26)</f>
        <v>0</v>
      </c>
      <c r="H12" s="64"/>
      <c r="I12" s="38">
        <f>SUMIF(I16:I26,"Yes",$B$16:$B$26)</f>
        <v>0</v>
      </c>
      <c r="J12" s="64"/>
      <c r="K12" s="38">
        <f>SUMIF(K16:K26,"Yes",$B$16:$B$26)</f>
        <v>0</v>
      </c>
      <c r="L12" s="64"/>
      <c r="M12" s="38">
        <f>SUMIF(M16:M26,"Yes",$B$16:$B$26)</f>
        <v>0</v>
      </c>
      <c r="N12" s="64"/>
      <c r="O12" s="38">
        <f>SUMIF(O16:O26,"Yes",$B$16:$B$26)</f>
        <v>0</v>
      </c>
      <c r="P12" s="64"/>
      <c r="Q12" s="38">
        <f>SUMIF(Q16:Q26,"Yes",$B$16:$B$26)</f>
        <v>0</v>
      </c>
      <c r="R12" s="64"/>
      <c r="S12" s="38">
        <f>SUMIF(S16:S26,"Yes",$B$16:$B$26)</f>
        <v>0</v>
      </c>
      <c r="T12" s="64"/>
      <c r="U12" s="38">
        <f>SUMIF(U16:U26,"Yes",$B$16:$B$26)</f>
        <v>0</v>
      </c>
      <c r="V12" s="64"/>
    </row>
    <row r="13" spans="1:26" ht="12.75" customHeight="1" x14ac:dyDescent="0.25">
      <c r="A13" s="68"/>
      <c r="B13" s="68"/>
      <c r="C13" s="64"/>
      <c r="D13" s="64"/>
      <c r="E13" s="64"/>
      <c r="F13" s="64"/>
      <c r="G13" s="64"/>
      <c r="H13" s="64"/>
      <c r="I13" s="64"/>
      <c r="J13" s="64"/>
      <c r="K13" s="64"/>
      <c r="L13" s="64"/>
      <c r="M13" s="64"/>
      <c r="N13" s="64"/>
      <c r="O13" s="64"/>
      <c r="P13" s="64"/>
      <c r="Q13" s="64"/>
      <c r="R13" s="64"/>
      <c r="S13" s="64"/>
      <c r="T13" s="64"/>
      <c r="U13" s="64"/>
      <c r="V13" s="64"/>
    </row>
    <row r="14" spans="1:26" ht="18" customHeight="1" x14ac:dyDescent="0.2">
      <c r="A14" s="65" t="s">
        <v>78</v>
      </c>
      <c r="B14" s="69" t="s">
        <v>58</v>
      </c>
      <c r="C14" s="69" t="s">
        <v>68</v>
      </c>
      <c r="D14" s="64"/>
      <c r="E14" s="69" t="s">
        <v>68</v>
      </c>
      <c r="F14" s="64"/>
      <c r="G14" s="69" t="s">
        <v>68</v>
      </c>
      <c r="H14" s="64"/>
      <c r="I14" s="69" t="s">
        <v>68</v>
      </c>
      <c r="J14" s="64"/>
      <c r="K14" s="69" t="s">
        <v>68</v>
      </c>
      <c r="L14" s="64"/>
      <c r="M14" s="69" t="s">
        <v>68</v>
      </c>
      <c r="N14" s="64"/>
      <c r="O14" s="69" t="s">
        <v>68</v>
      </c>
      <c r="P14" s="64"/>
      <c r="Q14" s="69" t="s">
        <v>68</v>
      </c>
      <c r="R14" s="64"/>
      <c r="S14" s="69" t="s">
        <v>68</v>
      </c>
      <c r="T14" s="64"/>
      <c r="U14" s="69" t="s">
        <v>68</v>
      </c>
      <c r="V14" s="64"/>
    </row>
    <row r="15" spans="1:26" ht="12.75" customHeight="1" x14ac:dyDescent="0.2">
      <c r="A15" s="64"/>
      <c r="B15" s="64"/>
      <c r="C15" s="64"/>
      <c r="D15" s="64"/>
      <c r="E15" s="64"/>
      <c r="F15" s="64"/>
      <c r="G15" s="64"/>
      <c r="H15" s="64"/>
      <c r="I15" s="64"/>
      <c r="J15" s="64"/>
      <c r="K15" s="64"/>
      <c r="L15" s="64"/>
      <c r="M15" s="64"/>
      <c r="N15" s="64"/>
      <c r="O15" s="64"/>
      <c r="P15" s="64"/>
      <c r="Q15" s="64"/>
      <c r="R15" s="64"/>
      <c r="S15" s="64"/>
      <c r="T15" s="64"/>
      <c r="U15" s="64"/>
      <c r="V15" s="64"/>
    </row>
    <row r="16" spans="1:26" ht="18" customHeight="1" x14ac:dyDescent="0.2">
      <c r="A16" s="66" t="s">
        <v>69</v>
      </c>
      <c r="B16" s="70">
        <v>16</v>
      </c>
      <c r="C16" s="58" t="s">
        <v>56</v>
      </c>
      <c r="D16" s="64"/>
      <c r="E16" s="58" t="s">
        <v>56</v>
      </c>
      <c r="F16" s="64"/>
      <c r="G16" s="58" t="s">
        <v>56</v>
      </c>
      <c r="H16" s="64"/>
      <c r="I16" s="58" t="s">
        <v>56</v>
      </c>
      <c r="J16" s="64"/>
      <c r="K16" s="58" t="s">
        <v>56</v>
      </c>
      <c r="L16" s="64"/>
      <c r="M16" s="58" t="s">
        <v>56</v>
      </c>
      <c r="N16" s="64"/>
      <c r="O16" s="58" t="s">
        <v>56</v>
      </c>
      <c r="P16" s="64"/>
      <c r="Q16" s="58" t="s">
        <v>56</v>
      </c>
      <c r="R16" s="64"/>
      <c r="S16" s="58" t="s">
        <v>56</v>
      </c>
      <c r="T16" s="64"/>
      <c r="U16" s="58" t="s">
        <v>56</v>
      </c>
      <c r="V16" s="64"/>
    </row>
    <row r="17" spans="1:22" ht="12.75" customHeight="1" x14ac:dyDescent="0.2">
      <c r="A17" s="64"/>
      <c r="B17" s="64"/>
      <c r="C17" s="64"/>
      <c r="D17" s="64"/>
      <c r="E17" s="64"/>
      <c r="F17" s="64"/>
      <c r="G17" s="64"/>
      <c r="H17" s="64"/>
      <c r="I17" s="64"/>
      <c r="J17" s="64"/>
      <c r="K17" s="64"/>
      <c r="L17" s="64"/>
      <c r="M17" s="64"/>
      <c r="N17" s="64"/>
      <c r="O17" s="64"/>
      <c r="P17" s="64"/>
      <c r="Q17" s="64"/>
      <c r="R17" s="64"/>
      <c r="S17" s="64"/>
      <c r="T17" s="64"/>
      <c r="U17" s="64"/>
      <c r="V17" s="64"/>
    </row>
    <row r="18" spans="1:22" ht="18" customHeight="1" x14ac:dyDescent="0.2">
      <c r="A18" s="66" t="s">
        <v>70</v>
      </c>
      <c r="B18" s="70">
        <v>12</v>
      </c>
      <c r="C18" s="58" t="s">
        <v>56</v>
      </c>
      <c r="D18" s="64"/>
      <c r="E18" s="58" t="s">
        <v>56</v>
      </c>
      <c r="F18" s="64"/>
      <c r="G18" s="58" t="s">
        <v>56</v>
      </c>
      <c r="H18" s="64"/>
      <c r="I18" s="58" t="s">
        <v>56</v>
      </c>
      <c r="J18" s="64"/>
      <c r="K18" s="58" t="s">
        <v>56</v>
      </c>
      <c r="L18" s="64"/>
      <c r="M18" s="58" t="s">
        <v>56</v>
      </c>
      <c r="N18" s="64"/>
      <c r="O18" s="58" t="s">
        <v>56</v>
      </c>
      <c r="P18" s="64"/>
      <c r="Q18" s="58" t="s">
        <v>56</v>
      </c>
      <c r="R18" s="64"/>
      <c r="S18" s="58" t="s">
        <v>56</v>
      </c>
      <c r="T18" s="64"/>
      <c r="U18" s="58" t="s">
        <v>56</v>
      </c>
      <c r="V18" s="64"/>
    </row>
    <row r="19" spans="1:22" ht="12.75" customHeight="1" x14ac:dyDescent="0.2">
      <c r="A19" s="64"/>
      <c r="B19" s="64"/>
      <c r="C19" s="64"/>
      <c r="D19" s="64"/>
      <c r="E19" s="64"/>
      <c r="F19" s="64"/>
      <c r="G19" s="64"/>
      <c r="H19" s="64"/>
      <c r="I19" s="64"/>
      <c r="J19" s="64"/>
      <c r="K19" s="64"/>
      <c r="L19" s="64"/>
      <c r="M19" s="64"/>
      <c r="N19" s="64"/>
      <c r="O19" s="64"/>
      <c r="P19" s="64"/>
      <c r="Q19" s="64"/>
      <c r="R19" s="64"/>
      <c r="S19" s="64"/>
      <c r="T19" s="64"/>
      <c r="U19" s="64"/>
      <c r="V19" s="64"/>
    </row>
    <row r="20" spans="1:22" ht="18" customHeight="1" x14ac:dyDescent="0.2">
      <c r="A20" s="66" t="s">
        <v>71</v>
      </c>
      <c r="B20" s="70">
        <v>6</v>
      </c>
      <c r="C20" s="58" t="s">
        <v>56</v>
      </c>
      <c r="D20" s="64"/>
      <c r="E20" s="58" t="s">
        <v>56</v>
      </c>
      <c r="F20" s="64"/>
      <c r="G20" s="58" t="s">
        <v>56</v>
      </c>
      <c r="H20" s="64"/>
      <c r="I20" s="58" t="s">
        <v>56</v>
      </c>
      <c r="J20" s="64"/>
      <c r="K20" s="58" t="s">
        <v>56</v>
      </c>
      <c r="L20" s="64"/>
      <c r="M20" s="58" t="s">
        <v>56</v>
      </c>
      <c r="N20" s="64"/>
      <c r="O20" s="58" t="s">
        <v>56</v>
      </c>
      <c r="P20" s="64"/>
      <c r="Q20" s="58" t="s">
        <v>56</v>
      </c>
      <c r="R20" s="64"/>
      <c r="S20" s="58" t="s">
        <v>56</v>
      </c>
      <c r="T20" s="64"/>
      <c r="U20" s="58" t="s">
        <v>56</v>
      </c>
      <c r="V20" s="64"/>
    </row>
    <row r="21" spans="1:22" ht="12.75" customHeight="1" x14ac:dyDescent="0.2">
      <c r="A21" s="64"/>
      <c r="B21" s="64"/>
      <c r="C21" s="64"/>
      <c r="D21" s="64"/>
      <c r="E21" s="64"/>
      <c r="F21" s="64"/>
      <c r="G21" s="64"/>
      <c r="H21" s="64"/>
      <c r="I21" s="64"/>
      <c r="J21" s="64"/>
      <c r="K21" s="64"/>
      <c r="L21" s="64"/>
      <c r="M21" s="64"/>
      <c r="N21" s="64"/>
      <c r="O21" s="64"/>
      <c r="P21" s="64"/>
      <c r="Q21" s="64"/>
      <c r="R21" s="64"/>
      <c r="S21" s="64"/>
      <c r="T21" s="64"/>
      <c r="U21" s="64"/>
      <c r="V21" s="64"/>
    </row>
    <row r="22" spans="1:22" ht="18" customHeight="1" x14ac:dyDescent="0.2">
      <c r="A22" s="66" t="s">
        <v>72</v>
      </c>
      <c r="B22" s="70">
        <v>4</v>
      </c>
      <c r="C22" s="58" t="s">
        <v>56</v>
      </c>
      <c r="D22" s="64"/>
      <c r="E22" s="58" t="s">
        <v>56</v>
      </c>
      <c r="F22" s="64"/>
      <c r="G22" s="58" t="s">
        <v>56</v>
      </c>
      <c r="H22" s="64"/>
      <c r="I22" s="58" t="s">
        <v>56</v>
      </c>
      <c r="J22" s="64"/>
      <c r="K22" s="58" t="s">
        <v>56</v>
      </c>
      <c r="L22" s="64"/>
      <c r="M22" s="58" t="s">
        <v>56</v>
      </c>
      <c r="N22" s="64"/>
      <c r="O22" s="58" t="s">
        <v>56</v>
      </c>
      <c r="P22" s="64"/>
      <c r="Q22" s="58" t="s">
        <v>56</v>
      </c>
      <c r="R22" s="64"/>
      <c r="S22" s="58" t="s">
        <v>56</v>
      </c>
      <c r="T22" s="64"/>
      <c r="U22" s="58" t="s">
        <v>56</v>
      </c>
      <c r="V22" s="64"/>
    </row>
    <row r="23" spans="1:22" x14ac:dyDescent="0.2">
      <c r="A23" s="64"/>
      <c r="B23" s="64"/>
      <c r="C23" s="64"/>
      <c r="D23" s="64"/>
      <c r="E23" s="64"/>
      <c r="F23" s="64"/>
      <c r="G23" s="64"/>
      <c r="H23" s="64"/>
      <c r="I23" s="64"/>
      <c r="J23" s="64"/>
      <c r="K23" s="64"/>
      <c r="L23" s="64"/>
      <c r="M23" s="64"/>
      <c r="N23" s="64"/>
      <c r="O23" s="64"/>
      <c r="P23" s="64"/>
      <c r="Q23" s="64"/>
      <c r="R23" s="64"/>
      <c r="S23" s="64"/>
      <c r="T23" s="64"/>
      <c r="U23" s="64"/>
      <c r="V23" s="64"/>
    </row>
    <row r="24" spans="1:22" ht="18" customHeight="1" x14ac:dyDescent="0.2">
      <c r="A24" s="66" t="s">
        <v>73</v>
      </c>
      <c r="B24" s="70">
        <v>3</v>
      </c>
      <c r="C24" s="58" t="s">
        <v>56</v>
      </c>
      <c r="D24" s="64"/>
      <c r="E24" s="58" t="s">
        <v>56</v>
      </c>
      <c r="F24" s="64"/>
      <c r="G24" s="58" t="s">
        <v>56</v>
      </c>
      <c r="H24" s="64"/>
      <c r="I24" s="58" t="s">
        <v>56</v>
      </c>
      <c r="J24" s="64"/>
      <c r="K24" s="58" t="s">
        <v>56</v>
      </c>
      <c r="L24" s="64"/>
      <c r="M24" s="58" t="s">
        <v>56</v>
      </c>
      <c r="N24" s="64"/>
      <c r="O24" s="58" t="s">
        <v>56</v>
      </c>
      <c r="P24" s="64"/>
      <c r="Q24" s="58" t="s">
        <v>56</v>
      </c>
      <c r="R24" s="64"/>
      <c r="S24" s="58" t="s">
        <v>56</v>
      </c>
      <c r="T24" s="64"/>
      <c r="U24" s="58" t="s">
        <v>56</v>
      </c>
      <c r="V24" s="64"/>
    </row>
    <row r="25" spans="1:22" x14ac:dyDescent="0.2">
      <c r="A25" s="64"/>
      <c r="B25" s="64"/>
      <c r="C25" s="64"/>
      <c r="D25" s="64"/>
      <c r="E25" s="64"/>
      <c r="F25" s="64"/>
      <c r="G25" s="64"/>
      <c r="H25" s="64"/>
      <c r="I25" s="64"/>
      <c r="J25" s="64"/>
      <c r="K25" s="64"/>
      <c r="L25" s="64"/>
      <c r="M25" s="64"/>
      <c r="N25" s="64"/>
      <c r="O25" s="64"/>
      <c r="P25" s="64"/>
      <c r="Q25" s="64"/>
      <c r="R25" s="64"/>
      <c r="S25" s="64"/>
      <c r="T25" s="64"/>
      <c r="U25" s="64"/>
      <c r="V25" s="64"/>
    </row>
    <row r="26" spans="1:22" ht="18" customHeight="1" x14ac:dyDescent="0.2">
      <c r="A26" s="66" t="s">
        <v>74</v>
      </c>
      <c r="B26" s="70">
        <v>2</v>
      </c>
      <c r="C26" s="58" t="s">
        <v>56</v>
      </c>
      <c r="D26" s="64"/>
      <c r="E26" s="58" t="s">
        <v>56</v>
      </c>
      <c r="F26" s="64"/>
      <c r="G26" s="58" t="s">
        <v>56</v>
      </c>
      <c r="H26" s="64"/>
      <c r="I26" s="58" t="s">
        <v>56</v>
      </c>
      <c r="J26" s="64"/>
      <c r="K26" s="58" t="s">
        <v>56</v>
      </c>
      <c r="L26" s="64"/>
      <c r="M26" s="58" t="s">
        <v>56</v>
      </c>
      <c r="N26" s="64"/>
      <c r="O26" s="58" t="s">
        <v>56</v>
      </c>
      <c r="P26" s="64"/>
      <c r="Q26" s="58" t="s">
        <v>56</v>
      </c>
      <c r="R26" s="64"/>
      <c r="S26" s="58" t="s">
        <v>56</v>
      </c>
      <c r="T26" s="64"/>
      <c r="U26" s="58" t="s">
        <v>56</v>
      </c>
      <c r="V26" s="64"/>
    </row>
    <row r="27" spans="1:22" ht="12.75" customHeight="1" x14ac:dyDescent="0.2">
      <c r="A27" s="66"/>
      <c r="B27" s="70"/>
      <c r="C27" s="70"/>
      <c r="D27" s="70"/>
      <c r="E27" s="70"/>
      <c r="F27" s="70"/>
      <c r="G27" s="70"/>
      <c r="H27" s="70"/>
      <c r="I27" s="70"/>
      <c r="J27" s="70"/>
      <c r="K27" s="70"/>
      <c r="L27" s="70"/>
      <c r="M27" s="70"/>
      <c r="N27" s="70"/>
      <c r="O27" s="70"/>
      <c r="P27" s="70"/>
      <c r="Q27" s="70"/>
      <c r="R27" s="70"/>
      <c r="S27" s="70"/>
      <c r="T27" s="70"/>
      <c r="U27" s="70"/>
      <c r="V27" s="70"/>
    </row>
    <row r="29" spans="1:22" ht="12.75" hidden="1" customHeight="1" x14ac:dyDescent="0.2">
      <c r="A29" s="35" t="s">
        <v>119</v>
      </c>
      <c r="E29" s="84" t="str">
        <f>A32</f>
        <v>Force</v>
      </c>
      <c r="I29" s="35">
        <v>1</v>
      </c>
      <c r="K29" s="35">
        <v>3</v>
      </c>
    </row>
    <row r="30" spans="1:22" hidden="1" x14ac:dyDescent="0.2">
      <c r="A30" s="61">
        <v>0.1</v>
      </c>
      <c r="B30" s="36"/>
      <c r="C30" s="62"/>
      <c r="D30" s="62"/>
      <c r="E30" s="85" t="str">
        <f>A33</f>
        <v>Deadweight</v>
      </c>
      <c r="G30" s="62"/>
      <c r="I30" s="87">
        <v>5.0000000000000002E-5</v>
      </c>
      <c r="K30" s="86">
        <v>5.0000000000000001E-4</v>
      </c>
      <c r="N30" s="35" t="s">
        <v>131</v>
      </c>
      <c r="O30" s="35">
        <v>-2E-3</v>
      </c>
    </row>
    <row r="31" spans="1:22" hidden="1" x14ac:dyDescent="0.2">
      <c r="C31" s="62"/>
      <c r="D31" s="62"/>
      <c r="E31" s="85" t="str">
        <f>A33</f>
        <v>Deadweight</v>
      </c>
      <c r="G31" s="62">
        <v>1</v>
      </c>
      <c r="I31" s="86">
        <v>1E-4</v>
      </c>
      <c r="K31" s="86">
        <v>1E-3</v>
      </c>
      <c r="N31" s="35" t="s">
        <v>132</v>
      </c>
      <c r="O31" s="35">
        <v>3.0000000000000001E-3</v>
      </c>
    </row>
    <row r="32" spans="1:22" hidden="1" x14ac:dyDescent="0.2">
      <c r="A32" s="35" t="s">
        <v>59</v>
      </c>
      <c r="C32" s="62"/>
      <c r="D32" s="62"/>
      <c r="E32" s="85" t="str">
        <f>A34</f>
        <v>Hydraulic amplification</v>
      </c>
      <c r="G32" s="62"/>
      <c r="I32" s="86">
        <v>1E-4</v>
      </c>
      <c r="K32" s="86">
        <v>1E-3</v>
      </c>
      <c r="O32" s="35" t="s">
        <v>133</v>
      </c>
      <c r="Q32" s="35" t="s">
        <v>134</v>
      </c>
    </row>
    <row r="33" spans="1:27" hidden="1" x14ac:dyDescent="0.2">
      <c r="A33" s="62" t="s">
        <v>60</v>
      </c>
      <c r="C33" s="62"/>
      <c r="D33" s="62"/>
      <c r="E33" s="85" t="str">
        <f>A35</f>
        <v>Lever amplification</v>
      </c>
      <c r="G33" s="62"/>
      <c r="I33" s="86">
        <v>1E-4</v>
      </c>
      <c r="K33" s="86">
        <v>1E-3</v>
      </c>
      <c r="M33" s="35">
        <v>1</v>
      </c>
      <c r="O33" s="35">
        <f>$O$30+$O$31*M33</f>
        <v>1E-3</v>
      </c>
      <c r="Q33" s="90">
        <f>O33/M33</f>
        <v>1E-3</v>
      </c>
    </row>
    <row r="34" spans="1:27" hidden="1" x14ac:dyDescent="0.2">
      <c r="A34" s="62" t="s">
        <v>62</v>
      </c>
      <c r="C34" s="62"/>
      <c r="D34" s="62"/>
      <c r="E34" s="85" t="str">
        <f>A36</f>
        <v>Single reference transducer</v>
      </c>
      <c r="G34" s="62"/>
      <c r="I34" s="86">
        <v>2.0000000000000001E-4</v>
      </c>
      <c r="K34" s="86">
        <v>2E-3</v>
      </c>
      <c r="M34" s="35">
        <v>2</v>
      </c>
      <c r="O34" s="35">
        <f t="shared" ref="O34:O42" si="0">$O$30+$O$31*M34</f>
        <v>4.0000000000000001E-3</v>
      </c>
      <c r="Q34" s="90">
        <f t="shared" ref="Q34:Q42" si="1">O34/M34</f>
        <v>2E-3</v>
      </c>
    </row>
    <row r="35" spans="1:27" hidden="1" x14ac:dyDescent="0.2">
      <c r="A35" s="62" t="s">
        <v>64</v>
      </c>
      <c r="C35" s="62"/>
      <c r="D35" s="62"/>
      <c r="E35" s="85" t="str">
        <f>A36</f>
        <v>Single reference transducer</v>
      </c>
      <c r="G35" s="62">
        <v>10</v>
      </c>
      <c r="I35" s="86">
        <v>5.0000000000000001E-4</v>
      </c>
      <c r="K35" s="86">
        <v>5.0000000000000001E-3</v>
      </c>
      <c r="M35" s="35">
        <v>3</v>
      </c>
      <c r="O35" s="35">
        <f t="shared" si="0"/>
        <v>7.000000000000001E-3</v>
      </c>
      <c r="Q35" s="90">
        <f t="shared" si="1"/>
        <v>2.3333333333333335E-3</v>
      </c>
    </row>
    <row r="36" spans="1:27" hidden="1" x14ac:dyDescent="0.2">
      <c r="A36" s="62" t="s">
        <v>66</v>
      </c>
      <c r="C36" s="62"/>
      <c r="D36" s="62"/>
      <c r="E36" s="85" t="str">
        <f>A37</f>
        <v>Multiple reference transducers / build-up system</v>
      </c>
      <c r="G36" s="62"/>
      <c r="I36" s="86">
        <v>2.0000000000000001E-4</v>
      </c>
      <c r="K36" s="86">
        <v>2E-3</v>
      </c>
      <c r="M36" s="35">
        <v>4</v>
      </c>
      <c r="O36" s="35">
        <f t="shared" si="0"/>
        <v>0.01</v>
      </c>
      <c r="Q36" s="90">
        <f t="shared" si="1"/>
        <v>2.5000000000000001E-3</v>
      </c>
    </row>
    <row r="37" spans="1:27" hidden="1" x14ac:dyDescent="0.2">
      <c r="A37" s="62" t="s">
        <v>88</v>
      </c>
      <c r="E37" s="84" t="str">
        <f>A38</f>
        <v>Torque</v>
      </c>
      <c r="I37" s="35">
        <v>1</v>
      </c>
      <c r="K37" s="35">
        <v>3</v>
      </c>
      <c r="M37" s="35">
        <v>5</v>
      </c>
      <c r="O37" s="35">
        <f t="shared" si="0"/>
        <v>1.2999999999999999E-2</v>
      </c>
      <c r="Q37" s="90">
        <f t="shared" si="1"/>
        <v>2.5999999999999999E-3</v>
      </c>
    </row>
    <row r="38" spans="1:27" hidden="1" x14ac:dyDescent="0.2">
      <c r="A38" s="35" t="s">
        <v>54</v>
      </c>
      <c r="C38" s="62"/>
      <c r="D38" s="62"/>
      <c r="E38" s="85" t="str">
        <f>A39</f>
        <v>Deadweight + lever(s)</v>
      </c>
      <c r="G38" s="62"/>
      <c r="I38" s="86">
        <v>5.0000000000000002E-5</v>
      </c>
      <c r="K38" s="86">
        <v>5.0000000000000001E-4</v>
      </c>
      <c r="M38" s="35">
        <v>6</v>
      </c>
      <c r="O38" s="35">
        <f t="shared" si="0"/>
        <v>1.6E-2</v>
      </c>
      <c r="Q38" s="90">
        <f t="shared" si="1"/>
        <v>2.6666666666666666E-3</v>
      </c>
    </row>
    <row r="39" spans="1:27" hidden="1" x14ac:dyDescent="0.2">
      <c r="A39" s="62" t="s">
        <v>61</v>
      </c>
      <c r="C39" s="62"/>
      <c r="D39" s="62"/>
      <c r="E39" s="85" t="str">
        <f>A39</f>
        <v>Deadweight + lever(s)</v>
      </c>
      <c r="G39" s="62">
        <v>1</v>
      </c>
      <c r="I39" s="86">
        <v>1E-4</v>
      </c>
      <c r="K39" s="86">
        <v>1E-3</v>
      </c>
      <c r="M39" s="35">
        <v>7</v>
      </c>
      <c r="O39" s="35">
        <f t="shared" si="0"/>
        <v>1.9000000000000003E-2</v>
      </c>
      <c r="Q39" s="90">
        <f t="shared" si="1"/>
        <v>2.7142857142857147E-3</v>
      </c>
    </row>
    <row r="40" spans="1:27" hidden="1" x14ac:dyDescent="0.2">
      <c r="A40" s="62" t="s">
        <v>63</v>
      </c>
      <c r="C40" s="62"/>
      <c r="D40" s="62"/>
      <c r="E40" s="85" t="str">
        <f>A40</f>
        <v>Jockey weights + lever</v>
      </c>
      <c r="G40" s="62"/>
      <c r="I40" s="86">
        <v>2.0000000000000001E-4</v>
      </c>
      <c r="K40" s="86">
        <v>2E-3</v>
      </c>
      <c r="M40" s="35">
        <v>8</v>
      </c>
      <c r="O40" s="35">
        <f t="shared" si="0"/>
        <v>2.1999999999999999E-2</v>
      </c>
      <c r="Q40" s="90">
        <f t="shared" si="1"/>
        <v>2.7499999999999998E-3</v>
      </c>
    </row>
    <row r="41" spans="1:27" hidden="1" x14ac:dyDescent="0.2">
      <c r="A41" s="62" t="s">
        <v>65</v>
      </c>
      <c r="C41" s="62"/>
      <c r="D41" s="62"/>
      <c r="E41" s="85" t="str">
        <f>A41</f>
        <v>Load cell(s) + lever(s)</v>
      </c>
      <c r="G41" s="62"/>
      <c r="I41" s="86">
        <v>2.0000000000000001E-4</v>
      </c>
      <c r="K41" s="86">
        <v>2E-3</v>
      </c>
      <c r="M41" s="35">
        <v>9</v>
      </c>
      <c r="O41" s="35">
        <f t="shared" si="0"/>
        <v>2.5000000000000001E-2</v>
      </c>
      <c r="Q41" s="90">
        <f t="shared" si="1"/>
        <v>2.7777777777777779E-3</v>
      </c>
    </row>
    <row r="42" spans="1:27" hidden="1" x14ac:dyDescent="0.2">
      <c r="A42" s="62" t="s">
        <v>67</v>
      </c>
      <c r="C42" s="62"/>
      <c r="D42" s="62"/>
      <c r="E42" s="85" t="str">
        <f>A42</f>
        <v>Reference transducer</v>
      </c>
      <c r="G42" s="62"/>
      <c r="I42" s="86">
        <v>2.0000000000000001E-4</v>
      </c>
      <c r="K42" s="86">
        <v>2E-3</v>
      </c>
      <c r="M42" s="35">
        <v>10</v>
      </c>
      <c r="O42" s="35">
        <f t="shared" si="0"/>
        <v>2.7999999999999997E-2</v>
      </c>
      <c r="Q42" s="90">
        <f t="shared" si="1"/>
        <v>2.7999999999999995E-3</v>
      </c>
    </row>
    <row r="43" spans="1:27" hidden="1" x14ac:dyDescent="0.2">
      <c r="A43" s="62" t="s">
        <v>55</v>
      </c>
      <c r="C43" s="62"/>
      <c r="D43" s="62"/>
      <c r="E43" s="85" t="str">
        <f>A42</f>
        <v>Reference transducer</v>
      </c>
      <c r="G43" s="62">
        <v>10</v>
      </c>
      <c r="I43" s="86">
        <v>5.0000000000000001E-4</v>
      </c>
      <c r="K43" s="86">
        <v>5.0000000000000001E-3</v>
      </c>
    </row>
    <row r="44" spans="1:27" hidden="1" x14ac:dyDescent="0.2">
      <c r="C44" s="62"/>
      <c r="D44" s="62"/>
      <c r="E44" s="85" t="str">
        <f>A43</f>
        <v>Reference torque wrench</v>
      </c>
      <c r="G44" s="62"/>
      <c r="I44" s="86">
        <v>2.0000000000000001E-4</v>
      </c>
      <c r="K44" s="86">
        <v>2E-3</v>
      </c>
    </row>
    <row r="45" spans="1:27" hidden="1" x14ac:dyDescent="0.2">
      <c r="G45" s="107" t="s">
        <v>145</v>
      </c>
      <c r="I45" s="107" t="s">
        <v>146</v>
      </c>
      <c r="K45" s="107" t="s">
        <v>147</v>
      </c>
      <c r="M45" s="107" t="s">
        <v>148</v>
      </c>
      <c r="O45" s="107" t="s">
        <v>149</v>
      </c>
      <c r="Q45" s="107" t="s">
        <v>150</v>
      </c>
      <c r="S45" s="107" t="s">
        <v>151</v>
      </c>
      <c r="U45" s="107" t="s">
        <v>152</v>
      </c>
    </row>
    <row r="46" spans="1:27" hidden="1" x14ac:dyDescent="0.2">
      <c r="A46" s="35" t="s">
        <v>127</v>
      </c>
      <c r="C46" s="35" t="s">
        <v>129</v>
      </c>
      <c r="E46" s="89" t="s">
        <v>124</v>
      </c>
      <c r="G46" s="35" t="s">
        <v>120</v>
      </c>
      <c r="I46" s="35" t="s">
        <v>138</v>
      </c>
      <c r="K46" s="35" t="s">
        <v>137</v>
      </c>
      <c r="M46" s="35" t="s">
        <v>140</v>
      </c>
      <c r="O46" s="35" t="s">
        <v>139</v>
      </c>
      <c r="Q46" s="35" t="s">
        <v>121</v>
      </c>
      <c r="S46" s="35" t="s">
        <v>125</v>
      </c>
      <c r="U46" s="35" t="s">
        <v>136</v>
      </c>
    </row>
    <row r="47" spans="1:27" hidden="1" x14ac:dyDescent="0.2">
      <c r="A47" s="62" t="b">
        <f>IF(VALUE(IF(MID($A$30,2,1)=",",SUBSTITUTE(CMC!$D6,".",","),CMC!$D6))&lt;=VALUE(IF(MID($A$30,2,1)=",",SUBSTITUTE(CMC!$E6,".",","),CMC!$E6)),TRUE,FALSE)</f>
        <v>1</v>
      </c>
      <c r="C47" s="62" t="str">
        <f>CMC!J6&amp;
    IF(ISERROR(FIND("+",W47)),",no sum",",sum")&amp;
    IF(ISERROR(FIND("F",W47)),",no F",",F")&amp;
    IF(
        ISERROR(FIND("/",W47)),
        ",no div",
        IF(
            ISERROR(FIND("F/N",SUBSTITUTE(W47," ",""))),
            ",div N/F",
            ",div F/N"
        )
    )</f>
        <v>,no sum,no F,no div</v>
      </c>
      <c r="D47" s="62"/>
      <c r="E47" s="62" t="e">
        <f>HLOOKUP(C47,$G$46:$U$51,2,FALSE)</f>
        <v>#N/A</v>
      </c>
      <c r="G47" s="62" t="str">
        <f>IF(
    $C47=G$46,
    VALUE(
        IF(
            MID($A$30,2,1)=",",
            SUBSTITUTE(CMC!$I6,".",","),
            CMC!$I6
        )
    ),
    ""
)</f>
        <v/>
      </c>
      <c r="I47" s="62" t="str">
        <f>IF($C47=I$46,
   IF(ISERROR(FIND(";",CMC!I6)),
        "Semi-colon missing",
        MIN(
            VALUE(
                IF(
                    MID($A$30,2,1)=",",
                    SUBSTITUTE(TRIM(LEFT(W47,FIND("F",W47)-1)),".",","),
                    TRIM(LEFT(W47,FIND("F",W47)-1))
                )
            )* Y47,
            VALUE(
                IF(
                    MID($A$30,2,1)=",",
                    SUBSTITUTE(TRIM(LEFT(W47,FIND("F",W47)-1)),".",","),
                    TRIM(LEFT(W47,FIND("F",W47)-1))
                )
            )* AA47
        )
    ),
    ""
)</f>
        <v/>
      </c>
      <c r="K47" s="62" t="str">
        <f>IF($C47=K$46,
   IF(ISERROR(FIND(";",CMC!I6)),
        "Semi-colon missing",
        SUBSTITUTE(
            IF(
                MID($A$30,2,1)=",",
                SUBSTITUTE(TRIM(LEFT(W47,FIND("/",W47)-1)),".",","),
                TRIM(LEFT(W47,FIND("/",W47)-1))),
            "N",
            ""
        )
        /
        SUBSTITUTE(
            IF(
                MID($A$30,2,1)=",",
                SUBSTITUTE(TRIM(MID(W47,FIND("/",W47)+1,LEN(W47)-FIND("/",W47))),".",","),
                TRIM(MID(W47,FIND("/",W47)+1,LEN(W47)-FIND("/",W47)))
            ),
            "F",
            SUBSTITUTE(AA47,",",".")
        )
    ),
    ""
)</f>
        <v/>
      </c>
      <c r="M47" s="62" t="str">
        <f>IF($C47=M$46,
   IF(ISERROR(FIND(";",CMC!I6)),
        "Semi-colon missing",
        IF(FIND("+",W47)&lt;FIND("/",W47),
            MIN(
                VALUE(IF(MID($A$30,2,1)=",",SUBSTITUTE(TRIM(LEFT(W47,FIND("+",W47)-1)),".",","),TRIM(LEFT(W47,FIND("+",W47)-1))))+
                    VALUE(SUBSTITUTE(IF(MID($A$30,2,1)=",",SUBSTITUTE(TRIM(MID(W47,FIND("+",W47)+1,FIND("/",W47)-FIND("+",W47)-1)),".",","),TRIM(MID(W47,FIND("+",W47)+1,FIND("/",W47)-FIND("+",W47)-1))),"F",""))*Y47,
                VALUE(IF(MID($A$30,2,1)=",",SUBSTITUTE(TRIM(LEFT(W47,FIND("+",W47)-1)),".",","),TRIM(LEFT(W47,FIND("+",W47)-1))))+
                    VALUE(SUBSTITUTE(IF(MID($A$30,2,1)=",",SUBSTITUTE(TRIM(MID(W47,FIND("+",W47)+1,FIND("/",W47)-FIND("+",W47)-1)),".",","),TRIM(MID(W47,FIND("+",W47)+1,FIND("/",W47)-FIND("+",W47)-1))),"F",""))*AA47),
            100*MIN(
                VALUE(SUBSTITUTE(IF(MID($A$30,2,1)=",",SUBSTITUTE(TRIM(LEFT(W47,FIND("/",W47)-1)),".",","),TRIM(LEFT(W47,FIND("/",W47)-1))),"F",""))*Y47/100+
                    VALUE(IF(MID($A$30,2,1)=",",SUBSTITUTE(TRIM(MID(W47,FIND("+",W47)+1,LEN(W47)-FIND("+",W47))),".",","),TRIM(MID(W47,FIND("+",W47)+1,LEN(W47)-FIND("+",W47)))))/100,
                VALUE(SUBSTITUTE(IF(MID($A$30,2,1)=",",SUBSTITUTE(TRIM(LEFT(W47,FIND("/",W47)-1)),".",","),TRIM(LEFT(W47,FIND("/",W47)-1))),"F",""))*AA47/100+
                    VALUE(IF(MID($A$30,2,1)=",",SUBSTITUTE(TRIM(MID(W47,FIND("+",W47)+1,LEN(W47)-FIND("+",W47))),".",","),TRIM(MID(W47,FIND("+",W47)+1,LEN(W47)-FIND("+",W47)))))/100)
        )
    ),
    ""
)</f>
        <v/>
      </c>
      <c r="O47" s="62" t="str">
        <f>IF($C47=O$46,
    IF(ISERROR(FIND(";",CMC!I6)),
        "Semi-colon missing",
        IF(FIND("+",W47)&lt;FIND("/",W47),
            MIN(
                VALUE(SUBSTITUTE(IF(MID($A$30,2,1)=",",SUBSTITUTE(TRIM(LEFT(W47,FIND("+",W47)-1)),".",","),TRIM(LEFT(W47,FIND("+",W47)-1))),"N",""))+
                    VALUE(SUBSTITUTE(IF(MID($A$30,2,1)=",",SUBSTITUTE(TRIM(MID(W47,FIND("+",W47)+1,FIND("/",W47)-FIND("+",W47)-1)),".",","),TRIM(MID(W47,FIND("+",W47)+1,FIND("/",W47)-FIND("+",W47)-1))),"N",""))/AA47,
                VALUE(SUBSTITUTE(IF(MID($A$30,2,1)=",",SUBSTITUTE(TRIM(LEFT(W47,FIND("+",W47)-1)),".",","),TRIM(LEFT(W47,FIND("+",W47)-1))),"N",""))+
                    VALUE(SUBSTITUTE(IF(MID($A$30,2,1)=",",SUBSTITUTE(TRIM(MID(W47,FIND("+",W47)+1,FIND("/",W47)-FIND("+",W47)-1)),".",","),TRIM(MID(W47,FIND("+",W47)+1,FIND("/",W47)-FIND("+",W47)-1))),"N",""))/Y47),
            MIN(
                VALUE(SUBSTITUTE(IF(MID($A$30,2,1)=",",SUBSTITUTE(TRIM(LEFT(W47,FIND("/",W47)-1)),".",","),TRIM(LEFT(W47,FIND("/",W47)-1))),"N",""))/AA47+
                    VALUE(SUBSTITUTE(IF(MID($A$30,2,1)=",",SUBSTITUTE(TRIM(MID(W47,FIND("+",W47)+1,LEN(W47)-FIND("+",W47))),".",","),TRIM(MID(W47,FIND("+",W47)+1,LEN(W47)-FIND("+",W47)))),"N","")),
                VALUE(SUBSTITUTE(IF(MID($A$30,2,1)=",",SUBSTITUTE(TRIM(LEFT(W47,FIND("/",W47)-1)),".",","),TRIM(LEFT(W47,FIND("/",W47)-1))),"N",""))/Y47+
                    VALUE(SUBSTITUTE(IF(MID($A$30,2,1)=",",SUBSTITUTE(TRIM(MID(W47,FIND("+",W47)+1,LEN(W47)-FIND("+",W47))),".",","),TRIM(MID(W47,FIND("+",W47)+1,LEN(W47)-FIND("+",W47)))),"N","")))
        )
    ),
     ""
)</f>
        <v/>
      </c>
      <c r="Q47" s="62" t="str">
        <f>IF($C47=Q$46,
    IF(ISERROR(FIND(";",CMC!I6)),
        "Semi-colon missing",
        IF(FIND("+",W47)&lt;FIND("F",W47),
            100*MIN(
                VALUE(SUBSTITUTE(IF(MID($A$30,2,1)=",",SUBSTITUTE(TRIM(LEFT(W47,FIND("+",W47)-1)),".",","),TRIM(LEFT(W47,FIND("+",W47)-1))),"N",""))/AA47+
                     VALUE(SUBSTITUTE(IF(MID($A$30,2,1)=",",SUBSTITUTE(TRIM(MID(W47,FIND("+",W47)+1,FIND("F",W47)-FIND("+",W47)-1)),".",","),TRIM(MID(W47,FIND("+",W47)+1,FIND("F",W47)-FIND("+",W47)-1))),"N","")),
                VALUE(SUBSTITUTE(IF(MID($A$30,2,1)=",",SUBSTITUTE(TRIM(LEFT(W47,FIND("+",W47)-1)),".",","),TRIM(LEFT(W47,FIND("+",W47)-1))),"N",""))/Y47+
                      VALUE(SUBSTITUTE(IF(MID($A$30,2,1)=",",SUBSTITUTE(TRIM(MID(W47,FIND("+",W47)+1,FIND("F",W47)-FIND("+",W47)-1)),".",","),TRIM(MID(W47,FIND("+",W47)+1,FIND("F",W47)-FIND("+",W47)-1))),"N",""))),
            100*MIN(
                VALUE(SUBSTITUTE(IF(MID($A$30,2,1)=",",SUBSTITUTE(TRIM(LEFT(W47,FIND("F",W47)-1)),".",","),TRIM(LEFT(W47,FIND("F",W47)-1))),"N",""))+
                           VALUE(SUBSTITUTE(IF(MID($A$30,2,1)=",",SUBSTITUTE(TRIM(MID(W47,FIND("+",W47)+1,LEN(W47)-FIND("+",W47))),".",","),TRIM(MID(W47,FIND("+",W47)+1,LEN(W47)-FIND("+",W47)))),"N",""))/AA47,
                VALUE(SUBSTITUTE(IF(MID($A$30,2,1)=",",SUBSTITUTE(TRIM(LEFT(W47,FIND("F",W47)-1)),".",","),TRIM(LEFT(W47,FIND("F",W47)-1))),"N",""))+
                           VALUE(SUBSTITUTE(IF(MID($A$30,2,1)=",",SUBSTITUTE(TRIM(MID(W47,FIND("+",W47)+1,LEN(W47)-FIND("+",W47))),".",","),TRIM(MID(W47,FIND("+",W47)+1,LEN(W47)-FIND("+",W47)))),"N",""))/Y47)
        )
    ),
    ""
)</f>
        <v/>
      </c>
      <c r="S47" s="62" t="str">
        <f>IF(
    $C47=S$46,
    100*VALUE(
        SUBSTITUTE(
            IF(
                MID($A$30,2,1)=",",
                SUBSTITUTE(W47,".",","),
                W47
            ),
        "F",
        ""
        )
    ),
    ""
)</f>
        <v/>
      </c>
      <c r="U47" s="62" t="str">
        <f>IF(
    $C47=U$46,
    100*VALUE(
        SUBSTITUTE(
            IF(
                MID($A$30,2,1)=",",
                SUBSTITUTE(CMC!$I6,".",","),
                CMC!$I6
            ),
            "N",
            ""
        )
    )/AA47,
    ""
)</f>
        <v/>
      </c>
      <c r="W47" s="62" t="str">
        <f>IF(CMC!I6="","",IF(ISERROR(LEFT(CMC!I6,FIND(";",CMC!I6)-1)),CMC!I6,LEFT(CMC!I6,FIND(";",CMC!I6)-1)))</f>
        <v/>
      </c>
      <c r="Y47" s="62" t="str">
        <f>C7</f>
        <v/>
      </c>
      <c r="AA47" s="62" t="str">
        <f>IF(C$5="","",
  IF(CMC!$D6="","Minimum value missing.",
    IF(CMC!$F6="","Unit missing.",
      IF(EXACT(CMC!$F6,"mN"),VALUE(IF(MID($A$30,2,1)=",",SUBSTITUTE(CMC!$E6,".",","),CMC!$E6))/1000,
        IF(EXACT(CMC!$F6,"N"),VALUE(IF(MID($A$30,2,1)=",",SUBSTITUTE(CMC!$E6,".",","),CMC!$E6)),
          IF(EXACT(CMC!$F6,"kN"),VALUE(IF(MID($A$30,2,1)=",",SUBSTITUTE(CMC!$E6,".",","),CMC!$E6))*1000,
            IF(EXACT(CMC!$F6,"MN"),VALUE(IF(MID($A$30,2,1)=",",SUBSTITUTE(CMC!$E6,".",","),CMC!$E6))*1000000)
            )
          )
      )
    )
  )
)</f>
        <v/>
      </c>
    </row>
    <row r="48" spans="1:27" hidden="1" x14ac:dyDescent="0.2">
      <c r="A48" s="62" t="b">
        <f>IF(VALUE(IF(MID($A$30,2,1)=",",SUBSTITUTE(CMC!$D7,".",","),CMC!$D7))&lt;=VALUE(IF(MID($A$30,2,1)=",",SUBSTITUTE(CMC!$E7,".",","),CMC!$E7)),TRUE,FALSE)</f>
        <v>1</v>
      </c>
      <c r="C48" s="62" t="str">
        <f>CMC!J7&amp;
    IF(ISERROR(FIND("+",W48)),",no sum",",sum")&amp;
    IF(ISERROR(FIND("F",W48)),",no F",",F")&amp;
    IF(
        ISERROR(FIND("/",W48)),
        ",no div",
        IF(
            ISERROR(FIND("F/N",SUBSTITUTE(W48," ",""))),
            ",div N/F",
            ",div F/N"
        )
    )</f>
        <v>,no sum,no F,no div</v>
      </c>
      <c r="D48" s="62"/>
      <c r="E48" s="62" t="e">
        <f>HLOOKUP(C48,$G$46:$U$51,3,FALSE)</f>
        <v>#N/A</v>
      </c>
      <c r="G48" s="62" t="str">
        <f>IF(
    $C48=G$46,
    VALUE(
        IF(
            MID($A$30,2,1)=",",
            SUBSTITUTE(CMC!$I7,".",","),
            CMC!$I7
        )
    ),
    ""
)</f>
        <v/>
      </c>
      <c r="I48" s="62" t="str">
        <f>IF($C48=I$46,
   IF(ISERROR(FIND(";",CMC!I7)),
        "Semi-colon missing",
        MIN(
            VALUE(
                IF(
                    MID($A$30,2,1)=",",
                    SUBSTITUTE(TRIM(LEFT(W48,FIND("F",W48)-1)),".",","),
                    TRIM(LEFT(W48,FIND("F",W48)-1))
                )
            )* Y48,
            VALUE(
                IF(
                    MID($A$30,2,1)=",",
                    SUBSTITUTE(TRIM(LEFT(W48,FIND("F",W48)-1)),".",","),
                    TRIM(LEFT(W48,FIND("F",W48)-1))
                )
            )* AA48
        )
    ),
    ""
)</f>
        <v/>
      </c>
      <c r="K48" s="62" t="str">
        <f>IF($C48=K$46,
   IF(ISERROR(FIND(";",CMC!I7)),
        "Semi-colon missing",
        SUBSTITUTE(
            IF(
                MID($A$30,2,1)=",",
                SUBSTITUTE(TRIM(LEFT(W48,FIND("/",W48)-1)),".",","),
                TRIM(LEFT(W48,FIND("/",W48)-1))),
            "N",
            ""
        )
        /
        SUBSTITUTE(
            IF(
                MID($A$30,2,1)=",",
                SUBSTITUTE(TRIM(MID(W48,FIND("/",W48)+1,LEN(W48)-FIND("/",W48))),".",","),
                TRIM(MID(W48,FIND("/",W48)+1,LEN(W48)-FIND("/",W48)))
            ),
            "F",
            SUBSTITUTE(AA48,",",".")
        )
    ),
    ""
)</f>
        <v/>
      </c>
      <c r="M48" s="62" t="str">
        <f>IF($C48=M$46,
   IF(ISERROR(FIND(";",CMC!I7)),
        "Semi-colon missing",
        IF(FIND("+",W48)&lt;FIND("/",W48),
            MIN(
                VALUE(IF(MID($A$30,2,1)=",",SUBSTITUTE(TRIM(LEFT(W48,FIND("+",W48)-1)),".",","),TRIM(LEFT(W48,FIND("+",W48)-1))))+
                    VALUE(SUBSTITUTE(IF(MID($A$30,2,1)=",",SUBSTITUTE(TRIM(MID(W48,FIND("+",W48)+1,FIND("/",W48)-FIND("+",W48)-1)),".",","),TRIM(MID(W48,FIND("+",W48)+1,FIND("/",W48)-FIND("+",W48)-1))),"F",""))*Y48,
                VALUE(IF(MID($A$30,2,1)=",",SUBSTITUTE(TRIM(LEFT(W48,FIND("+",W48)-1)),".",","),TRIM(LEFT(W48,FIND("+",W48)-1))))+
                    VALUE(SUBSTITUTE(IF(MID($A$30,2,1)=",",SUBSTITUTE(TRIM(MID(W48,FIND("+",W48)+1,FIND("/",W48)-FIND("+",W48)-1)),".",","),TRIM(MID(W48,FIND("+",W48)+1,FIND("/",W48)-FIND("+",W48)-1))),"F",""))*AA48),
            100*MIN(
                VALUE(SUBSTITUTE(IF(MID($A$30,2,1)=",",SUBSTITUTE(TRIM(LEFT(W48,FIND("/",W48)-1)),".",","),TRIM(LEFT(W48,FIND("/",W48)-1))),"F",""))*Y48/100+
                    VALUE(IF(MID($A$30,2,1)=",",SUBSTITUTE(TRIM(MID(W48,FIND("+",W48)+1,LEN(W48)-FIND("+",W48))),".",","),TRIM(MID(W48,FIND("+",W48)+1,LEN(W48)-FIND("+",W48)))))/100,
                VALUE(SUBSTITUTE(IF(MID($A$30,2,1)=",",SUBSTITUTE(TRIM(LEFT(W48,FIND("/",W48)-1)),".",","),TRIM(LEFT(W48,FIND("/",W48)-1))),"F",""))*AA48/100+
                    VALUE(IF(MID($A$30,2,1)=",",SUBSTITUTE(TRIM(MID(W48,FIND("+",W48)+1,LEN(W48)-FIND("+",W48))),".",","),TRIM(MID(W48,FIND("+",W48)+1,LEN(W48)-FIND("+",W48)))))/100)
        )
    ),
    ""
)</f>
        <v/>
      </c>
      <c r="O48" s="62" t="str">
        <f>IF($C48=O$46,
    IF(ISERROR(FIND(";",CMC!I7)),
        "Semi-colon missing",
        IF(FIND("+",W48)&lt;FIND("/",W48),
            MIN(
                VALUE(SUBSTITUTE(IF(MID($A$30,2,1)=",",SUBSTITUTE(TRIM(LEFT(W48,FIND("+",W48)-1)),".",","),TRIM(LEFT(W48,FIND("+",W48)-1))),"N",""))+
                    VALUE(SUBSTITUTE(IF(MID($A$30,2,1)=",",SUBSTITUTE(TRIM(MID(W48,FIND("+",W48)+1,FIND("/",W48)-FIND("+",W48)-1)),".",","),TRIM(MID(W48,FIND("+",W48)+1,FIND("/",W48)-FIND("+",W48)-1))),"N",""))/AA48,
                VALUE(SUBSTITUTE(IF(MID($A$30,2,1)=",",SUBSTITUTE(TRIM(LEFT(W48,FIND("+",W48)-1)),".",","),TRIM(LEFT(W48,FIND("+",W48)-1))),"N",""))+
                    VALUE(SUBSTITUTE(IF(MID($A$30,2,1)=",",SUBSTITUTE(TRIM(MID(W48,FIND("+",W48)+1,FIND("/",W48)-FIND("+",W48)-1)),".",","),TRIM(MID(W48,FIND("+",W48)+1,FIND("/",W48)-FIND("+",W48)-1))),"N",""))/Y48),
            MIN(
                VALUE(SUBSTITUTE(IF(MID($A$30,2,1)=",",SUBSTITUTE(TRIM(LEFT(W48,FIND("/",W48)-1)),".",","),TRIM(LEFT(W48,FIND("/",W48)-1))),"N",""))/AA48+
                    VALUE(SUBSTITUTE(IF(MID($A$30,2,1)=",",SUBSTITUTE(TRIM(MID(W48,FIND("+",W48)+1,LEN(W48)-FIND("+",W48))),".",","),TRIM(MID(W48,FIND("+",W48)+1,LEN(W48)-FIND("+",W48)))),"N","")),
                VALUE(SUBSTITUTE(IF(MID($A$30,2,1)=",",SUBSTITUTE(TRIM(LEFT(W48,FIND("/",W48)-1)),".",","),TRIM(LEFT(W48,FIND("/",W48)-1))),"N",""))/Y48+
                    VALUE(SUBSTITUTE(IF(MID($A$30,2,1)=",",SUBSTITUTE(TRIM(MID(W48,FIND("+",W48)+1,LEN(W48)-FIND("+",W48))),".",","),TRIM(MID(W48,FIND("+",W48)+1,LEN(W48)-FIND("+",W48)))),"N","")))
        )
    ),
     ""
)</f>
        <v/>
      </c>
      <c r="Q48" s="62" t="str">
        <f>IF($C48=Q$46,
    IF(ISERROR(FIND(";",CMC!I7)),
        "Semi-colon missing",
        IF(FIND("+",W48)&lt;FIND("F",W48),
            100*MIN(
                VALUE(SUBSTITUTE(IF(MID($A$30,2,1)=",",SUBSTITUTE(TRIM(LEFT(W48,FIND("+",W48)-1)),".",","),TRIM(LEFT(W48,FIND("+",W48)-1))),"N",""))/AA48+
                     VALUE(SUBSTITUTE(IF(MID($A$30,2,1)=",",SUBSTITUTE(TRIM(MID(W48,FIND("+",W48)+1,FIND("F",W48)-FIND("+",W48)-1)),".",","),TRIM(MID(W48,FIND("+",W48)+1,FIND("F",W48)-FIND("+",W48)-1))),"N","")),
                VALUE(SUBSTITUTE(IF(MID($A$30,2,1)=",",SUBSTITUTE(TRIM(LEFT(W48,FIND("+",W48)-1)),".",","),TRIM(LEFT(W48,FIND("+",W48)-1))),"N",""))/Y48+
                      VALUE(SUBSTITUTE(IF(MID($A$30,2,1)=",",SUBSTITUTE(TRIM(MID(W48,FIND("+",W48)+1,FIND("F",W48)-FIND("+",W48)-1)),".",","),TRIM(MID(W48,FIND("+",W48)+1,FIND("F",W48)-FIND("+",W48)-1))),"N",""))),
            100*MIN(
                VALUE(SUBSTITUTE(IF(MID($A$30,2,1)=",",SUBSTITUTE(TRIM(LEFT(W48,FIND("F",W48)-1)),".",","),TRIM(LEFT(W48,FIND("F",W48)-1))),"N",""))+
                           VALUE(SUBSTITUTE(IF(MID($A$30,2,1)=",",SUBSTITUTE(TRIM(MID(W48,FIND("+",W48)+1,LEN(W48)-FIND("+",W48))),".",","),TRIM(MID(W48,FIND("+",W48)+1,LEN(W48)-FIND("+",W48)))),"N",""))/AA48,
                VALUE(SUBSTITUTE(IF(MID($A$30,2,1)=",",SUBSTITUTE(TRIM(LEFT(W48,FIND("F",W48)-1)),".",","),TRIM(LEFT(W48,FIND("F",W48)-1))),"N",""))+
                           VALUE(SUBSTITUTE(IF(MID($A$30,2,1)=",",SUBSTITUTE(TRIM(MID(W48,FIND("+",W48)+1,LEN(W48)-FIND("+",W48))),".",","),TRIM(MID(W48,FIND("+",W48)+1,LEN(W48)-FIND("+",W48)))),"N",""))/Y48)
        )
    ),
    ""
)</f>
        <v/>
      </c>
      <c r="S48" s="62" t="str">
        <f>IF(
    $C48=S$46,
    100*VALUE(
        SUBSTITUTE(
            IF(
                MID($A$30,2,1)=",",
                SUBSTITUTE(W48,".",","),
                W48
            ),
        "F",
        ""
        )
    ),
    ""
)</f>
        <v/>
      </c>
      <c r="U48" s="62" t="str">
        <f>IF(
    $C48=U$46,
    100*VALUE(
        SUBSTITUTE(
            IF(
                MID($A$30,2,1)=",",
                SUBSTITUTE(CMC!$I7,".",","),
                CMC!$I7
            ),
            "N",
            ""
        )
    )/AA48,
    ""
)</f>
        <v/>
      </c>
      <c r="W48" s="62" t="str">
        <f>IF(CMC!I7="","",IF(ISERROR(LEFT(CMC!I7,FIND(";",CMC!I7)-1)),CMC!I7,LEFT(CMC!I7,FIND(";",CMC!I7)-1)))</f>
        <v/>
      </c>
      <c r="Y48" s="62" t="str">
        <f>E7</f>
        <v/>
      </c>
      <c r="AA48" s="62" t="str">
        <f>IF(E$5="","",
  IF(CMC!$D7="","Minimum value missing.",
    IF(CMC!$F7="","Unit missing.",
      IF(EXACT(CMC!$F7,"mN"),VALUE(IF(MID($A$30,2,1)=",",SUBSTITUTE(CMC!$E7,".",","),CMC!$E7))/1000,
        IF(EXACT(CMC!$F7,"N"),VALUE(IF(MID($A$30,2,1)=",",SUBSTITUTE(CMC!$E7,".",","),CMC!$E7)),
          IF(EXACT(CMC!$F7,"kN"),VALUE(IF(MID($A$30,2,1)=",",SUBSTITUTE(CMC!$E7,".",","),CMC!$E7))*1000,
            IF(EXACT(CMC!$F7,"MN"),VALUE(IF(MID($A$30,2,1)=",",SUBSTITUTE(CMC!$E7,".",","),CMC!$E7))*1000000)
            )
          )
      )
    )
  )
)</f>
        <v/>
      </c>
    </row>
    <row r="49" spans="1:27" hidden="1" x14ac:dyDescent="0.2">
      <c r="A49" s="62" t="b">
        <f>IF(VALUE(IF(MID($A$30,2,1)=",",SUBSTITUTE(CMC!$D8,".",","),CMC!$D8))&lt;=VALUE(IF(MID($A$30,2,1)=",",SUBSTITUTE(CMC!$E8,".",","),CMC!$E8)),TRUE,FALSE)</f>
        <v>1</v>
      </c>
      <c r="C49" s="62" t="str">
        <f>CMC!J8&amp;
    IF(ISERROR(FIND("+",W49)),",no sum",",sum")&amp;
    IF(ISERROR(FIND("F",W49)),",no F",",F")&amp;
    IF(
        ISERROR(FIND("/",W49)),
        ",no div",
        IF(
            ISERROR(FIND("F/N",SUBSTITUTE(W49," ",""))),
            ",div N/F",
            ",div F/N"
        )
    )</f>
        <v>,no sum,no F,no div</v>
      </c>
      <c r="D49" s="62"/>
      <c r="E49" s="62" t="e">
        <f>HLOOKUP(C49,$G$46:$U$51,4,FALSE)</f>
        <v>#N/A</v>
      </c>
      <c r="G49" s="62" t="str">
        <f>IF(
    $C49=G$46,
    VALUE(
        IF(
            MID($A$30,2,1)=",",
            SUBSTITUTE(CMC!$I8,".",","),
            CMC!$I8
        )
    ),
    ""
)</f>
        <v/>
      </c>
      <c r="I49" s="62" t="str">
        <f>IF($C49=I$46,
   IF(ISERROR(FIND(";",CMC!I8)),
        "Semi-colon missing",
        MIN(
            VALUE(
                IF(
                    MID($A$30,2,1)=",",
                    SUBSTITUTE(TRIM(LEFT(W49,FIND("F",W49)-1)),".",","),
                    TRIM(LEFT(W49,FIND("F",W49)-1))
                )
            )* Y49,
            VALUE(
                IF(
                    MID($A$30,2,1)=",",
                    SUBSTITUTE(TRIM(LEFT(W49,FIND("F",W49)-1)),".",","),
                    TRIM(LEFT(W49,FIND("F",W49)-1))
                )
            )* AA49
        )
    ),
    ""
)</f>
        <v/>
      </c>
      <c r="K49" s="62" t="str">
        <f>IF($C49=K$46,
   IF(ISERROR(FIND(";",CMC!I8)),
        "Semi-colon missing",
        SUBSTITUTE(
            IF(
                MID($A$30,2,1)=",",
                SUBSTITUTE(TRIM(LEFT(W49,FIND("/",W49)-1)),".",","),
                TRIM(LEFT(W49,FIND("/",W49)-1))),
            "N",
            ""
        )
        /
        SUBSTITUTE(
            IF(
                MID($A$30,2,1)=",",
                SUBSTITUTE(TRIM(MID(W49,FIND("/",W49)+1,LEN(W49)-FIND("/",W49))),".",","),
                TRIM(MID(W49,FIND("/",W49)+1,LEN(W49)-FIND("/",W49)))
            ),
            "F",
            SUBSTITUTE(AA49,",",".")
        )
    ),
    ""
)</f>
        <v/>
      </c>
      <c r="M49" s="62" t="str">
        <f>IF($C49=M$46,
   IF(ISERROR(FIND(";",CMC!I8)),
        "Semi-colon missing",
        IF(FIND("+",W49)&lt;FIND("/",W49),
            MIN(
                VALUE(IF(MID($A$30,2,1)=",",SUBSTITUTE(TRIM(LEFT(W49,FIND("+",W49)-1)),".",","),TRIM(LEFT(W49,FIND("+",W49)-1))))+
                    VALUE(SUBSTITUTE(IF(MID($A$30,2,1)=",",SUBSTITUTE(TRIM(MID(W49,FIND("+",W49)+1,FIND("/",W49)-FIND("+",W49)-1)),".",","),TRIM(MID(W49,FIND("+",W49)+1,FIND("/",W49)-FIND("+",W49)-1))),"F",""))*Y49,
                VALUE(IF(MID($A$30,2,1)=",",SUBSTITUTE(TRIM(LEFT(W49,FIND("+",W49)-1)),".",","),TRIM(LEFT(W49,FIND("+",W49)-1))))+
                    VALUE(SUBSTITUTE(IF(MID($A$30,2,1)=",",SUBSTITUTE(TRIM(MID(W49,FIND("+",W49)+1,FIND("/",W49)-FIND("+",W49)-1)),".",","),TRIM(MID(W49,FIND("+",W49)+1,FIND("/",W49)-FIND("+",W49)-1))),"F",""))*AA49),
            100*MIN(
                VALUE(SUBSTITUTE(IF(MID($A$30,2,1)=",",SUBSTITUTE(TRIM(LEFT(W49,FIND("/",W49)-1)),".",","),TRIM(LEFT(W49,FIND("/",W49)-1))),"F",""))*Y49/100+
                    VALUE(IF(MID($A$30,2,1)=",",SUBSTITUTE(TRIM(MID(W49,FIND("+",W49)+1,LEN(W49)-FIND("+",W49))),".",","),TRIM(MID(W49,FIND("+",W49)+1,LEN(W49)-FIND("+",W49)))))/100,
                VALUE(SUBSTITUTE(IF(MID($A$30,2,1)=",",SUBSTITUTE(TRIM(LEFT(W49,FIND("/",W49)-1)),".",","),TRIM(LEFT(W49,FIND("/",W49)-1))),"F",""))*AA49/100+
                    VALUE(IF(MID($A$30,2,1)=",",SUBSTITUTE(TRIM(MID(W49,FIND("+",W49)+1,LEN(W49)-FIND("+",W49))),".",","),TRIM(MID(W49,FIND("+",W49)+1,LEN(W49)-FIND("+",W49)))))/100)
        )
    ),
    ""
)</f>
        <v/>
      </c>
      <c r="O49" s="62" t="str">
        <f>IF($C49=O$46,
    IF(ISERROR(FIND(";",CMC!I8)),
        "Semi-colon missing",
        IF(FIND("+",W49)&lt;FIND("/",W49),
            MIN(
                VALUE(SUBSTITUTE(IF(MID($A$30,2,1)=",",SUBSTITUTE(TRIM(LEFT(W49,FIND("+",W49)-1)),".",","),TRIM(LEFT(W49,FIND("+",W49)-1))),"N",""))+
                    VALUE(SUBSTITUTE(IF(MID($A$30,2,1)=",",SUBSTITUTE(TRIM(MID(W49,FIND("+",W49)+1,FIND("/",W49)-FIND("+",W49)-1)),".",","),TRIM(MID(W49,FIND("+",W49)+1,FIND("/",W49)-FIND("+",W49)-1))),"N",""))/AA49,
                VALUE(SUBSTITUTE(IF(MID($A$30,2,1)=",",SUBSTITUTE(TRIM(LEFT(W49,FIND("+",W49)-1)),".",","),TRIM(LEFT(W49,FIND("+",W49)-1))),"N",""))+
                    VALUE(SUBSTITUTE(IF(MID($A$30,2,1)=",",SUBSTITUTE(TRIM(MID(W49,FIND("+",W49)+1,FIND("/",W49)-FIND("+",W49)-1)),".",","),TRIM(MID(W49,FIND("+",W49)+1,FIND("/",W49)-FIND("+",W49)-1))),"N",""))/Y49),
            MIN(
                VALUE(SUBSTITUTE(IF(MID($A$30,2,1)=",",SUBSTITUTE(TRIM(LEFT(W49,FIND("/",W49)-1)),".",","),TRIM(LEFT(W49,FIND("/",W49)-1))),"N",""))/AA49+
                    VALUE(SUBSTITUTE(IF(MID($A$30,2,1)=",",SUBSTITUTE(TRIM(MID(W49,FIND("+",W49)+1,LEN(W49)-FIND("+",W49))),".",","),TRIM(MID(W49,FIND("+",W49)+1,LEN(W49)-FIND("+",W49)))),"N","")),
                VALUE(SUBSTITUTE(IF(MID($A$30,2,1)=",",SUBSTITUTE(TRIM(LEFT(W49,FIND("/",W49)-1)),".",","),TRIM(LEFT(W49,FIND("/",W49)-1))),"N",""))/Y49+
                    VALUE(SUBSTITUTE(IF(MID($A$30,2,1)=",",SUBSTITUTE(TRIM(MID(W49,FIND("+",W49)+1,LEN(W49)-FIND("+",W49))),".",","),TRIM(MID(W49,FIND("+",W49)+1,LEN(W49)-FIND("+",W49)))),"N","")))
        )
    ),
     ""
)</f>
        <v/>
      </c>
      <c r="Q49" s="62" t="str">
        <f>IF($C49=Q$46,
    IF(ISERROR(FIND(";",CMC!I8)),
        "Semi-colon missing",
        IF(FIND("+",W49)&lt;FIND("F",W49),
            100*MIN(
                VALUE(SUBSTITUTE(IF(MID($A$30,2,1)=",",SUBSTITUTE(TRIM(LEFT(W49,FIND("+",W49)-1)),".",","),TRIM(LEFT(W49,FIND("+",W49)-1))),"N",""))/AA49+
                     VALUE(SUBSTITUTE(IF(MID($A$30,2,1)=",",SUBSTITUTE(TRIM(MID(W49,FIND("+",W49)+1,FIND("F",W49)-FIND("+",W49)-1)),".",","),TRIM(MID(W49,FIND("+",W49)+1,FIND("F",W49)-FIND("+",W49)-1))),"N","")),
                VALUE(SUBSTITUTE(IF(MID($A$30,2,1)=",",SUBSTITUTE(TRIM(LEFT(W49,FIND("+",W49)-1)),".",","),TRIM(LEFT(W49,FIND("+",W49)-1))),"N",""))/Y49+
                      VALUE(SUBSTITUTE(IF(MID($A$30,2,1)=",",SUBSTITUTE(TRIM(MID(W49,FIND("+",W49)+1,FIND("F",W49)-FIND("+",W49)-1)),".",","),TRIM(MID(W49,FIND("+",W49)+1,FIND("F",W49)-FIND("+",W49)-1))),"N",""))),
            100*MIN(
                VALUE(SUBSTITUTE(IF(MID($A$30,2,1)=",",SUBSTITUTE(TRIM(LEFT(W49,FIND("F",W49)-1)),".",","),TRIM(LEFT(W49,FIND("F",W49)-1))),"N",""))+
                           VALUE(SUBSTITUTE(IF(MID($A$30,2,1)=",",SUBSTITUTE(TRIM(MID(W49,FIND("+",W49)+1,LEN(W49)-FIND("+",W49))),".",","),TRIM(MID(W49,FIND("+",W49)+1,LEN(W49)-FIND("+",W49)))),"N",""))/AA49,
                VALUE(SUBSTITUTE(IF(MID($A$30,2,1)=",",SUBSTITUTE(TRIM(LEFT(W49,FIND("F",W49)-1)),".",","),TRIM(LEFT(W49,FIND("F",W49)-1))),"N",""))+
                           VALUE(SUBSTITUTE(IF(MID($A$30,2,1)=",",SUBSTITUTE(TRIM(MID(W49,FIND("+",W49)+1,LEN(W49)-FIND("+",W49))),".",","),TRIM(MID(W49,FIND("+",W49)+1,LEN(W49)-FIND("+",W49)))),"N",""))/Y49)
        )
    ),
    ""
)</f>
        <v/>
      </c>
      <c r="S49" s="62" t="str">
        <f>IF(
    $C49=S$46,
    100*VALUE(
        SUBSTITUTE(
            IF(
                MID($A$30,2,1)=",",
                SUBSTITUTE(W49,".",","),
                W49
            ),
        "F",
        ""
        )
    ),
    ""
)</f>
        <v/>
      </c>
      <c r="U49" s="62" t="str">
        <f>IF(
    $C49=U$46,
    100*VALUE(
        SUBSTITUTE(
            IF(
                MID($A$30,2,1)=",",
                SUBSTITUTE(CMC!$I8,".",","),
                CMC!$I8
            ),
            "N",
            ""
        )
    )/AA49,
    ""
)</f>
        <v/>
      </c>
      <c r="W49" s="62" t="str">
        <f>IF(CMC!I8="","",IF(ISERROR(LEFT(CMC!I8,FIND(";",CMC!I8)-1)),CMC!I8,LEFT(CMC!I8,FIND(";",CMC!I8)-1)))</f>
        <v/>
      </c>
      <c r="Y49" s="62" t="str">
        <f>G7</f>
        <v/>
      </c>
      <c r="AA49" s="62" t="str">
        <f>IF(G$5="","",
  IF(CMC!$D8="","Minimum value missing.",
    IF(CMC!$F8="","Unit missing.",
      IF(EXACT(CMC!$F8,"mN"),VALUE(IF(MID($A$30,2,1)=",",SUBSTITUTE(CMC!$E8,".",","),CMC!$E8))/1000,
        IF(EXACT(CMC!$F8,"N"),VALUE(IF(MID($A$30,2,1)=",",SUBSTITUTE(CMC!$E8,".",","),CMC!$E8)),
          IF(EXACT(CMC!$F8,"kN"),VALUE(IF(MID($A$30,2,1)=",",SUBSTITUTE(CMC!$E8,".",","),CMC!$E8))*1000,
            IF(EXACT(CMC!$F8,"MN"),VALUE(IF(MID($A$30,2,1)=",",SUBSTITUTE(CMC!$E8,".",","),CMC!$E8))*1000000)
            )
          )
      )
    )
  )
)</f>
        <v/>
      </c>
    </row>
    <row r="50" spans="1:27" hidden="1" x14ac:dyDescent="0.2">
      <c r="A50" s="62" t="b">
        <f>IF(VALUE(IF(MID($A$30,2,1)=",",SUBSTITUTE(CMC!$D9,".",","),CMC!$D9))&lt;=VALUE(IF(MID($A$30,2,1)=",",SUBSTITUTE(CMC!$E9,".",","),CMC!$E9)),TRUE,FALSE)</f>
        <v>1</v>
      </c>
      <c r="C50" s="62" t="str">
        <f>CMC!J9&amp;
    IF(ISERROR(FIND("+",W50)),",no sum",",sum")&amp;
    IF(ISERROR(FIND("F",W50)),",no F",",F")&amp;
    IF(
        ISERROR(FIND("/",W50)),
        ",no div",
        IF(
            ISERROR(FIND("F/N",SUBSTITUTE(W50," ",""))),
            ",div N/F",
            ",div F/N"
        )
    )</f>
        <v>,no sum,no F,no div</v>
      </c>
      <c r="D50" s="62"/>
      <c r="E50" s="62" t="e">
        <f>HLOOKUP(C50,$G$46:$U$51,5,FALSE)</f>
        <v>#N/A</v>
      </c>
      <c r="G50" s="62" t="str">
        <f>IF(
    $C50=G$46,
    VALUE(
        IF(
            MID($A$30,2,1)=",",
            SUBSTITUTE(CMC!$I9,".",","),
            CMC!$I9
        )
    ),
    ""
)</f>
        <v/>
      </c>
      <c r="I50" s="62" t="str">
        <f>IF($C50=I$46,
   IF(ISERROR(FIND(";",CMC!I9)),
        "Semi-colon missing",
        MIN(
            VALUE(
                IF(
                    MID($A$30,2,1)=",",
                    SUBSTITUTE(TRIM(LEFT(W50,FIND("F",W50)-1)),".",","),
                    TRIM(LEFT(W50,FIND("F",W50)-1))
                )
            )* Y50,
            VALUE(
                IF(
                    MID($A$30,2,1)=",",
                    SUBSTITUTE(TRIM(LEFT(W50,FIND("F",W50)-1)),".",","),
                    TRIM(LEFT(W50,FIND("F",W50)-1))
                )
            )* AA50
        )
    ),
    ""
)</f>
        <v/>
      </c>
      <c r="K50" s="62" t="str">
        <f>IF($C50=K$46,
   IF(ISERROR(FIND(";",CMC!I9)),
        "Semi-colon missing",
        SUBSTITUTE(
            IF(
                MID($A$30,2,1)=",",
                SUBSTITUTE(TRIM(LEFT(W50,FIND("/",W50)-1)),".",","),
                TRIM(LEFT(W50,FIND("/",W50)-1))),
            "N",
            ""
        )
        /
        SUBSTITUTE(
            IF(
                MID($A$30,2,1)=",",
                SUBSTITUTE(TRIM(MID(W50,FIND("/",W50)+1,LEN(W50)-FIND("/",W50))),".",","),
                TRIM(MID(W50,FIND("/",W50)+1,LEN(W50)-FIND("/",W50)))
            ),
            "F",
            SUBSTITUTE(AA50,",",".")
        )
    ),
    ""
)</f>
        <v/>
      </c>
      <c r="M50" s="62" t="str">
        <f>IF($C50=M$46,
   IF(ISERROR(FIND(";",CMC!I9)),
        "Semi-colon missing",
        IF(FIND("+",W50)&lt;FIND("/",W50),
            MIN(
                VALUE(IF(MID($A$30,2,1)=",",SUBSTITUTE(TRIM(LEFT(W50,FIND("+",W50)-1)),".",","),TRIM(LEFT(W50,FIND("+",W50)-1))))+
                    VALUE(SUBSTITUTE(IF(MID($A$30,2,1)=",",SUBSTITUTE(TRIM(MID(W50,FIND("+",W50)+1,FIND("/",W50)-FIND("+",W50)-1)),".",","),TRIM(MID(W50,FIND("+",W50)+1,FIND("/",W50)-FIND("+",W50)-1))),"F",""))*Y50,
                VALUE(IF(MID($A$30,2,1)=",",SUBSTITUTE(TRIM(LEFT(W50,FIND("+",W50)-1)),".",","),TRIM(LEFT(W50,FIND("+",W50)-1))))+
                    VALUE(SUBSTITUTE(IF(MID($A$30,2,1)=",",SUBSTITUTE(TRIM(MID(W50,FIND("+",W50)+1,FIND("/",W50)-FIND("+",W50)-1)),".",","),TRIM(MID(W50,FIND("+",W50)+1,FIND("/",W50)-FIND("+",W50)-1))),"F",""))*AA50),
            100*MIN(
                VALUE(SUBSTITUTE(IF(MID($A$30,2,1)=",",SUBSTITUTE(TRIM(LEFT(W50,FIND("/",W50)-1)),".",","),TRIM(LEFT(W50,FIND("/",W50)-1))),"F",""))*Y50/100+
                    VALUE(IF(MID($A$30,2,1)=",",SUBSTITUTE(TRIM(MID(W50,FIND("+",W50)+1,LEN(W50)-FIND("+",W50))),".",","),TRIM(MID(W50,FIND("+",W50)+1,LEN(W50)-FIND("+",W50)))))/100,
                VALUE(SUBSTITUTE(IF(MID($A$30,2,1)=",",SUBSTITUTE(TRIM(LEFT(W50,FIND("/",W50)-1)),".",","),TRIM(LEFT(W50,FIND("/",W50)-1))),"F",""))*AA50/100+
                    VALUE(IF(MID($A$30,2,1)=",",SUBSTITUTE(TRIM(MID(W50,FIND("+",W50)+1,LEN(W50)-FIND("+",W50))),".",","),TRIM(MID(W50,FIND("+",W50)+1,LEN(W50)-FIND("+",W50)))))/100)
        )
    ),
    ""
)</f>
        <v/>
      </c>
      <c r="O50" s="62" t="str">
        <f>IF($C50=O$46,
    IF(ISERROR(FIND(";",CMC!I9)),
        "Semi-colon missing",
        IF(FIND("+",W50)&lt;FIND("/",W50),
            MIN(
                VALUE(SUBSTITUTE(IF(MID($A$30,2,1)=",",SUBSTITUTE(TRIM(LEFT(W50,FIND("+",W50)-1)),".",","),TRIM(LEFT(W50,FIND("+",W50)-1))),"N",""))+
                    VALUE(SUBSTITUTE(IF(MID($A$30,2,1)=",",SUBSTITUTE(TRIM(MID(W50,FIND("+",W50)+1,FIND("/",W50)-FIND("+",W50)-1)),".",","),TRIM(MID(W50,FIND("+",W50)+1,FIND("/",W50)-FIND("+",W50)-1))),"N",""))/AA50,
                VALUE(SUBSTITUTE(IF(MID($A$30,2,1)=",",SUBSTITUTE(TRIM(LEFT(W50,FIND("+",W50)-1)),".",","),TRIM(LEFT(W50,FIND("+",W50)-1))),"N",""))+
                    VALUE(SUBSTITUTE(IF(MID($A$30,2,1)=",",SUBSTITUTE(TRIM(MID(W50,FIND("+",W50)+1,FIND("/",W50)-FIND("+",W50)-1)),".",","),TRIM(MID(W50,FIND("+",W50)+1,FIND("/",W50)-FIND("+",W50)-1))),"N",""))/Y50),
            MIN(
                VALUE(SUBSTITUTE(IF(MID($A$30,2,1)=",",SUBSTITUTE(TRIM(LEFT(W50,FIND("/",W50)-1)),".",","),TRIM(LEFT(W50,FIND("/",W50)-1))),"N",""))/AA50+
                    VALUE(SUBSTITUTE(IF(MID($A$30,2,1)=",",SUBSTITUTE(TRIM(MID(W50,FIND("+",W50)+1,LEN(W50)-FIND("+",W50))),".",","),TRIM(MID(W50,FIND("+",W50)+1,LEN(W50)-FIND("+",W50)))),"N","")),
                VALUE(SUBSTITUTE(IF(MID($A$30,2,1)=",",SUBSTITUTE(TRIM(LEFT(W50,FIND("/",W50)-1)),".",","),TRIM(LEFT(W50,FIND("/",W50)-1))),"N",""))/Y50+
                    VALUE(SUBSTITUTE(IF(MID($A$30,2,1)=",",SUBSTITUTE(TRIM(MID(W50,FIND("+",W50)+1,LEN(W50)-FIND("+",W50))),".",","),TRIM(MID(W50,FIND("+",W50)+1,LEN(W50)-FIND("+",W50)))),"N","")))
        )
    ),
     ""
)</f>
        <v/>
      </c>
      <c r="Q50" s="62" t="str">
        <f>IF($C50=Q$46,
    IF(ISERROR(FIND(";",CMC!I9)),
        "Semi-colon missing",
        IF(FIND("+",W50)&lt;FIND("F",W50),
            100*MIN(
                VALUE(SUBSTITUTE(IF(MID($A$30,2,1)=",",SUBSTITUTE(TRIM(LEFT(W50,FIND("+",W50)-1)),".",","),TRIM(LEFT(W50,FIND("+",W50)-1))),"N",""))/AA50+
                     VALUE(SUBSTITUTE(IF(MID($A$30,2,1)=",",SUBSTITUTE(TRIM(MID(W50,FIND("+",W50)+1,FIND("F",W50)-FIND("+",W50)-1)),".",","),TRIM(MID(W50,FIND("+",W50)+1,FIND("F",W50)-FIND("+",W50)-1))),"N","")),
                VALUE(SUBSTITUTE(IF(MID($A$30,2,1)=",",SUBSTITUTE(TRIM(LEFT(W50,FIND("+",W50)-1)),".",","),TRIM(LEFT(W50,FIND("+",W50)-1))),"N",""))/Y50+
                      VALUE(SUBSTITUTE(IF(MID($A$30,2,1)=",",SUBSTITUTE(TRIM(MID(W50,FIND("+",W50)+1,FIND("F",W50)-FIND("+",W50)-1)),".",","),TRIM(MID(W50,FIND("+",W50)+1,FIND("F",W50)-FIND("+",W50)-1))),"N",""))),
            100*MIN(
                VALUE(SUBSTITUTE(IF(MID($A$30,2,1)=",",SUBSTITUTE(TRIM(LEFT(W50,FIND("F",W50)-1)),".",","),TRIM(LEFT(W50,FIND("F",W50)-1))),"N",""))+
                           VALUE(SUBSTITUTE(IF(MID($A$30,2,1)=",",SUBSTITUTE(TRIM(MID(W50,FIND("+",W50)+1,LEN(W50)-FIND("+",W50))),".",","),TRIM(MID(W50,FIND("+",W50)+1,LEN(W50)-FIND("+",W50)))),"N",""))/AA50,
                VALUE(SUBSTITUTE(IF(MID($A$30,2,1)=",",SUBSTITUTE(TRIM(LEFT(W50,FIND("F",W50)-1)),".",","),TRIM(LEFT(W50,FIND("F",W50)-1))),"N",""))+
                           VALUE(SUBSTITUTE(IF(MID($A$30,2,1)=",",SUBSTITUTE(TRIM(MID(W50,FIND("+",W50)+1,LEN(W50)-FIND("+",W50))),".",","),TRIM(MID(W50,FIND("+",W50)+1,LEN(W50)-FIND("+",W50)))),"N",""))/Y50)
        )
    ),
    ""
)</f>
        <v/>
      </c>
      <c r="S50" s="62" t="str">
        <f>IF(
    $C50=S$46,
    100*VALUE(
        SUBSTITUTE(
            IF(
                MID($A$30,2,1)=",",
                SUBSTITUTE(W50,".",","),
                W50
            ),
        "F",
        ""
        )
    ),
    ""
)</f>
        <v/>
      </c>
      <c r="U50" s="62" t="str">
        <f>IF(
    $C50=U$46,
    100*VALUE(
        SUBSTITUTE(
            IF(
                MID($A$30,2,1)=",",
                SUBSTITUTE(CMC!$I9,".",","),
                CMC!$I9
            ),
            "N",
            ""
        )
    )/AA50,
    ""
)</f>
        <v/>
      </c>
      <c r="W50" s="62" t="str">
        <f>IF(CMC!I9="","",IF(ISERROR(LEFT(CMC!I9,FIND(";",CMC!I9)-1)),CMC!I9,LEFT(CMC!I9,FIND(";",CMC!I9)-1)))</f>
        <v/>
      </c>
      <c r="Y50" s="62" t="str">
        <f>I7</f>
        <v/>
      </c>
      <c r="AA50" s="62" t="str">
        <f>IF(I$5="","",
  IF(CMC!$D9="","Minimum value missing.",
    IF(CMC!$F9="","Unit missing.",
      IF(EXACT(CMC!$F9,"mN"),VALUE(IF(MID($A$30,2,1)=",",SUBSTITUTE(CMC!$E9,".",","),CMC!$E9))/1000,
        IF(EXACT(CMC!$F9,"N"),VALUE(IF(MID($A$30,2,1)=",",SUBSTITUTE(CMC!$E9,".",","),CMC!$E9)),
          IF(EXACT(CMC!$F9,"kN"),VALUE(IF(MID($A$30,2,1)=",",SUBSTITUTE(CMC!$E9,".",","),CMC!$E9))*1000,
            IF(EXACT(CMC!$F9,"MN"),VALUE(IF(MID($A$30,2,1)=",",SUBSTITUTE(CMC!$E9,".",","),CMC!$E9))*1000000)
            )
          )
      )
    )
  )
)</f>
        <v/>
      </c>
    </row>
    <row r="51" spans="1:27" hidden="1" x14ac:dyDescent="0.2">
      <c r="A51" s="62" t="b">
        <f>IF(VALUE(IF(MID($A$30,2,1)=",",SUBSTITUTE(CMC!$D10,".",","),CMC!$D10))&lt;=VALUE(IF(MID($A$30,2,1)=",",SUBSTITUTE(CMC!$E10,".",","),CMC!$E10)),TRUE,FALSE)</f>
        <v>1</v>
      </c>
      <c r="C51" s="62" t="str">
        <f>CMC!J10&amp;
    IF(ISERROR(FIND("+",W51)),",no sum",",sum")&amp;
    IF(ISERROR(FIND("F",W51)),",no F",",F")&amp;
    IF(
        ISERROR(FIND("/",W51)),
        ",no div",
        IF(
            ISERROR(FIND("F/N",SUBSTITUTE(W51," ",""))),
            ",div N/F",
            ",div F/N"
        )
    )</f>
        <v>,no sum,no F,no div</v>
      </c>
      <c r="D51" s="62"/>
      <c r="E51" s="62" t="e">
        <f>HLOOKUP(C51,$G$46:$U$51,6,FALSE)</f>
        <v>#N/A</v>
      </c>
      <c r="G51" s="62" t="str">
        <f>IF(
    $C51=G$46,
    VALUE(
        IF(
            MID($A$30,2,1)=",",
            SUBSTITUTE(CMC!$I10,".",","),
            CMC!$I10
        )
    ),
    ""
)</f>
        <v/>
      </c>
      <c r="I51" s="62" t="str">
        <f>IF($C51=I$46,
   IF(ISERROR(FIND(";",CMC!I10)),
        "Semi-colon missing",
        MIN(
            VALUE(
                IF(
                    MID($A$30,2,1)=",",
                    SUBSTITUTE(TRIM(LEFT(W51,FIND("F",W51)-1)),".",","),
                    TRIM(LEFT(W51,FIND("F",W51)-1))
                )
            )* Y51,
            VALUE(
                IF(
                    MID($A$30,2,1)=",",
                    SUBSTITUTE(TRIM(LEFT(W51,FIND("F",W51)-1)),".",","),
                    TRIM(LEFT(W51,FIND("F",W51)-1))
                )
            )* AA51
        )
    ),
    ""
)</f>
        <v/>
      </c>
      <c r="K51" s="62" t="str">
        <f>IF($C51=K$46,
   IF(ISERROR(FIND(";",CMC!I10)),
        "Semi-colon missing",
        SUBSTITUTE(
            IF(
                MID($A$30,2,1)=",",
                SUBSTITUTE(TRIM(LEFT(W51,FIND("/",W51)-1)),".",","),
                TRIM(LEFT(W51,FIND("/",W51)-1))),
            "N",
            ""
        )
        /
        SUBSTITUTE(
            IF(
                MID($A$30,2,1)=",",
                SUBSTITUTE(TRIM(MID(W51,FIND("/",W51)+1,LEN(W51)-FIND("/",W51))),".",","),
                TRIM(MID(W51,FIND("/",W51)+1,LEN(W51)-FIND("/",W51)))
            ),
            "F",
            SUBSTITUTE(AA51,",",".")
        )
    ),
    ""
)</f>
        <v/>
      </c>
      <c r="M51" s="62" t="str">
        <f>IF($C51=M$46,
   IF(ISERROR(FIND(";",CMC!I10)),
        "Semi-colon missing",
        IF(FIND("+",W51)&lt;FIND("/",W51),
            MIN(
                VALUE(IF(MID($A$30,2,1)=",",SUBSTITUTE(TRIM(LEFT(W51,FIND("+",W51)-1)),".",","),TRIM(LEFT(W51,FIND("+",W51)-1))))+
                    VALUE(SUBSTITUTE(IF(MID($A$30,2,1)=",",SUBSTITUTE(TRIM(MID(W51,FIND("+",W51)+1,FIND("/",W51)-FIND("+",W51)-1)),".",","),TRIM(MID(W51,FIND("+",W51)+1,FIND("/",W51)-FIND("+",W51)-1))),"F",""))*Y51,
                VALUE(IF(MID($A$30,2,1)=",",SUBSTITUTE(TRIM(LEFT(W51,FIND("+",W51)-1)),".",","),TRIM(LEFT(W51,FIND("+",W51)-1))))+
                    VALUE(SUBSTITUTE(IF(MID($A$30,2,1)=",",SUBSTITUTE(TRIM(MID(W51,FIND("+",W51)+1,FIND("/",W51)-FIND("+",W51)-1)),".",","),TRIM(MID(W51,FIND("+",W51)+1,FIND("/",W51)-FIND("+",W51)-1))),"F",""))*AA51),
            100*MIN(
                VALUE(SUBSTITUTE(IF(MID($A$30,2,1)=",",SUBSTITUTE(TRIM(LEFT(W51,FIND("/",W51)-1)),".",","),TRIM(LEFT(W51,FIND("/",W51)-1))),"F",""))*Y51/100+
                    VALUE(IF(MID($A$30,2,1)=",",SUBSTITUTE(TRIM(MID(W51,FIND("+",W51)+1,LEN(W51)-FIND("+",W51))),".",","),TRIM(MID(W51,FIND("+",W51)+1,LEN(W51)-FIND("+",W51)))))/100,
                VALUE(SUBSTITUTE(IF(MID($A$30,2,1)=",",SUBSTITUTE(TRIM(LEFT(W51,FIND("/",W51)-1)),".",","),TRIM(LEFT(W51,FIND("/",W51)-1))),"F",""))*AA51/100+
                    VALUE(IF(MID($A$30,2,1)=",",SUBSTITUTE(TRIM(MID(W51,FIND("+",W51)+1,LEN(W51)-FIND("+",W51))),".",","),TRIM(MID(W51,FIND("+",W51)+1,LEN(W51)-FIND("+",W51)))))/100)
        )
    ),
    ""
)</f>
        <v/>
      </c>
      <c r="O51" s="62" t="str">
        <f>IF($C51=O$46,
    IF(ISERROR(FIND(";",CMC!I10)),
        "Semi-colon missing",
        IF(FIND("+",W51)&lt;FIND("/",W51),
            MIN(
                VALUE(SUBSTITUTE(IF(MID($A$30,2,1)=",",SUBSTITUTE(TRIM(LEFT(W51,FIND("+",W51)-1)),".",","),TRIM(LEFT(W51,FIND("+",W51)-1))),"N",""))+
                    VALUE(SUBSTITUTE(IF(MID($A$30,2,1)=",",SUBSTITUTE(TRIM(MID(W51,FIND("+",W51)+1,FIND("/",W51)-FIND("+",W51)-1)),".",","),TRIM(MID(W51,FIND("+",W51)+1,FIND("/",W51)-FIND("+",W51)-1))),"N",""))/AA51,
                VALUE(SUBSTITUTE(IF(MID($A$30,2,1)=",",SUBSTITUTE(TRIM(LEFT(W51,FIND("+",W51)-1)),".",","),TRIM(LEFT(W51,FIND("+",W51)-1))),"N",""))+
                    VALUE(SUBSTITUTE(IF(MID($A$30,2,1)=",",SUBSTITUTE(TRIM(MID(W51,FIND("+",W51)+1,FIND("/",W51)-FIND("+",W51)-1)),".",","),TRIM(MID(W51,FIND("+",W51)+1,FIND("/",W51)-FIND("+",W51)-1))),"N",""))/Y51),
            MIN(
                VALUE(SUBSTITUTE(IF(MID($A$30,2,1)=",",SUBSTITUTE(TRIM(LEFT(W51,FIND("/",W51)-1)),".",","),TRIM(LEFT(W51,FIND("/",W51)-1))),"N",""))/AA51+
                    VALUE(SUBSTITUTE(IF(MID($A$30,2,1)=",",SUBSTITUTE(TRIM(MID(W51,FIND("+",W51)+1,LEN(W51)-FIND("+",W51))),".",","),TRIM(MID(W51,FIND("+",W51)+1,LEN(W51)-FIND("+",W51)))),"N","")),
                VALUE(SUBSTITUTE(IF(MID($A$30,2,1)=",",SUBSTITUTE(TRIM(LEFT(W51,FIND("/",W51)-1)),".",","),TRIM(LEFT(W51,FIND("/",W51)-1))),"N",""))/Y51+
                    VALUE(SUBSTITUTE(IF(MID($A$30,2,1)=",",SUBSTITUTE(TRIM(MID(W51,FIND("+",W51)+1,LEN(W51)-FIND("+",W51))),".",","),TRIM(MID(W51,FIND("+",W51)+1,LEN(W51)-FIND("+",W51)))),"N","")))
        )
    ),
     ""
)</f>
        <v/>
      </c>
      <c r="Q51" s="62" t="str">
        <f>IF($C51=Q$46,
    IF(ISERROR(FIND(";",CMC!I10)),
        "Semi-colon missing",
        IF(FIND("+",W51)&lt;FIND("F",W51),
            100*MIN(
                VALUE(SUBSTITUTE(IF(MID($A$30,2,1)=",",SUBSTITUTE(TRIM(LEFT(W51,FIND("+",W51)-1)),".",","),TRIM(LEFT(W51,FIND("+",W51)-1))),"N",""))/AA51+
                     VALUE(SUBSTITUTE(IF(MID($A$30,2,1)=",",SUBSTITUTE(TRIM(MID(W51,FIND("+",W51)+1,FIND("F",W51)-FIND("+",W51)-1)),".",","),TRIM(MID(W51,FIND("+",W51)+1,FIND("F",W51)-FIND("+",W51)-1))),"N","")),
                VALUE(SUBSTITUTE(IF(MID($A$30,2,1)=",",SUBSTITUTE(TRIM(LEFT(W51,FIND("+",W51)-1)),".",","),TRIM(LEFT(W51,FIND("+",W51)-1))),"N",""))/Y51+
                      VALUE(SUBSTITUTE(IF(MID($A$30,2,1)=",",SUBSTITUTE(TRIM(MID(W51,FIND("+",W51)+1,FIND("F",W51)-FIND("+",W51)-1)),".",","),TRIM(MID(W51,FIND("+",W51)+1,FIND("F",W51)-FIND("+",W51)-1))),"N",""))),
            100*MIN(
                VALUE(SUBSTITUTE(IF(MID($A$30,2,1)=",",SUBSTITUTE(TRIM(LEFT(W51,FIND("F",W51)-1)),".",","),TRIM(LEFT(W51,FIND("F",W51)-1))),"N",""))+
                           VALUE(SUBSTITUTE(IF(MID($A$30,2,1)=",",SUBSTITUTE(TRIM(MID(W51,FIND("+",W51)+1,LEN(W51)-FIND("+",W51))),".",","),TRIM(MID(W51,FIND("+",W51)+1,LEN(W51)-FIND("+",W51)))),"N",""))/AA51,
                VALUE(SUBSTITUTE(IF(MID($A$30,2,1)=",",SUBSTITUTE(TRIM(LEFT(W51,FIND("F",W51)-1)),".",","),TRIM(LEFT(W51,FIND("F",W51)-1))),"N",""))+
                           VALUE(SUBSTITUTE(IF(MID($A$30,2,1)=",",SUBSTITUTE(TRIM(MID(W51,FIND("+",W51)+1,LEN(W51)-FIND("+",W51))),".",","),TRIM(MID(W51,FIND("+",W51)+1,LEN(W51)-FIND("+",W51)))),"N",""))/Y51)
        )
    ),
    ""
)</f>
        <v/>
      </c>
      <c r="S51" s="62" t="str">
        <f>IF(
    $C51=S$46,
    100*VALUE(
        SUBSTITUTE(
            IF(
                MID($A$30,2,1)=",",
                SUBSTITUTE(W51,".",","),
                W51
            ),
        "F",
        ""
        )
    ),
    ""
)</f>
        <v/>
      </c>
      <c r="U51" s="62" t="str">
        <f>IF(
    $C51=U$46,
    100*VALUE(
        SUBSTITUTE(
            IF(
                MID($A$30,2,1)=",",
                SUBSTITUTE(CMC!$I10,".",","),
                CMC!$I10
            ),
            "N",
            ""
        )
    )/AA51,
    ""
)</f>
        <v/>
      </c>
      <c r="W51" s="62" t="str">
        <f>IF(CMC!I10="","",IF(ISERROR(LEFT(CMC!I10,FIND(";",CMC!I10)-1)),CMC!I10,LEFT(CMC!I10,FIND(";",CMC!I10)-1)))</f>
        <v/>
      </c>
      <c r="Y51" s="62" t="str">
        <f>K7</f>
        <v/>
      </c>
      <c r="AA51" s="62" t="str">
        <f>IF(K$5="","",
  IF(CMC!$D10="","Minimum value missing.",
    IF(CMC!$F10="","Unit missing.",
      IF(EXACT(CMC!$F10,"mN"),VALUE(IF(MID($A$30,2,1)=",",SUBSTITUTE(CMC!$E10,".",","),CMC!$E10))/1000,
        IF(EXACT(CMC!$F10,"N"),VALUE(IF(MID($A$30,2,1)=",",SUBSTITUTE(CMC!$E10,".",","),CMC!$E10)),
          IF(EXACT(CMC!$F10,"kN"),VALUE(IF(MID($A$30,2,1)=",",SUBSTITUTE(CMC!$E10,".",","),CMC!$E10))*1000,
            IF(EXACT(CMC!$F10,"MN"),VALUE(IF(MID($A$30,2,1)=",",SUBSTITUTE(CMC!$E10,".",","),CMC!$E10))*1000000)
            )
          )
      )
    )
  )
)</f>
        <v/>
      </c>
    </row>
    <row r="52" spans="1:27" hidden="1" x14ac:dyDescent="0.2">
      <c r="A52" s="35" t="s">
        <v>128</v>
      </c>
      <c r="C52" s="35" t="s">
        <v>130</v>
      </c>
      <c r="E52" s="89" t="s">
        <v>124</v>
      </c>
      <c r="G52" s="35" t="s">
        <v>122</v>
      </c>
      <c r="I52" s="35" t="s">
        <v>143</v>
      </c>
      <c r="K52" s="35" t="s">
        <v>141</v>
      </c>
      <c r="M52" s="35" t="s">
        <v>144</v>
      </c>
      <c r="O52" s="35" t="s">
        <v>142</v>
      </c>
      <c r="Q52" s="35" t="s">
        <v>123</v>
      </c>
      <c r="S52" s="35" t="s">
        <v>126</v>
      </c>
      <c r="U52" s="35" t="s">
        <v>135</v>
      </c>
    </row>
    <row r="53" spans="1:27" hidden="1" x14ac:dyDescent="0.2">
      <c r="A53" s="62" t="b">
        <f>IF(VALUE(IF(MID($A$30,2,1)=",",SUBSTITUTE(CMC!$D12,".",","),CMC!$D12))&lt;=VALUE(IF(MID($A$30,2,1)=",",SUBSTITUTE(CMC!$E12,".",","),CMC!$E12)),TRUE,FALSE)</f>
        <v>1</v>
      </c>
      <c r="C53" s="62" t="str">
        <f>CMC!J12&amp;
    IF(ISERROR(FIND("+",W53)),",no sum",",sum")&amp;
    IF(ISERROR(FIND("T",W53)),",no T",",T")&amp;
    IF(
        ISERROR(FIND("/",W53)),
        ",no div",
        IF(
            ISERROR(FIND("T/(Nm)",SUBSTITUTE(W53," ",""))),
            ",div Nm/T",
            ",div T/(Nm)"
        )
    )</f>
        <v>,no sum,no T,no div</v>
      </c>
      <c r="D53" s="62"/>
      <c r="E53" s="62" t="e">
        <f>HLOOKUP(C53,$G$52:$U$57,2,FALSE)</f>
        <v>#N/A</v>
      </c>
      <c r="G53" s="62" t="str">
        <f>IF(
    $C53=G$52,
    VALUE(
        IF(
            MID($A$30,2,1)=",",
            SUBSTITUTE(CMC!$I12,".",","),
            CMC!$I12
        )
    ),
    ""
)</f>
        <v/>
      </c>
      <c r="I53" s="62" t="str">
        <f>IF($C53=I$52,
   IF(ISERROR(FIND(";",CMC!I12)),
        "Semi-colon missing",
        MIN(
            VALUE(
                IF(
                    MID($A$30,2,1)=",",
                    SUBSTITUTE(TRIM(LEFT(W53,FIND("T",W53)-1)),".",","),
                    TRIM(LEFT(W53,FIND("T",W53)-1))
                )
            )* Y53,
            VALUE(
                IF(
                    MID($A$30,2,1)=",",
                    SUBSTITUTE(TRIM(LEFT(W53,FIND("T",W53)-1)),".",","),
                    TRIM(LEFT(W53,FIND("T",W53)-1))
                )
            )* AA53
        )
    ),
    ""
)</f>
        <v/>
      </c>
      <c r="K53" s="62" t="str">
        <f>IF($C53=K$52,
   IF(ISERROR(FIND(";",CMC!I12)),
        "Semi-colon missing",
        SUBSTITUTE(
            IF(
                MID($A$30,2,1)=",",
                SUBSTITUTE(TRIM(LEFT(W53,FIND("/",W53)-1)),".",","),
                TRIM(LEFT(W53,FIND("/",W53)-1))),
            "N m",
            ""
        )
        /
        SUBSTITUTE(
            IF(
                MID($A$30,2,1)=",",
                SUBSTITUTE(TRIM(MID(W53,FIND("/",W53)+1,LEN(W53)-FIND("/",W53))),".",","),
                TRIM(MID(W53,FIND("/",W53)+1,LEN(W53)-FIND("/",W53)))
            ),
            "T",
            SUBSTITUTE(AA53,",",".")
        )
    ),
    ""
)</f>
        <v/>
      </c>
      <c r="M53" s="62" t="str">
        <f>IF($C53=M$52,
   IF(ISERROR(FIND(";",CMC!I12)),
        "Semi-colon missing",
        IF(FIND("+",W53)&lt;FIND("/",W53),
            MIN(
                VALUE(IF(MID($A$30,2,1)=",",SUBSTITUTE(TRIM(LEFT(W53,FIND("+",W53)-1)),".",","),TRIM(LEFT(W53,FIND("+",W53)-1))))+
                    VALUE(SUBSTITUTE(IF(MID($A$30,2,1)=",",SUBSTITUTE(TRIM(MID(W53,FIND("+",W53)+1,FIND("/",W53)-FIND("+",W53)-1)),".",","),TRIM(MID(W53,FIND("+",W53)+1,FIND("/",W53)-FIND("+",W53)-1))),"T",""))*Y53,
                VALUE(IF(MID($A$30,2,1)=",",SUBSTITUTE(TRIM(LEFT(W53,FIND("+",W53)-1)),".",","),TRIM(LEFT(W53,FIND("+",W53)-1))))+
                    VALUE(SUBSTITUTE(IF(MID($A$30,2,1)=",",SUBSTITUTE(TRIM(MID(W53,FIND("+",W53)+1,FIND("/",W53)-FIND("+",W53)-1)),".",","),TRIM(MID(W53,FIND("+",W53)+1,FIND("/",W53)-FIND("+",W53)-1))),"T",""))*AA53),
            MIN(
                VALUE(SUBSTITUTE(IF(MID($A$30,2,1)=",",SUBSTITUTE(TRIM(LEFT(W53,FIND("/",W53)-1)),".",","),TRIM(LEFT(W53,FIND("/",W53)-1))),"T",""))*Y53+
                    VALUE(IF(MID($A$30,2,1)=",",SUBSTITUTE(TRIM(MID(W53,FIND("+",W53)+1,LEN(W53)-FIND("+",W53))),".",","),TRIM(MID(W53,FIND("+",W53)+1,LEN(W53)-FIND("+",W53))))),
                VALUE(SUBSTITUTE(IF(MID($A$30,2,1)=",",SUBSTITUTE(TRIM(LEFT(W53,FIND("/",W53)-1)),".",","),TRIM(LEFT(W53,FIND("/",W53)-1))),"T",""))*AA53+
                    VALUE(IF(MID($A$30,2,1)=",",SUBSTITUTE(TRIM(MID(W53,FIND("+",W53)+1,LEN(W53)-FIND("+",W53))),".",","),TRIM(MID(W53,FIND("+",W53)+1,LEN(W53)-FIND("+",W53))))))
        )
    ),
    ""
)</f>
        <v/>
      </c>
      <c r="O53" s="62" t="str">
        <f>IF($C53=O$52,
    IF(ISERROR(FIND(";",CMC!I12)),
        "Semi-colon missing",
        IF(FIND("+",W53)&lt;FIND("/",W53),
            MIN(
                VALUE(SUBSTITUTE(IF(MID($A$30,2,1)=",",SUBSTITUTE(TRIM(LEFT(W53,FIND("+",W53)-1)),".",","),TRIM(LEFT(W53,FIND("+",W53)-1))),"N m",""))+
                    VALUE(SUBSTITUTE(IF(MID($A$30,2,1)=",",SUBSTITUTE(TRIM(MID(W53,FIND("+",W53)+1,FIND("/",W53)-FIND("+",W53)-1)),".",","),TRIM(MID(W53,FIND("+",W53)+1,FIND("/",W53)-FIND("+",W53)-1))),"N m",""))/AA53,
                VALUE(SUBSTITUTE(IF(MID($A$30,2,1)=",",SUBSTITUTE(TRIM(LEFT(W53,FIND("+",W53)-1)),".",","),TRIM(LEFT(W53,FIND("+",W53)-1))),"N m",""))+
                    VALUE(SUBSTITUTE(IF(MID($A$30,2,1)=",",SUBSTITUTE(TRIM(MID(W53,FIND("+",W53)+1,FIND("/",W53)-FIND("+",W53)-1)),".",","),TRIM(MID(W53,FIND("+",W53)+1,FIND("/",W53)-FIND("+",W53)-1))),"N m",""))/Y53),
            MIN(
                VALUE(SUBSTITUTE(IF(MID($A$30,2,1)=",",SUBSTITUTE(TRIM(LEFT(W53,FIND("/",W53)-1)),".",","),TRIM(LEFT(W53,FIND("/",W53)-1))),"N m",""))/AA53+
                    VALUE(SUBSTITUTE(IF(MID($A$30,2,1)=",",SUBSTITUTE(TRIM(MID(W53,FIND("+",W53)+1,LEN(W53)-FIND("+",W53))),".",","),TRIM(MID(W53,FIND("+",W53)+1,LEN(W53)-FIND("+",W53)))),"N m","")),
                VALUE(SUBSTITUTE(IF(MID($A$30,2,1)=",",SUBSTITUTE(TRIM(LEFT(W53,FIND("/",W53)-1)),".",","),TRIM(LEFT(W53,FIND("/",W53)-1))),"N m",""))/Y53+
                    VALUE(SUBSTITUTE(IF(MID($A$30,2,1)=",",SUBSTITUTE(TRIM(MID(W53,FIND("+",W53)+1,LEN(W53)-FIND("+",W53))),".",","),TRIM(MID(W53,FIND("+",W53)+1,LEN(W53)-FIND("+",W53)))),"N m","")))
        )
    ),
     ""
)</f>
        <v/>
      </c>
      <c r="Q53" s="62" t="str">
        <f>IF($C53=Q$52,
    IF(ISERROR(FIND(";",CMC!I12)),
        "Semi-colon missing",
        IF(FIND("+",W53)&lt;FIND("T",W53),
            100*MIN(
                VALUE(SUBSTITUTE(IF(MID($A$30,2,1)=",",SUBSTITUTE(TRIM(LEFT(W53,FIND("+",W53)-1)),".",","),TRIM(LEFT(W53,FIND("+",W53)-1))),"N m",""))/AA53+
                    VALUE(SUBSTITUTE(IF(MID($A$30,2,1)=",",SUBSTITUTE(TRIM(MID(W53,FIND("+",W53)+1,FIND("T",W53)-FIND("+",W53)-1)),".",","),TRIM(MID(W53,FIND("+",W53)+1,FIND("T",W53)-FIND("+",W53)-1))),"N m","")),
                VALUE(SUBSTITUTE(IF(MID($A$30,2,1)=",",SUBSTITUTE(TRIM(LEFT(W53,FIND("+",W53)-1)),".",","),TRIM(LEFT(W53,FIND("+",W53)-1))),"N m",""))/Y53+
                    VALUE(SUBSTITUTE(IF(MID($A$30,2,1)=",",SUBSTITUTE(TRIM(MID(W53,FIND("+",W53)+1,FIND("T",W53)-FIND("+",W53)-1)),".",","),TRIM(MID(W53,FIND("+",W53)+1,FIND("T",W53)-FIND("+",W53)-1))),"N m",""))),
            100*MIN(
                VALUE(SUBSTITUTE(IF(MID($A$30,2,1)=",",SUBSTITUTE(TRIM(LEFT(W53,FIND("T",W53)-1)),".",","),TRIM(LEFT(W53,FIND("T",W53)-1))),"N m",""))+
                    VALUE(SUBSTITUTE(IF(MID($A$30,2,1)=",",SUBSTITUTE(TRIM(MID(W53,FIND("+",W53)+1,LEN(W53)-FIND("+",W53))),".",","),TRIM(MID(W53,FIND("+",W53)+1,LEN(W53)-FIND("+",W53)))),"N m",""))/AA53,
                VALUE(SUBSTITUTE(IF(MID($A$30,2,1)=",",SUBSTITUTE(TRIM(LEFT(W53,FIND("T",W53)-1)),".",","),TRIM(LEFT(W53,FIND("T",W53)-1))),"N m",""))+
                    VALUE(SUBSTITUTE(IF(MID($A$30,2,1)=",",SUBSTITUTE(TRIM(MID(W53,FIND("+",W53)+1,LEN(W53)-FIND("+",W53))),".",","),TRIM(MID(W53,FIND("+",W53)+1,LEN(W53)-FIND("+",W53)))),"N m",""))/Y53)
        )
    ),
    ""
)</f>
        <v/>
      </c>
      <c r="S53" s="62" t="str">
        <f>IF(
    $C53=S$52,
    100*VALUE(
        SUBSTITUTE(
            IF(MID($A$30,2,1)=",",
                SUBSTITUTE(W53,".",","),
                W53
            ),
            "T",
            ""
        )
    ),
    ""
)</f>
        <v/>
      </c>
      <c r="U53" s="62" t="str">
        <f>IF(
    $C53=U$52,100*VALUE(
        SUBSTITUTE(
            IF(
                MID($A$30,2,1)=",",
                SUBSTITUTE(CMC!$I12,".",","),
                CMC!$I12
            ),
            "N m",
            ""
        )
    )/AA53,
    ""
)</f>
        <v/>
      </c>
      <c r="W53" s="62" t="str">
        <f>IF(CMC!I12="","",IF(ISERROR(LEFT(CMC!I12,FIND(";",CMC!I12)-1)),CMC!I12,LEFT(CMC!I12,FIND(";",CMC!I12)-1)))</f>
        <v/>
      </c>
      <c r="Y53" s="62" t="str">
        <f>M7</f>
        <v/>
      </c>
      <c r="AA53" s="62" t="str">
        <f>IF(M$5="","",
  IF(CMC!$D12="","Minimum value missing.",
    IF(CMC!$F12="","Unit missing.",
      IF(EXACT(CMC!$F12,"mN m"),VALUE(IF(MID($A$30,2,1)=",",SUBSTITUTE(CMC!$E12,".",","),CMC!$E12))/1000,
        IF(EXACT(CMC!$F12,"N m"),VALUE(IF(MID($A$30,2,1)=",",SUBSTITUTE(CMC!$E12,".",","),CMC!$E12)),
          IF(EXACT(CMC!$F12,"kN m"),VALUE(IF(MID($A$30,2,1)=",",SUBSTITUTE(CMC!$E12,".",","),CMC!$E12))*1000,
            IF(EXACT(CMC!$F12,"MN m"),VALUE(IF(MID($A$30,2,1)=",",SUBSTITUTE(CMC!$E12,".",","),CMC!$E12))*1000000)
            )
          )
      )
    )
  )
)</f>
        <v/>
      </c>
    </row>
    <row r="54" spans="1:27" hidden="1" x14ac:dyDescent="0.2">
      <c r="A54" s="62" t="b">
        <f>IF(VALUE(IF(MID($A$30,2,1)=",",SUBSTITUTE(CMC!$D13,".",","),CMC!$D13))&lt;=VALUE(IF(MID($A$30,2,1)=",",SUBSTITUTE(CMC!$E13,".",","),CMC!$E13)),TRUE,FALSE)</f>
        <v>1</v>
      </c>
      <c r="C54" s="62" t="str">
        <f>CMC!J13&amp;
    IF(ISERROR(FIND("+",W54)),",no sum",",sum")&amp;
    IF(ISERROR(FIND("T",W54)),",no T",",T")&amp;
    IF(
        ISERROR(FIND("/",W54)),
        ",no div",
        IF(
            ISERROR(FIND("T/(Nm)",SUBSTITUTE(W54," ",""))),
            ",div Nm/T",
            ",div T/(Nm)"
        )
    )</f>
        <v>,no sum,no T,no div</v>
      </c>
      <c r="D54" s="62"/>
      <c r="E54" s="62" t="e">
        <f>HLOOKUP(C54,$G$52:$U$57,3,FALSE)</f>
        <v>#N/A</v>
      </c>
      <c r="G54" s="62" t="str">
        <f>IF(
    $C54=G$52,
    VALUE(
        IF(
            MID($A$30,2,1)=",",
            SUBSTITUTE(CMC!$I13,".",","),
            CMC!$I13
        )
    ),
    ""
)</f>
        <v/>
      </c>
      <c r="I54" s="62" t="str">
        <f>IF($C54=I$52,
   IF(ISERROR(FIND(";",CMC!I13)),
        "Semi-colon missing",
        MIN(
            VALUE(
                IF(
                    MID($A$30,2,1)=",",
                    SUBSTITUTE(TRIM(LEFT(W54,FIND("T",W54)-1)),".",","),
                    TRIM(LEFT(W54,FIND("T",W54)-1))
                )
            )* Y54,
            VALUE(
                IF(
                    MID($A$30,2,1)=",",
                    SUBSTITUTE(TRIM(LEFT(W54,FIND("T",W54)-1)),".",","),
                    TRIM(LEFT(W54,FIND("T",W54)-1))
                )
            )* AA54
        )
    ),
    ""
)</f>
        <v/>
      </c>
      <c r="K54" s="62" t="str">
        <f>IF($C54=K$52,
   IF(ISERROR(FIND(";",CMC!I13)),
        "Semi-colon missing",
        SUBSTITUTE(
            IF(
                MID($A$30,2,1)=",",
                SUBSTITUTE(TRIM(LEFT(W54,FIND("/",W54)-1)),".",","),
                TRIM(LEFT(W54,FIND("/",W54)-1))),
            "N m",
            ""
        )
        /
        SUBSTITUTE(
            IF(
                MID($A$30,2,1)=",",
                SUBSTITUTE(TRIM(MID(W54,FIND("/",W54)+1,LEN(W54)-FIND("/",W54))),".",","),
                TRIM(MID(W54,FIND("/",W54)+1,LEN(W54)-FIND("/",W54)))
            ),
            "T",
            SUBSTITUTE(AA54,",",".")
        )
    ),
    ""
)</f>
        <v/>
      </c>
      <c r="M54" s="62" t="str">
        <f>IF($C54=M$52,
   IF(ISERROR(FIND(";",CMC!I13)),
        "Semi-colon missing",
        IF(FIND("+",W54)&lt;FIND("/",W54),
            MIN(
                VALUE(IF(MID($A$30,2,1)=",",SUBSTITUTE(TRIM(LEFT(W54,FIND("+",W54)-1)),".",","),TRIM(LEFT(W54,FIND("+",W54)-1))))+
                    VALUE(SUBSTITUTE(IF(MID($A$30,2,1)=",",SUBSTITUTE(TRIM(MID(W54,FIND("+",W54)+1,FIND("/",W54)-FIND("+",W54)-1)),".",","),TRIM(MID(W54,FIND("+",W54)+1,FIND("/",W54)-FIND("+",W54)-1))),"T",""))*Y54,
                VALUE(IF(MID($A$30,2,1)=",",SUBSTITUTE(TRIM(LEFT(W54,FIND("+",W54)-1)),".",","),TRIM(LEFT(W54,FIND("+",W54)-1))))+
                    VALUE(SUBSTITUTE(IF(MID($A$30,2,1)=",",SUBSTITUTE(TRIM(MID(W54,FIND("+",W54)+1,FIND("/",W54)-FIND("+",W54)-1)),".",","),TRIM(MID(W54,FIND("+",W54)+1,FIND("/",W54)-FIND("+",W54)-1))),"T",""))*AA54),
            MIN(
                VALUE(SUBSTITUTE(IF(MID($A$30,2,1)=",",SUBSTITUTE(TRIM(LEFT(W54,FIND("/",W54)-1)),".",","),TRIM(LEFT(W54,FIND("/",W54)-1))),"T",""))*Y54+
                    VALUE(IF(MID($A$30,2,1)=",",SUBSTITUTE(TRIM(MID(W54,FIND("+",W54)+1,LEN(W54)-FIND("+",W54))),".",","),TRIM(MID(W54,FIND("+",W54)+1,LEN(W54)-FIND("+",W54))))),
                VALUE(SUBSTITUTE(IF(MID($A$30,2,1)=",",SUBSTITUTE(TRIM(LEFT(W54,FIND("/",W54)-1)),".",","),TRIM(LEFT(W54,FIND("/",W54)-1))),"T",""))*AA54+
                    VALUE(IF(MID($A$30,2,1)=",",SUBSTITUTE(TRIM(MID(W54,FIND("+",W54)+1,LEN(W54)-FIND("+",W54))),".",","),TRIM(MID(W54,FIND("+",W54)+1,LEN(W54)-FIND("+",W54))))))
        )
    ),
    ""
)</f>
        <v/>
      </c>
      <c r="O54" s="62" t="str">
        <f>IF($C54=O$52,
    IF(ISERROR(FIND(";",CMC!I13)),
        "Semi-colon missing",
        IF(FIND("+",W54)&lt;FIND("/",W54),
            MIN(
                VALUE(SUBSTITUTE(IF(MID($A$30,2,1)=",",SUBSTITUTE(TRIM(LEFT(W54,FIND("+",W54)-1)),".",","),TRIM(LEFT(W54,FIND("+",W54)-1))),"N m",""))+
                    VALUE(SUBSTITUTE(IF(MID($A$30,2,1)=",",SUBSTITUTE(TRIM(MID(W54,FIND("+",W54)+1,FIND("/",W54)-FIND("+",W54)-1)),".",","),TRIM(MID(W54,FIND("+",W54)+1,FIND("/",W54)-FIND("+",W54)-1))),"N m",""))/AA54,
                VALUE(SUBSTITUTE(IF(MID($A$30,2,1)=",",SUBSTITUTE(TRIM(LEFT(W54,FIND("+",W54)-1)),".",","),TRIM(LEFT(W54,FIND("+",W54)-1))),"N m",""))+
                    VALUE(SUBSTITUTE(IF(MID($A$30,2,1)=",",SUBSTITUTE(TRIM(MID(W54,FIND("+",W54)+1,FIND("/",W54)-FIND("+",W54)-1)),".",","),TRIM(MID(W54,FIND("+",W54)+1,FIND("/",W54)-FIND("+",W54)-1))),"N m",""))/Y54),
            MIN(
                VALUE(SUBSTITUTE(IF(MID($A$30,2,1)=",",SUBSTITUTE(TRIM(LEFT(W54,FIND("/",W54)-1)),".",","),TRIM(LEFT(W54,FIND("/",W54)-1))),"N m",""))/AA54+
                    VALUE(SUBSTITUTE(IF(MID($A$30,2,1)=",",SUBSTITUTE(TRIM(MID(W54,FIND("+",W54)+1,LEN(W54)-FIND("+",W54))),".",","),TRIM(MID(W54,FIND("+",W54)+1,LEN(W54)-FIND("+",W54)))),"N m","")),
                VALUE(SUBSTITUTE(IF(MID($A$30,2,1)=",",SUBSTITUTE(TRIM(LEFT(W54,FIND("/",W54)-1)),".",","),TRIM(LEFT(W54,FIND("/",W54)-1))),"N m",""))/Y54+
                    VALUE(SUBSTITUTE(IF(MID($A$30,2,1)=",",SUBSTITUTE(TRIM(MID(W54,FIND("+",W54)+1,LEN(W54)-FIND("+",W54))),".",","),TRIM(MID(W54,FIND("+",W54)+1,LEN(W54)-FIND("+",W54)))),"N m","")))
        )
    ),
     ""
)</f>
        <v/>
      </c>
      <c r="Q54" s="62" t="str">
        <f>IF($C54=Q$52,
    IF(ISERROR(FIND(";",CMC!I13)),
        "Semi-colon missing",
        IF(FIND("+",W54)&lt;FIND("T",W54),
            100*MIN(
                VALUE(SUBSTITUTE(IF(MID($A$30,2,1)=",",SUBSTITUTE(TRIM(LEFT(W54,FIND("+",W54)-1)),".",","),TRIM(LEFT(W54,FIND("+",W54)-1))),"N m",""))/AA54+
                    VALUE(SUBSTITUTE(IF(MID($A$30,2,1)=",",SUBSTITUTE(TRIM(MID(W54,FIND("+",W54)+1,FIND("T",W54)-FIND("+",W54)-1)),".",","),TRIM(MID(W54,FIND("+",W54)+1,FIND("T",W54)-FIND("+",W54)-1))),"N m","")),
                VALUE(SUBSTITUTE(IF(MID($A$30,2,1)=",",SUBSTITUTE(TRIM(LEFT(W54,FIND("+",W54)-1)),".",","),TRIM(LEFT(W54,FIND("+",W54)-1))),"N m",""))/Y54+
                    VALUE(SUBSTITUTE(IF(MID($A$30,2,1)=",",SUBSTITUTE(TRIM(MID(W54,FIND("+",W54)+1,FIND("T",W54)-FIND("+",W54)-1)),".",","),TRIM(MID(W54,FIND("+",W54)+1,FIND("T",W54)-FIND("+",W54)-1))),"N m",""))),
            100*MIN(
                VALUE(SUBSTITUTE(IF(MID($A$30,2,1)=",",SUBSTITUTE(TRIM(LEFT(W54,FIND("T",W54)-1)),".",","),TRIM(LEFT(W54,FIND("T",W54)-1))),"N m",""))+
                    VALUE(SUBSTITUTE(IF(MID($A$30,2,1)=",",SUBSTITUTE(TRIM(MID(W54,FIND("+",W54)+1,LEN(W54)-FIND("+",W54))),".",","),TRIM(MID(W54,FIND("+",W54)+1,LEN(W54)-FIND("+",W54)))),"N m",""))/AA54,
                VALUE(SUBSTITUTE(IF(MID($A$30,2,1)=",",SUBSTITUTE(TRIM(LEFT(W54,FIND("T",W54)-1)),".",","),TRIM(LEFT(W54,FIND("T",W54)-1))),"N m",""))+
                    VALUE(SUBSTITUTE(IF(MID($A$30,2,1)=",",SUBSTITUTE(TRIM(MID(W54,FIND("+",W54)+1,LEN(W54)-FIND("+",W54))),".",","),TRIM(MID(W54,FIND("+",W54)+1,LEN(W54)-FIND("+",W54)))),"N m",""))/Y54)
        )
    ),
    ""
)</f>
        <v/>
      </c>
      <c r="S54" s="62" t="str">
        <f>IF(
    $C54=S$52,
    100*VALUE(
        SUBSTITUTE(
            IF(MID($A$30,2,1)=",",
                SUBSTITUTE(W54,".",","),
                W54
            ),
            "T",
            ""
        )
    ),
    ""
)</f>
        <v/>
      </c>
      <c r="U54" s="62" t="str">
        <f>IF(
    $C54=U$52,100*VALUE(
        SUBSTITUTE(
            IF(
                MID($A$30,2,1)=",",
                SUBSTITUTE(CMC!$I13,".",","),
                CMC!$I13
            ),
            "N m",
            ""
        )
    )/AA54,
    ""
)</f>
        <v/>
      </c>
      <c r="W54" s="62" t="str">
        <f>IF(CMC!I13="","",IF(ISERROR(LEFT(CMC!I13,FIND(";",CMC!I13)-1)),CMC!I13,LEFT(CMC!I13,FIND(";",CMC!I13)-1)))</f>
        <v/>
      </c>
      <c r="Y54" s="62" t="str">
        <f>O7</f>
        <v/>
      </c>
      <c r="AA54" s="62" t="str">
        <f>IF(O$5="","",
  IF(CMC!$D13="","Minimum value missing.",
    IF(CMC!$F13="","Unit missing.",
      IF(EXACT(CMC!$F13,"mN m"),VALUE(IF(MID($A$30,2,1)=",",SUBSTITUTE(CMC!$E13,".",","),CMC!$E13))/1000,
        IF(EXACT(CMC!$F13,"N m"),VALUE(IF(MID($A$30,2,1)=",",SUBSTITUTE(CMC!$E13,".",","),CMC!$E13)),
          IF(EXACT(CMC!$F13,"kN m"),VALUE(IF(MID($A$30,2,1)=",",SUBSTITUTE(CMC!$E13,".",","),CMC!$E13))*1000,
            IF(EXACT(CMC!$F13,"MN m"),VALUE(IF(MID($A$30,2,1)=",",SUBSTITUTE(CMC!$E13,".",","),CMC!$E13))*1000000)
            )
          )
      )
    )
  )
)</f>
        <v/>
      </c>
    </row>
    <row r="55" spans="1:27" hidden="1" x14ac:dyDescent="0.2">
      <c r="A55" s="62" t="b">
        <f>IF(VALUE(IF(MID($A$30,2,1)=",",SUBSTITUTE(CMC!$D14,".",","),CMC!$D14))&lt;=VALUE(IF(MID($A$30,2,1)=",",SUBSTITUTE(CMC!$E14,".",","),CMC!$E14)),TRUE,FALSE)</f>
        <v>1</v>
      </c>
      <c r="C55" s="62" t="str">
        <f>CMC!J14&amp;
    IF(ISERROR(FIND("+",W55)),",no sum",",sum")&amp;
    IF(ISERROR(FIND("T",W55)),",no T",",T")&amp;
    IF(
        ISERROR(FIND("/",W55)),
        ",no div",
        IF(
            ISERROR(FIND("T/(Nm)",SUBSTITUTE(W55," ",""))),
            ",div Nm/T",
            ",div T/(Nm)"
        )
    )</f>
        <v>,no sum,no T,no div</v>
      </c>
      <c r="D55" s="62"/>
      <c r="E55" s="62" t="e">
        <f>HLOOKUP(C55,$G$52:$U$57,4,FALSE)</f>
        <v>#N/A</v>
      </c>
      <c r="G55" s="62" t="str">
        <f>IF(
    $C55=G$52,
    VALUE(
        IF(
            MID($A$30,2,1)=",",
            SUBSTITUTE(CMC!$I14,".",","),
            CMC!$I14
        )
    ),
    ""
)</f>
        <v/>
      </c>
      <c r="I55" s="62" t="str">
        <f>IF($C55=I$52,
   IF(ISERROR(FIND(";",CMC!I14)),
        "Semi-colon missing",
        MIN(
            VALUE(
                IF(
                    MID($A$30,2,1)=",",
                    SUBSTITUTE(TRIM(LEFT(W55,FIND("T",W55)-1)),".",","),
                    TRIM(LEFT(W55,FIND("T",W55)-1))
                )
            )* Y55,
            VALUE(
                IF(
                    MID($A$30,2,1)=",",
                    SUBSTITUTE(TRIM(LEFT(W55,FIND("T",W55)-1)),".",","),
                    TRIM(LEFT(W55,FIND("T",W55)-1))
                )
            )* AA55
        )
    ),
    ""
)</f>
        <v/>
      </c>
      <c r="K55" s="62" t="str">
        <f>IF($C55=K$52,
   IF(ISERROR(FIND(";",CMC!I14)),
        "Semi-colon missing",
        SUBSTITUTE(
            IF(
                MID($A$30,2,1)=",",
                SUBSTITUTE(TRIM(LEFT(W55,FIND("/",W55)-1)),".",","),
                TRIM(LEFT(W55,FIND("/",W55)-1))),
            "N m",
            ""
        )
        /
        SUBSTITUTE(
            IF(
                MID($A$30,2,1)=",",
                SUBSTITUTE(TRIM(MID(W55,FIND("/",W55)+1,LEN(W55)-FIND("/",W55))),".",","),
                TRIM(MID(W55,FIND("/",W55)+1,LEN(W55)-FIND("/",W55)))
            ),
            "T",
            SUBSTITUTE(AA55,",",".")
        )
    ),
    ""
)</f>
        <v/>
      </c>
      <c r="M55" s="62" t="str">
        <f>IF($C55=M$52,
   IF(ISERROR(FIND(";",CMC!I14)),
        "Semi-colon missing",
        IF(FIND("+",W55)&lt;FIND("/",W55),
            MIN(
                VALUE(IF(MID($A$30,2,1)=",",SUBSTITUTE(TRIM(LEFT(W55,FIND("+",W55)-1)),".",","),TRIM(LEFT(W55,FIND("+",W55)-1))))+
                    VALUE(SUBSTITUTE(IF(MID($A$30,2,1)=",",SUBSTITUTE(TRIM(MID(W55,FIND("+",W55)+1,FIND("/",W55)-FIND("+",W55)-1)),".",","),TRIM(MID(W55,FIND("+",W55)+1,FIND("/",W55)-FIND("+",W55)-1))),"T",""))*Y55,
                VALUE(IF(MID($A$30,2,1)=",",SUBSTITUTE(TRIM(LEFT(W55,FIND("+",W55)-1)),".",","),TRIM(LEFT(W55,FIND("+",W55)-1))))+
                    VALUE(SUBSTITUTE(IF(MID($A$30,2,1)=",",SUBSTITUTE(TRIM(MID(W55,FIND("+",W55)+1,FIND("/",W55)-FIND("+",W55)-1)),".",","),TRIM(MID(W55,FIND("+",W55)+1,FIND("/",W55)-FIND("+",W55)-1))),"T",""))*AA55),
            MIN(
                VALUE(SUBSTITUTE(IF(MID($A$30,2,1)=",",SUBSTITUTE(TRIM(LEFT(W55,FIND("/",W55)-1)),".",","),TRIM(LEFT(W55,FIND("/",W55)-1))),"T",""))*Y55+
                    VALUE(IF(MID($A$30,2,1)=",",SUBSTITUTE(TRIM(MID(W55,FIND("+",W55)+1,LEN(W55)-FIND("+",W55))),".",","),TRIM(MID(W55,FIND("+",W55)+1,LEN(W55)-FIND("+",W55))))),
                VALUE(SUBSTITUTE(IF(MID($A$30,2,1)=",",SUBSTITUTE(TRIM(LEFT(W55,FIND("/",W55)-1)),".",","),TRIM(LEFT(W55,FIND("/",W55)-1))),"T",""))*AA55+
                    VALUE(IF(MID($A$30,2,1)=",",SUBSTITUTE(TRIM(MID(W55,FIND("+",W55)+1,LEN(W55)-FIND("+",W55))),".",","),TRIM(MID(W55,FIND("+",W55)+1,LEN(W55)-FIND("+",W55))))))
        )
    ),
    ""
)</f>
        <v/>
      </c>
      <c r="O55" s="62" t="str">
        <f>IF($C55=O$52,
    IF(ISERROR(FIND(";",CMC!I14)),
        "Semi-colon missing",
        IF(FIND("+",W55)&lt;FIND("/",W55),
            MIN(
                VALUE(SUBSTITUTE(IF(MID($A$30,2,1)=",",SUBSTITUTE(TRIM(LEFT(W55,FIND("+",W55)-1)),".",","),TRIM(LEFT(W55,FIND("+",W55)-1))),"N m",""))+
                    VALUE(SUBSTITUTE(IF(MID($A$30,2,1)=",",SUBSTITUTE(TRIM(MID(W55,FIND("+",W55)+1,FIND("/",W55)-FIND("+",W55)-1)),".",","),TRIM(MID(W55,FIND("+",W55)+1,FIND("/",W55)-FIND("+",W55)-1))),"N m",""))/AA55,
                VALUE(SUBSTITUTE(IF(MID($A$30,2,1)=",",SUBSTITUTE(TRIM(LEFT(W55,FIND("+",W55)-1)),".",","),TRIM(LEFT(W55,FIND("+",W55)-1))),"N m",""))+
                    VALUE(SUBSTITUTE(IF(MID($A$30,2,1)=",",SUBSTITUTE(TRIM(MID(W55,FIND("+",W55)+1,FIND("/",W55)-FIND("+",W55)-1)),".",","),TRIM(MID(W55,FIND("+",W55)+1,FIND("/",W55)-FIND("+",W55)-1))),"N m",""))/Y55),
            MIN(
                VALUE(SUBSTITUTE(IF(MID($A$30,2,1)=",",SUBSTITUTE(TRIM(LEFT(W55,FIND("/",W55)-1)),".",","),TRIM(LEFT(W55,FIND("/",W55)-1))),"N m",""))/AA55+
                    VALUE(SUBSTITUTE(IF(MID($A$30,2,1)=",",SUBSTITUTE(TRIM(MID(W55,FIND("+",W55)+1,LEN(W55)-FIND("+",W55))),".",","),TRIM(MID(W55,FIND("+",W55)+1,LEN(W55)-FIND("+",W55)))),"N m","")),
                VALUE(SUBSTITUTE(IF(MID($A$30,2,1)=",",SUBSTITUTE(TRIM(LEFT(W55,FIND("/",W55)-1)),".",","),TRIM(LEFT(W55,FIND("/",W55)-1))),"N m",""))/Y55+
                    VALUE(SUBSTITUTE(IF(MID($A$30,2,1)=",",SUBSTITUTE(TRIM(MID(W55,FIND("+",W55)+1,LEN(W55)-FIND("+",W55))),".",","),TRIM(MID(W55,FIND("+",W55)+1,LEN(W55)-FIND("+",W55)))),"N m","")))
        )
    ),
     ""
)</f>
        <v/>
      </c>
      <c r="Q55" s="62" t="str">
        <f>IF($C55=Q$52,
    IF(ISERROR(FIND(";",CMC!I14)),
        "Semi-colon missing",
        IF(FIND("+",W55)&lt;FIND("T",W55),
            100*MIN(
                VALUE(SUBSTITUTE(IF(MID($A$30,2,1)=",",SUBSTITUTE(TRIM(LEFT(W55,FIND("+",W55)-1)),".",","),TRIM(LEFT(W55,FIND("+",W55)-1))),"N m",""))/AA55+
                    VALUE(SUBSTITUTE(IF(MID($A$30,2,1)=",",SUBSTITUTE(TRIM(MID(W55,FIND("+",W55)+1,FIND("T",W55)-FIND("+",W55)-1)),".",","),TRIM(MID(W55,FIND("+",W55)+1,FIND("T",W55)-FIND("+",W55)-1))),"N m","")),
                VALUE(SUBSTITUTE(IF(MID($A$30,2,1)=",",SUBSTITUTE(TRIM(LEFT(W55,FIND("+",W55)-1)),".",","),TRIM(LEFT(W55,FIND("+",W55)-1))),"N m",""))/Y55+
                    VALUE(SUBSTITUTE(IF(MID($A$30,2,1)=",",SUBSTITUTE(TRIM(MID(W55,FIND("+",W55)+1,FIND("T",W55)-FIND("+",W55)-1)),".",","),TRIM(MID(W55,FIND("+",W55)+1,FIND("T",W55)-FIND("+",W55)-1))),"N m",""))),
            100*MIN(
                VALUE(SUBSTITUTE(IF(MID($A$30,2,1)=",",SUBSTITUTE(TRIM(LEFT(W55,FIND("T",W55)-1)),".",","),TRIM(LEFT(W55,FIND("T",W55)-1))),"N m",""))+
                    VALUE(SUBSTITUTE(IF(MID($A$30,2,1)=",",SUBSTITUTE(TRIM(MID(W55,FIND("+",W55)+1,LEN(W55)-FIND("+",W55))),".",","),TRIM(MID(W55,FIND("+",W55)+1,LEN(W55)-FIND("+",W55)))),"N m",""))/AA55,
                VALUE(SUBSTITUTE(IF(MID($A$30,2,1)=",",SUBSTITUTE(TRIM(LEFT(W55,FIND("T",W55)-1)),".",","),TRIM(LEFT(W55,FIND("T",W55)-1))),"N m",""))+
                    VALUE(SUBSTITUTE(IF(MID($A$30,2,1)=",",SUBSTITUTE(TRIM(MID(W55,FIND("+",W55)+1,LEN(W55)-FIND("+",W55))),".",","),TRIM(MID(W55,FIND("+",W55)+1,LEN(W55)-FIND("+",W55)))),"N m",""))/Y55)
        )
    ),
    ""
)</f>
        <v/>
      </c>
      <c r="S55" s="62" t="str">
        <f>IF(
    $C55=S$52,
    100*VALUE(
        SUBSTITUTE(
            IF(MID($A$30,2,1)=",",
                SUBSTITUTE(W55,".",","),
                W55
            ),
            "T",
            ""
        )
    ),
    ""
)</f>
        <v/>
      </c>
      <c r="U55" s="62" t="str">
        <f>IF(
    $C55=U$52,100*VALUE(
        SUBSTITUTE(
            IF(
                MID($A$30,2,1)=",",
                SUBSTITUTE(CMC!$I14,".",","),
                CMC!$I14
            ),
            "N m",
            ""
        )
    )/AA55,
    ""
)</f>
        <v/>
      </c>
      <c r="W55" s="62" t="str">
        <f>IF(CMC!I14="","",IF(ISERROR(LEFT(CMC!I14,FIND(";",CMC!I14)-1)),CMC!I14,LEFT(CMC!I14,FIND(";",CMC!I14)-1)))</f>
        <v/>
      </c>
      <c r="Y55" s="62" t="str">
        <f>Q7</f>
        <v/>
      </c>
      <c r="AA55" s="62" t="str">
        <f>IF(Q$5="","",
  IF(CMC!$D14="","Minimum value missing.",
    IF(CMC!$F14="","Unit missing.",
      IF(EXACT(CMC!$F14,"mN m"),VALUE(IF(MID($A$30,2,1)=",",SUBSTITUTE(CMC!$E14,".",","),CMC!$E14))/1000,
        IF(EXACT(CMC!$F14,"N m"),VALUE(IF(MID($A$30,2,1)=",",SUBSTITUTE(CMC!$E14,".",","),CMC!$E14)),
          IF(EXACT(CMC!$F14,"kN m"),VALUE(IF(MID($A$30,2,1)=",",SUBSTITUTE(CMC!$E14,".",","),CMC!$E14))*1000,
            IF(EXACT(CMC!$F14,"MN m"),VALUE(IF(MID($A$30,2,1)=",",SUBSTITUTE(CMC!$E14,".",","),CMC!$E14))*1000000)
            )
          )
      )
    )
  )
)</f>
        <v/>
      </c>
    </row>
    <row r="56" spans="1:27" hidden="1" x14ac:dyDescent="0.2">
      <c r="A56" s="62" t="b">
        <f>IF(VALUE(IF(MID($A$30,2,1)=",",SUBSTITUTE(CMC!$D15,".",","),CMC!$D15))&lt;=VALUE(IF(MID($A$30,2,1)=",",SUBSTITUTE(CMC!$E15,".",","),CMC!$E15)),TRUE,FALSE)</f>
        <v>1</v>
      </c>
      <c r="C56" s="62" t="str">
        <f>CMC!J15&amp;
    IF(ISERROR(FIND("+",W56)),",no sum",",sum")&amp;
    IF(ISERROR(FIND("T",W56)),",no T",",T")&amp;
    IF(
        ISERROR(FIND("/",W56)),
        ",no div",
        IF(
            ISERROR(FIND("T/(Nm)",SUBSTITUTE(W56," ",""))),
            ",div Nm/T",
            ",div T/(Nm)"
        )
    )</f>
        <v>,no sum,no T,no div</v>
      </c>
      <c r="D56" s="62"/>
      <c r="E56" s="62" t="e">
        <f>HLOOKUP(C56,$G$52:$U$57,5,FALSE)</f>
        <v>#N/A</v>
      </c>
      <c r="G56" s="62" t="str">
        <f>IF(
    $C56=G$52,
    VALUE(
        IF(
            MID($A$30,2,1)=",",
            SUBSTITUTE(CMC!$I15,".",","),
            CMC!$I15
        )
    ),
    ""
)</f>
        <v/>
      </c>
      <c r="I56" s="62" t="str">
        <f>IF($C56=I$52,
   IF(ISERROR(FIND(";",CMC!I15)),
        "Semi-colon missing",
        MIN(
            VALUE(
                IF(
                    MID($A$30,2,1)=",",
                    SUBSTITUTE(TRIM(LEFT(W56,FIND("T",W56)-1)),".",","),
                    TRIM(LEFT(W56,FIND("T",W56)-1))
                )
            )* Y56,
            VALUE(
                IF(
                    MID($A$30,2,1)=",",
                    SUBSTITUTE(TRIM(LEFT(W56,FIND("T",W56)-1)),".",","),
                    TRIM(LEFT(W56,FIND("T",W56)-1))
                )
            )* AA56
        )
    ),
    ""
)</f>
        <v/>
      </c>
      <c r="K56" s="62" t="str">
        <f>IF($C56=K$52,
   IF(ISERROR(FIND(";",CMC!I15)),
        "Semi-colon missing",
        SUBSTITUTE(
            IF(
                MID($A$30,2,1)=",",
                SUBSTITUTE(TRIM(LEFT(W56,FIND("/",W56)-1)),".",","),
                TRIM(LEFT(W56,FIND("/",W56)-1))),
            "N m",
            ""
        )
        /
        SUBSTITUTE(
            IF(
                MID($A$30,2,1)=",",
                SUBSTITUTE(TRIM(MID(W56,FIND("/",W56)+1,LEN(W56)-FIND("/",W56))),".",","),
                TRIM(MID(W56,FIND("/",W56)+1,LEN(W56)-FIND("/",W56)))
            ),
            "T",
            SUBSTITUTE(AA56,",",".")
        )
    ),
    ""
)</f>
        <v/>
      </c>
      <c r="M56" s="62" t="str">
        <f>IF($C56=M$52,
   IF(ISERROR(FIND(";",CMC!I15)),
        "Semi-colon missing",
        IF(FIND("+",W56)&lt;FIND("/",W56),
            MIN(
                VALUE(IF(MID($A$30,2,1)=",",SUBSTITUTE(TRIM(LEFT(W56,FIND("+",W56)-1)),".",","),TRIM(LEFT(W56,FIND("+",W56)-1))))+
                    VALUE(SUBSTITUTE(IF(MID($A$30,2,1)=",",SUBSTITUTE(TRIM(MID(W56,FIND("+",W56)+1,FIND("/",W56)-FIND("+",W56)-1)),".",","),TRIM(MID(W56,FIND("+",W56)+1,FIND("/",W56)-FIND("+",W56)-1))),"T",""))*Y56,
                VALUE(IF(MID($A$30,2,1)=",",SUBSTITUTE(TRIM(LEFT(W56,FIND("+",W56)-1)),".",","),TRIM(LEFT(W56,FIND("+",W56)-1))))+
                    VALUE(SUBSTITUTE(IF(MID($A$30,2,1)=",",SUBSTITUTE(TRIM(MID(W56,FIND("+",W56)+1,FIND("/",W56)-FIND("+",W56)-1)),".",","),TRIM(MID(W56,FIND("+",W56)+1,FIND("/",W56)-FIND("+",W56)-1))),"T",""))*AA56),
            MIN(
                VALUE(SUBSTITUTE(IF(MID($A$30,2,1)=",",SUBSTITUTE(TRIM(LEFT(W56,FIND("/",W56)-1)),".",","),TRIM(LEFT(W56,FIND("/",W56)-1))),"T",""))*Y56+
                    VALUE(IF(MID($A$30,2,1)=",",SUBSTITUTE(TRIM(MID(W56,FIND("+",W56)+1,LEN(W56)-FIND("+",W56))),".",","),TRIM(MID(W56,FIND("+",W56)+1,LEN(W56)-FIND("+",W56))))),
                VALUE(SUBSTITUTE(IF(MID($A$30,2,1)=",",SUBSTITUTE(TRIM(LEFT(W56,FIND("/",W56)-1)),".",","),TRIM(LEFT(W56,FIND("/",W56)-1))),"T",""))*AA56+
                    VALUE(IF(MID($A$30,2,1)=",",SUBSTITUTE(TRIM(MID(W56,FIND("+",W56)+1,LEN(W56)-FIND("+",W56))),".",","),TRIM(MID(W56,FIND("+",W56)+1,LEN(W56)-FIND("+",W56))))))
        )
    ),
    ""
)</f>
        <v/>
      </c>
      <c r="O56" s="62" t="str">
        <f>IF($C56=O$52,
    IF(ISERROR(FIND(";",CMC!I15)),
        "Semi-colon missing",
        IF(FIND("+",W56)&lt;FIND("/",W56),
            MIN(
                VALUE(SUBSTITUTE(IF(MID($A$30,2,1)=",",SUBSTITUTE(TRIM(LEFT(W56,FIND("+",W56)-1)),".",","),TRIM(LEFT(W56,FIND("+",W56)-1))),"N m",""))+
                    VALUE(SUBSTITUTE(IF(MID($A$30,2,1)=",",SUBSTITUTE(TRIM(MID(W56,FIND("+",W56)+1,FIND("/",W56)-FIND("+",W56)-1)),".",","),TRIM(MID(W56,FIND("+",W56)+1,FIND("/",W56)-FIND("+",W56)-1))),"N m",""))/AA56,
                VALUE(SUBSTITUTE(IF(MID($A$30,2,1)=",",SUBSTITUTE(TRIM(LEFT(W56,FIND("+",W56)-1)),".",","),TRIM(LEFT(W56,FIND("+",W56)-1))),"N m",""))+
                    VALUE(SUBSTITUTE(IF(MID($A$30,2,1)=",",SUBSTITUTE(TRIM(MID(W56,FIND("+",W56)+1,FIND("/",W56)-FIND("+",W56)-1)),".",","),TRIM(MID(W56,FIND("+",W56)+1,FIND("/",W56)-FIND("+",W56)-1))),"N m",""))/Y56),
            MIN(
                VALUE(SUBSTITUTE(IF(MID($A$30,2,1)=",",SUBSTITUTE(TRIM(LEFT(W56,FIND("/",W56)-1)),".",","),TRIM(LEFT(W56,FIND("/",W56)-1))),"N m",""))/AA56+
                    VALUE(SUBSTITUTE(IF(MID($A$30,2,1)=",",SUBSTITUTE(TRIM(MID(W56,FIND("+",W56)+1,LEN(W56)-FIND("+",W56))),".",","),TRIM(MID(W56,FIND("+",W56)+1,LEN(W56)-FIND("+",W56)))),"N m","")),
                VALUE(SUBSTITUTE(IF(MID($A$30,2,1)=",",SUBSTITUTE(TRIM(LEFT(W56,FIND("/",W56)-1)),".",","),TRIM(LEFT(W56,FIND("/",W56)-1))),"N m",""))/Y56+
                    VALUE(SUBSTITUTE(IF(MID($A$30,2,1)=",",SUBSTITUTE(TRIM(MID(W56,FIND("+",W56)+1,LEN(W56)-FIND("+",W56))),".",","),TRIM(MID(W56,FIND("+",W56)+1,LEN(W56)-FIND("+",W56)))),"N m","")))
        )
    ),
     ""
)</f>
        <v/>
      </c>
      <c r="Q56" s="62" t="str">
        <f>IF($C56=Q$52,
    IF(ISERROR(FIND(";",CMC!I15)),
        "Semi-colon missing",
        IF(FIND("+",W56)&lt;FIND("T",W56),
            100*MIN(
                VALUE(SUBSTITUTE(IF(MID($A$30,2,1)=",",SUBSTITUTE(TRIM(LEFT(W56,FIND("+",W56)-1)),".",","),TRIM(LEFT(W56,FIND("+",W56)-1))),"N m",""))/AA56+
                    VALUE(SUBSTITUTE(IF(MID($A$30,2,1)=",",SUBSTITUTE(TRIM(MID(W56,FIND("+",W56)+1,FIND("T",W56)-FIND("+",W56)-1)),".",","),TRIM(MID(W56,FIND("+",W56)+1,FIND("T",W56)-FIND("+",W56)-1))),"N m","")),
                VALUE(SUBSTITUTE(IF(MID($A$30,2,1)=",",SUBSTITUTE(TRIM(LEFT(W56,FIND("+",W56)-1)),".",","),TRIM(LEFT(W56,FIND("+",W56)-1))),"N m",""))/Y56+
                    VALUE(SUBSTITUTE(IF(MID($A$30,2,1)=",",SUBSTITUTE(TRIM(MID(W56,FIND("+",W56)+1,FIND("T",W56)-FIND("+",W56)-1)),".",","),TRIM(MID(W56,FIND("+",W56)+1,FIND("T",W56)-FIND("+",W56)-1))),"N m",""))),
            100*MIN(
                VALUE(SUBSTITUTE(IF(MID($A$30,2,1)=",",SUBSTITUTE(TRIM(LEFT(W56,FIND("T",W56)-1)),".",","),TRIM(LEFT(W56,FIND("T",W56)-1))),"N m",""))+
                    VALUE(SUBSTITUTE(IF(MID($A$30,2,1)=",",SUBSTITUTE(TRIM(MID(W56,FIND("+",W56)+1,LEN(W56)-FIND("+",W56))),".",","),TRIM(MID(W56,FIND("+",W56)+1,LEN(W56)-FIND("+",W56)))),"N m",""))/AA56,
                VALUE(SUBSTITUTE(IF(MID($A$30,2,1)=",",SUBSTITUTE(TRIM(LEFT(W56,FIND("T",W56)-1)),".",","),TRIM(LEFT(W56,FIND("T",W56)-1))),"N m",""))+
                    VALUE(SUBSTITUTE(IF(MID($A$30,2,1)=",",SUBSTITUTE(TRIM(MID(W56,FIND("+",W56)+1,LEN(W56)-FIND("+",W56))),".",","),TRIM(MID(W56,FIND("+",W56)+1,LEN(W56)-FIND("+",W56)))),"N m",""))/Y56)
        )
    ),
    ""
)</f>
        <v/>
      </c>
      <c r="S56" s="62" t="str">
        <f>IF(
    $C56=S$52,
    100*VALUE(
        SUBSTITUTE(
            IF(MID($A$30,2,1)=",",
                SUBSTITUTE(W56,".",","),
                W56
            ),
            "T",
            ""
        )
    ),
    ""
)</f>
        <v/>
      </c>
      <c r="U56" s="62" t="str">
        <f>IF(
    $C56=U$52,100*VALUE(
        SUBSTITUTE(
            IF(
                MID($A$30,2,1)=",",
                SUBSTITUTE(CMC!$I15,".",","),
                CMC!$I15
            ),
            "N m",
            ""
        )
    )/AA56,
    ""
)</f>
        <v/>
      </c>
      <c r="W56" s="62" t="str">
        <f>IF(CMC!I15="","",IF(ISERROR(LEFT(CMC!I15,FIND(";",CMC!I15)-1)),CMC!I15,LEFT(CMC!I15,FIND(";",CMC!I15)-1)))</f>
        <v/>
      </c>
      <c r="Y56" s="62" t="str">
        <f>S7</f>
        <v/>
      </c>
      <c r="AA56" s="62" t="str">
        <f>IF(S$5="","",
  IF(CMC!$D15="","Minimum value missing.",
    IF(CMC!$F15="","Unit missing.",
      IF(EXACT(CMC!$F15,"mN m"),VALUE(IF(MID($A$30,2,1)=",",SUBSTITUTE(CMC!$E15,".",","),CMC!$E15))/1000,
        IF(EXACT(CMC!$F15,"N m"),VALUE(IF(MID($A$30,2,1)=",",SUBSTITUTE(CMC!$E15,".",","),CMC!$E15)),
          IF(EXACT(CMC!$F15,"kN m"),VALUE(IF(MID($A$30,2,1)=",",SUBSTITUTE(CMC!$E15,".",","),CMC!$E15))*1000,
            IF(EXACT(CMC!$F15,"MN m"),VALUE(IF(MID($A$30,2,1)=",",SUBSTITUTE(CMC!$E15,".",","),CMC!$E15))*1000000)
            )
          )
      )
    )
  )
)</f>
        <v/>
      </c>
    </row>
    <row r="57" spans="1:27" hidden="1" x14ac:dyDescent="0.2">
      <c r="A57" s="62" t="b">
        <f>IF(VALUE(IF(MID($A$30,2,1)=",",SUBSTITUTE(CMC!$D16,".",","),CMC!$D16))&lt;=VALUE(IF(MID($A$30,2,1)=",",SUBSTITUTE(CMC!$E16,".",","),CMC!$E16)),TRUE,FALSE)</f>
        <v>1</v>
      </c>
      <c r="C57" s="62" t="str">
        <f>CMC!J16&amp;
    IF(ISERROR(FIND("+",W57)),",no sum",",sum")&amp;
    IF(ISERROR(FIND("T",W57)),",no T",",T")&amp;
    IF(
        ISERROR(FIND("/",W57)),
        ",no div",
        IF(
            ISERROR(FIND("T/(Nm)",SUBSTITUTE(W57," ",""))),
            ",div Nm/T",
            ",div T/(Nm)"
        )
    )</f>
        <v>,no sum,no T,no div</v>
      </c>
      <c r="D57" s="62"/>
      <c r="E57" s="62" t="e">
        <f>HLOOKUP(C57,$G$52:$U$57,6,FALSE)</f>
        <v>#N/A</v>
      </c>
      <c r="G57" s="62" t="str">
        <f>IF(
    $C57=G$52,
    VALUE(
        IF(
            MID($A$30,2,1)=",",
            SUBSTITUTE(CMC!$I16,".",","),
            CMC!$I16
        )
    ),
    ""
)</f>
        <v/>
      </c>
      <c r="I57" s="62" t="str">
        <f>IF($C57=I$52,
   IF(ISERROR(FIND(";",CMC!I16)),
        "Semi-colon missing",
        MIN(
            VALUE(
                IF(
                    MID($A$30,2,1)=",",
                    SUBSTITUTE(TRIM(LEFT(W57,FIND("T",W57)-1)),".",","),
                    TRIM(LEFT(W57,FIND("T",W57)-1))
                )
            )* Y57,
            VALUE(
                IF(
                    MID($A$30,2,1)=",",
                    SUBSTITUTE(TRIM(LEFT(W57,FIND("T",W57)-1)),".",","),
                    TRIM(LEFT(W57,FIND("T",W57)-1))
                )
            )* AA57
        )
    ),
    ""
)</f>
        <v/>
      </c>
      <c r="K57" s="62" t="str">
        <f>IF($C57=K$52,
   IF(ISERROR(FIND(";",CMC!I16)),
        "Semi-colon missing",
        SUBSTITUTE(
            IF(
                MID($A$30,2,1)=",",
                SUBSTITUTE(TRIM(LEFT(W57,FIND("/",W57)-1)),".",","),
                TRIM(LEFT(W57,FIND("/",W57)-1))),
            "N m",
            ""
        )
        /
        SUBSTITUTE(
            IF(
                MID($A$30,2,1)=",",
                SUBSTITUTE(TRIM(MID(W57,FIND("/",W57)+1,LEN(W57)-FIND("/",W57))),".",","),
                TRIM(MID(W57,FIND("/",W57)+1,LEN(W57)-FIND("/",W57)))
            ),
            "T",
            SUBSTITUTE(AA57,",",".")
        )
    ),
    ""
)</f>
        <v/>
      </c>
      <c r="M57" s="62" t="str">
        <f>IF($C57=M$52,
   IF(ISERROR(FIND(";",CMC!I16)),
        "Semi-colon missing",
        IF(FIND("+",W57)&lt;FIND("/",W57),
            MIN(
                VALUE(IF(MID($A$30,2,1)=",",SUBSTITUTE(TRIM(LEFT(W57,FIND("+",W57)-1)),".",","),TRIM(LEFT(W57,FIND("+",W57)-1))))+
                    VALUE(SUBSTITUTE(IF(MID($A$30,2,1)=",",SUBSTITUTE(TRIM(MID(W57,FIND("+",W57)+1,FIND("/",W57)-FIND("+",W57)-1)),".",","),TRIM(MID(W57,FIND("+",W57)+1,FIND("/",W57)-FIND("+",W57)-1))),"T",""))*Y57,
                VALUE(IF(MID($A$30,2,1)=",",SUBSTITUTE(TRIM(LEFT(W57,FIND("+",W57)-1)),".",","),TRIM(LEFT(W57,FIND("+",W57)-1))))+
                    VALUE(SUBSTITUTE(IF(MID($A$30,2,1)=",",SUBSTITUTE(TRIM(MID(W57,FIND("+",W57)+1,FIND("/",W57)-FIND("+",W57)-1)),".",","),TRIM(MID(W57,FIND("+",W57)+1,FIND("/",W57)-FIND("+",W57)-1))),"T",""))*AA57),
            MIN(
                VALUE(SUBSTITUTE(IF(MID($A$30,2,1)=",",SUBSTITUTE(TRIM(LEFT(W57,FIND("/",W57)-1)),".",","),TRIM(LEFT(W57,FIND("/",W57)-1))),"T",""))*Y57+
                    VALUE(IF(MID($A$30,2,1)=",",SUBSTITUTE(TRIM(MID(W57,FIND("+",W57)+1,LEN(W57)-FIND("+",W57))),".",","),TRIM(MID(W57,FIND("+",W57)+1,LEN(W57)-FIND("+",W57))))),
                VALUE(SUBSTITUTE(IF(MID($A$30,2,1)=",",SUBSTITUTE(TRIM(LEFT(W57,FIND("/",W57)-1)),".",","),TRIM(LEFT(W57,FIND("/",W57)-1))),"T",""))*AA57+
                    VALUE(IF(MID($A$30,2,1)=",",SUBSTITUTE(TRIM(MID(W57,FIND("+",W57)+1,LEN(W57)-FIND("+",W57))),".",","),TRIM(MID(W57,FIND("+",W57)+1,LEN(W57)-FIND("+",W57))))))
        )
    ),
    ""
)</f>
        <v/>
      </c>
      <c r="O57" s="62" t="str">
        <f>IF($C57=O$52,
    IF(ISERROR(FIND(";",CMC!I16)),
        "Semi-colon missing",
        IF(FIND("+",W57)&lt;FIND("/",W57),
            MIN(
                VALUE(SUBSTITUTE(IF(MID($A$30,2,1)=",",SUBSTITUTE(TRIM(LEFT(W57,FIND("+",W57)-1)),".",","),TRIM(LEFT(W57,FIND("+",W57)-1))),"N m",""))+
                    VALUE(SUBSTITUTE(IF(MID($A$30,2,1)=",",SUBSTITUTE(TRIM(MID(W57,FIND("+",W57)+1,FIND("/",W57)-FIND("+",W57)-1)),".",","),TRIM(MID(W57,FIND("+",W57)+1,FIND("/",W57)-FIND("+",W57)-1))),"N m",""))/AA57,
                VALUE(SUBSTITUTE(IF(MID($A$30,2,1)=",",SUBSTITUTE(TRIM(LEFT(W57,FIND("+",W57)-1)),".",","),TRIM(LEFT(W57,FIND("+",W57)-1))),"N m",""))+
                    VALUE(SUBSTITUTE(IF(MID($A$30,2,1)=",",SUBSTITUTE(TRIM(MID(W57,FIND("+",W57)+1,FIND("/",W57)-FIND("+",W57)-1)),".",","),TRIM(MID(W57,FIND("+",W57)+1,FIND("/",W57)-FIND("+",W57)-1))),"N m",""))/Y57),
            MIN(
                VALUE(SUBSTITUTE(IF(MID($A$30,2,1)=",",SUBSTITUTE(TRIM(LEFT(W57,FIND("/",W57)-1)),".",","),TRIM(LEFT(W57,FIND("/",W57)-1))),"N m",""))/AA57+
                    VALUE(SUBSTITUTE(IF(MID($A$30,2,1)=",",SUBSTITUTE(TRIM(MID(W57,FIND("+",W57)+1,LEN(W57)-FIND("+",W57))),".",","),TRIM(MID(W57,FIND("+",W57)+1,LEN(W57)-FIND("+",W57)))),"N m","")),
                VALUE(SUBSTITUTE(IF(MID($A$30,2,1)=",",SUBSTITUTE(TRIM(LEFT(W57,FIND("/",W57)-1)),".",","),TRIM(LEFT(W57,FIND("/",W57)-1))),"N m",""))/Y57+
                    VALUE(SUBSTITUTE(IF(MID($A$30,2,1)=",",SUBSTITUTE(TRIM(MID(W57,FIND("+",W57)+1,LEN(W57)-FIND("+",W57))),".",","),TRIM(MID(W57,FIND("+",W57)+1,LEN(W57)-FIND("+",W57)))),"N m","")))
        )
    ),
     ""
)</f>
        <v/>
      </c>
      <c r="Q57" s="62" t="str">
        <f>IF($C57=Q$52,
    IF(ISERROR(FIND(";",CMC!I16)),
        "Semi-colon missing",
        IF(FIND("+",W57)&lt;FIND("T",W57),
            100*MIN(
                VALUE(SUBSTITUTE(IF(MID($A$30,2,1)=",",SUBSTITUTE(TRIM(LEFT(W57,FIND("+",W57)-1)),".",","),TRIM(LEFT(W57,FIND("+",W57)-1))),"N m",""))/AA57+
                    VALUE(SUBSTITUTE(IF(MID($A$30,2,1)=",",SUBSTITUTE(TRIM(MID(W57,FIND("+",W57)+1,FIND("T",W57)-FIND("+",W57)-1)),".",","),TRIM(MID(W57,FIND("+",W57)+1,FIND("T",W57)-FIND("+",W57)-1))),"N m","")),
                VALUE(SUBSTITUTE(IF(MID($A$30,2,1)=",",SUBSTITUTE(TRIM(LEFT(W57,FIND("+",W57)-1)),".",","),TRIM(LEFT(W57,FIND("+",W57)-1))),"N m",""))/Y57+
                    VALUE(SUBSTITUTE(IF(MID($A$30,2,1)=",",SUBSTITUTE(TRIM(MID(W57,FIND("+",W57)+1,FIND("T",W57)-FIND("+",W57)-1)),".",","),TRIM(MID(W57,FIND("+",W57)+1,FIND("T",W57)-FIND("+",W57)-1))),"N m",""))),
            100*MIN(
                VALUE(SUBSTITUTE(IF(MID($A$30,2,1)=",",SUBSTITUTE(TRIM(LEFT(W57,FIND("T",W57)-1)),".",","),TRIM(LEFT(W57,FIND("T",W57)-1))),"N m",""))+
                    VALUE(SUBSTITUTE(IF(MID($A$30,2,1)=",",SUBSTITUTE(TRIM(MID(W57,FIND("+",W57)+1,LEN(W57)-FIND("+",W57))),".",","),TRIM(MID(W57,FIND("+",W57)+1,LEN(W57)-FIND("+",W57)))),"N m",""))/AA57,
                VALUE(SUBSTITUTE(IF(MID($A$30,2,1)=",",SUBSTITUTE(TRIM(LEFT(W57,FIND("T",W57)-1)),".",","),TRIM(LEFT(W57,FIND("T",W57)-1))),"N m",""))+
                    VALUE(SUBSTITUTE(IF(MID($A$30,2,1)=",",SUBSTITUTE(TRIM(MID(W57,FIND("+",W57)+1,LEN(W57)-FIND("+",W57))),".",","),TRIM(MID(W57,FIND("+",W57)+1,LEN(W57)-FIND("+",W57)))),"N m",""))/Y57)
        )
    ),
    ""
)</f>
        <v/>
      </c>
      <c r="S57" s="62" t="str">
        <f>IF(
    $C57=S$52,
    100*VALUE(
        SUBSTITUTE(
            IF(MID($A$30,2,1)=",",
                SUBSTITUTE(W57,".",","),
                W57
            ),
            "T",
            ""
        )
    ),
    ""
)</f>
        <v/>
      </c>
      <c r="U57" s="62" t="str">
        <f>IF(
    $C57=U$52,100*VALUE(
        SUBSTITUTE(
            IF(
                MID($A$30,2,1)=",",
                SUBSTITUTE(CMC!$I16,".",","),
                CMC!$I16
            ),
            "N m",
            ""
        )
    )/AA57,
    ""
)</f>
        <v/>
      </c>
      <c r="W57" s="62" t="str">
        <f>IF(CMC!I16="","",IF(ISERROR(LEFT(CMC!I16,FIND(";",CMC!I16)-1)),CMC!I16,LEFT(CMC!I16,FIND(";",CMC!I16)-1)))</f>
        <v/>
      </c>
      <c r="Y57" s="62" t="str">
        <f>U7</f>
        <v/>
      </c>
      <c r="AA57" s="62" t="str">
        <f>IF(U$5="","",
  IF(CMC!$D16="","Minimum value missing.",
    IF(CMC!$F16="","Unit missing.",
      IF(EXACT(CMC!$F16,"mN m"),VALUE(IF(MID($A$30,2,1)=",",SUBSTITUTE(CMC!$E16,".",","),CMC!$E16))/1000,
        IF(EXACT(CMC!$F16,"N m"),VALUE(IF(MID($A$30,2,1)=",",SUBSTITUTE(CMC!$E16,".",","),CMC!$E16)),
          IF(EXACT(CMC!$F16,"kN m"),VALUE(IF(MID($A$30,2,1)=",",SUBSTITUTE(CMC!$E16,".",","),CMC!$E16))*1000,
            IF(EXACT(CMC!$F16,"MN m"),VALUE(IF(MID($A$30,2,1)=",",SUBSTITUTE(CMC!$E16,".",","),CMC!$E16))*1000000)
            )
          )
      )
    )
  )
)</f>
        <v/>
      </c>
    </row>
  </sheetData>
  <sheetProtection algorithmName="SHA-512" hashValue="4X2ApZS659Nxo+AN/NFcmlbAnFuz7TxyJZfzNO9Eu1PBhXD9liEzI2/hVatFZfjSq0MY35cfBtFMDW4SPxIomA==" saltValue="0rCFBnK8lDo7o/VIAbQhBA==" spinCount="100000" sheet="1" selectLockedCells="1"/>
  <phoneticPr fontId="23" type="noConversion"/>
  <conditionalFormatting sqref="C7:C8 E7:E8 G7:G8 I7:I8 K7:K8 M7:M8 O7:O8 Q7:Q8 S7:S8 U7:U8">
    <cfRule type="containsErrors" dxfId="71" priority="103">
      <formula>ISERROR(C7)</formula>
    </cfRule>
  </conditionalFormatting>
  <conditionalFormatting sqref="C8 E8 G8 I8 K8 M8 O8 Q8 S8 U8">
    <cfRule type="cellIs" dxfId="70" priority="1" operator="lessThanOrEqual">
      <formula>0</formula>
    </cfRule>
  </conditionalFormatting>
  <conditionalFormatting sqref="C12">
    <cfRule type="expression" dxfId="69" priority="27">
      <formula>C$12&gt;=C$11</formula>
    </cfRule>
  </conditionalFormatting>
  <conditionalFormatting sqref="C16">
    <cfRule type="containsText" dxfId="68" priority="7" operator="containsText" text="Yes">
      <formula>NOT(ISERROR(SEARCH("Yes",C16)))</formula>
    </cfRule>
  </conditionalFormatting>
  <conditionalFormatting sqref="C18">
    <cfRule type="containsText" dxfId="67" priority="6" operator="containsText" text="Yes">
      <formula>NOT(ISERROR(SEARCH("Yes",C18)))</formula>
    </cfRule>
  </conditionalFormatting>
  <conditionalFormatting sqref="C20">
    <cfRule type="containsText" dxfId="66" priority="5" operator="containsText" text="Yes">
      <formula>NOT(ISERROR(SEARCH("Yes",C20)))</formula>
    </cfRule>
  </conditionalFormatting>
  <conditionalFormatting sqref="C22">
    <cfRule type="containsText" dxfId="65" priority="102" operator="containsText" text="Yes">
      <formula>NOT(ISERROR(SEARCH("Yes",C22)))</formula>
    </cfRule>
  </conditionalFormatting>
  <conditionalFormatting sqref="C24">
    <cfRule type="containsText" dxfId="64" priority="101" operator="containsText" text="Yes">
      <formula>NOT(ISERROR(SEARCH("Yes",C24)))</formula>
    </cfRule>
  </conditionalFormatting>
  <conditionalFormatting sqref="C26">
    <cfRule type="containsText" dxfId="63" priority="4" operator="containsText" text="Yes">
      <formula>NOT(ISERROR(SEARCH("Yes",C26)))</formula>
    </cfRule>
  </conditionalFormatting>
  <conditionalFormatting sqref="E12">
    <cfRule type="expression" dxfId="62" priority="16">
      <formula>E$12&gt;=E$11</formula>
    </cfRule>
  </conditionalFormatting>
  <conditionalFormatting sqref="E16">
    <cfRule type="containsText" dxfId="61" priority="45" operator="containsText" text="Yes">
      <formula>NOT(ISERROR(SEARCH("Yes",E16)))</formula>
    </cfRule>
  </conditionalFormatting>
  <conditionalFormatting sqref="E18">
    <cfRule type="containsText" dxfId="60" priority="44" operator="containsText" text="Yes">
      <formula>NOT(ISERROR(SEARCH("Yes",E18)))</formula>
    </cfRule>
  </conditionalFormatting>
  <conditionalFormatting sqref="E20">
    <cfRule type="containsText" dxfId="59" priority="97" operator="containsText" text="Yes">
      <formula>NOT(ISERROR(SEARCH("Yes",E20)))</formula>
    </cfRule>
  </conditionalFormatting>
  <conditionalFormatting sqref="E22">
    <cfRule type="containsText" dxfId="58" priority="96" operator="containsText" text="Yes">
      <formula>NOT(ISERROR(SEARCH("Yes",E22)))</formula>
    </cfRule>
  </conditionalFormatting>
  <conditionalFormatting sqref="E24">
    <cfRule type="containsText" dxfId="57" priority="95" operator="containsText" text="Yes">
      <formula>NOT(ISERROR(SEARCH("Yes",E24)))</formula>
    </cfRule>
  </conditionalFormatting>
  <conditionalFormatting sqref="E26">
    <cfRule type="containsText" dxfId="56" priority="94" operator="containsText" text="Yes">
      <formula>NOT(ISERROR(SEARCH("Yes",E26)))</formula>
    </cfRule>
  </conditionalFormatting>
  <conditionalFormatting sqref="G12">
    <cfRule type="expression" dxfId="55" priority="15">
      <formula>G$12&gt;=G$11</formula>
    </cfRule>
  </conditionalFormatting>
  <conditionalFormatting sqref="G16">
    <cfRule type="containsText" dxfId="54" priority="43" operator="containsText" text="Yes">
      <formula>NOT(ISERROR(SEARCH("Yes",G16)))</formula>
    </cfRule>
  </conditionalFormatting>
  <conditionalFormatting sqref="G18">
    <cfRule type="containsText" dxfId="53" priority="42" operator="containsText" text="Yes">
      <formula>NOT(ISERROR(SEARCH("Yes",G18)))</formula>
    </cfRule>
  </conditionalFormatting>
  <conditionalFormatting sqref="G20">
    <cfRule type="containsText" dxfId="52" priority="91" operator="containsText" text="Yes">
      <formula>NOT(ISERROR(SEARCH("Yes",G20)))</formula>
    </cfRule>
  </conditionalFormatting>
  <conditionalFormatting sqref="G22">
    <cfRule type="containsText" dxfId="51" priority="90" operator="containsText" text="Yes">
      <formula>NOT(ISERROR(SEARCH("Yes",G22)))</formula>
    </cfRule>
  </conditionalFormatting>
  <conditionalFormatting sqref="G24">
    <cfRule type="containsText" dxfId="50" priority="89" operator="containsText" text="Yes">
      <formula>NOT(ISERROR(SEARCH("Yes",G24)))</formula>
    </cfRule>
  </conditionalFormatting>
  <conditionalFormatting sqref="G26">
    <cfRule type="containsText" dxfId="49" priority="88" operator="containsText" text="Yes">
      <formula>NOT(ISERROR(SEARCH("Yes",G26)))</formula>
    </cfRule>
  </conditionalFormatting>
  <conditionalFormatting sqref="I12">
    <cfRule type="expression" dxfId="48" priority="14">
      <formula>I$12&gt;=I$11</formula>
    </cfRule>
  </conditionalFormatting>
  <conditionalFormatting sqref="I16">
    <cfRule type="containsText" dxfId="47" priority="41" operator="containsText" text="Yes">
      <formula>NOT(ISERROR(SEARCH("Yes",I16)))</formula>
    </cfRule>
  </conditionalFormatting>
  <conditionalFormatting sqref="I18">
    <cfRule type="containsText" dxfId="46" priority="40" operator="containsText" text="Yes">
      <formula>NOT(ISERROR(SEARCH("Yes",I18)))</formula>
    </cfRule>
  </conditionalFormatting>
  <conditionalFormatting sqref="I20">
    <cfRule type="containsText" dxfId="45" priority="85" operator="containsText" text="Yes">
      <formula>NOT(ISERROR(SEARCH("Yes",I20)))</formula>
    </cfRule>
  </conditionalFormatting>
  <conditionalFormatting sqref="I22">
    <cfRule type="containsText" dxfId="44" priority="84" operator="containsText" text="Yes">
      <formula>NOT(ISERROR(SEARCH("Yes",I22)))</formula>
    </cfRule>
  </conditionalFormatting>
  <conditionalFormatting sqref="I24">
    <cfRule type="containsText" dxfId="43" priority="83" operator="containsText" text="Yes">
      <formula>NOT(ISERROR(SEARCH("Yes",I24)))</formula>
    </cfRule>
  </conditionalFormatting>
  <conditionalFormatting sqref="I26">
    <cfRule type="containsText" dxfId="42" priority="82" operator="containsText" text="Yes">
      <formula>NOT(ISERROR(SEARCH("Yes",I26)))</formula>
    </cfRule>
  </conditionalFormatting>
  <conditionalFormatting sqref="K12">
    <cfRule type="expression" dxfId="41" priority="13">
      <formula>K$12&gt;=K$11</formula>
    </cfRule>
  </conditionalFormatting>
  <conditionalFormatting sqref="K16">
    <cfRule type="containsText" dxfId="40" priority="39" operator="containsText" text="Yes">
      <formula>NOT(ISERROR(SEARCH("Yes",K16)))</formula>
    </cfRule>
  </conditionalFormatting>
  <conditionalFormatting sqref="K18">
    <cfRule type="containsText" dxfId="39" priority="38" operator="containsText" text="Yes">
      <formula>NOT(ISERROR(SEARCH("Yes",K18)))</formula>
    </cfRule>
  </conditionalFormatting>
  <conditionalFormatting sqref="K20">
    <cfRule type="containsText" dxfId="38" priority="79" operator="containsText" text="Yes">
      <formula>NOT(ISERROR(SEARCH("Yes",K20)))</formula>
    </cfRule>
  </conditionalFormatting>
  <conditionalFormatting sqref="K22">
    <cfRule type="containsText" dxfId="37" priority="78" operator="containsText" text="Yes">
      <formula>NOT(ISERROR(SEARCH("Yes",K22)))</formula>
    </cfRule>
  </conditionalFormatting>
  <conditionalFormatting sqref="K24">
    <cfRule type="containsText" dxfId="36" priority="77" operator="containsText" text="Yes">
      <formula>NOT(ISERROR(SEARCH("Yes",K24)))</formula>
    </cfRule>
  </conditionalFormatting>
  <conditionalFormatting sqref="K26">
    <cfRule type="containsText" dxfId="35" priority="76" operator="containsText" text="Yes">
      <formula>NOT(ISERROR(SEARCH("Yes",K26)))</formula>
    </cfRule>
  </conditionalFormatting>
  <conditionalFormatting sqref="M12">
    <cfRule type="expression" dxfId="34" priority="12">
      <formula>M$12&gt;=M$11</formula>
    </cfRule>
  </conditionalFormatting>
  <conditionalFormatting sqref="M16">
    <cfRule type="containsText" dxfId="33" priority="37" operator="containsText" text="Yes">
      <formula>NOT(ISERROR(SEARCH("Yes",M16)))</formula>
    </cfRule>
  </conditionalFormatting>
  <conditionalFormatting sqref="M18">
    <cfRule type="containsText" dxfId="32" priority="36" operator="containsText" text="Yes">
      <formula>NOT(ISERROR(SEARCH("Yes",M18)))</formula>
    </cfRule>
  </conditionalFormatting>
  <conditionalFormatting sqref="M20">
    <cfRule type="containsText" dxfId="31" priority="73" operator="containsText" text="Yes">
      <formula>NOT(ISERROR(SEARCH("Yes",M20)))</formula>
    </cfRule>
  </conditionalFormatting>
  <conditionalFormatting sqref="M22">
    <cfRule type="containsText" dxfId="30" priority="72" operator="containsText" text="Yes">
      <formula>NOT(ISERROR(SEARCH("Yes",M22)))</formula>
    </cfRule>
  </conditionalFormatting>
  <conditionalFormatting sqref="M24">
    <cfRule type="containsText" dxfId="29" priority="71" operator="containsText" text="Yes">
      <formula>NOT(ISERROR(SEARCH("Yes",M24)))</formula>
    </cfRule>
  </conditionalFormatting>
  <conditionalFormatting sqref="M26">
    <cfRule type="containsText" dxfId="28" priority="70" operator="containsText" text="Yes">
      <formula>NOT(ISERROR(SEARCH("Yes",M26)))</formula>
    </cfRule>
  </conditionalFormatting>
  <conditionalFormatting sqref="O12">
    <cfRule type="expression" dxfId="27" priority="11">
      <formula>O$12&gt;=O$11</formula>
    </cfRule>
  </conditionalFormatting>
  <conditionalFormatting sqref="O16">
    <cfRule type="containsText" dxfId="26" priority="35" operator="containsText" text="Yes">
      <formula>NOT(ISERROR(SEARCH("Yes",O16)))</formula>
    </cfRule>
  </conditionalFormatting>
  <conditionalFormatting sqref="O18">
    <cfRule type="containsText" dxfId="25" priority="34" operator="containsText" text="Yes">
      <formula>NOT(ISERROR(SEARCH("Yes",O18)))</formula>
    </cfRule>
  </conditionalFormatting>
  <conditionalFormatting sqref="O20">
    <cfRule type="containsText" dxfId="24" priority="67" operator="containsText" text="Yes">
      <formula>NOT(ISERROR(SEARCH("Yes",O20)))</formula>
    </cfRule>
  </conditionalFormatting>
  <conditionalFormatting sqref="O22">
    <cfRule type="containsText" dxfId="23" priority="66" operator="containsText" text="Yes">
      <formula>NOT(ISERROR(SEARCH("Yes",O22)))</formula>
    </cfRule>
  </conditionalFormatting>
  <conditionalFormatting sqref="O24">
    <cfRule type="containsText" dxfId="22" priority="65" operator="containsText" text="Yes">
      <formula>NOT(ISERROR(SEARCH("Yes",O24)))</formula>
    </cfRule>
  </conditionalFormatting>
  <conditionalFormatting sqref="O26">
    <cfRule type="containsText" dxfId="21" priority="64" operator="containsText" text="Yes">
      <formula>NOT(ISERROR(SEARCH("Yes",O26)))</formula>
    </cfRule>
  </conditionalFormatting>
  <conditionalFormatting sqref="Q12">
    <cfRule type="expression" dxfId="20" priority="10">
      <formula>Q$12&gt;=Q$11</formula>
    </cfRule>
  </conditionalFormatting>
  <conditionalFormatting sqref="Q16">
    <cfRule type="containsText" dxfId="19" priority="33" operator="containsText" text="Yes">
      <formula>NOT(ISERROR(SEARCH("Yes",Q16)))</formula>
    </cfRule>
  </conditionalFormatting>
  <conditionalFormatting sqref="Q18">
    <cfRule type="containsText" dxfId="18" priority="32" operator="containsText" text="Yes">
      <formula>NOT(ISERROR(SEARCH("Yes",Q18)))</formula>
    </cfRule>
  </conditionalFormatting>
  <conditionalFormatting sqref="Q20">
    <cfRule type="containsText" dxfId="17" priority="61" operator="containsText" text="Yes">
      <formula>NOT(ISERROR(SEARCH("Yes",Q20)))</formula>
    </cfRule>
  </conditionalFormatting>
  <conditionalFormatting sqref="Q22">
    <cfRule type="containsText" dxfId="16" priority="60" operator="containsText" text="Yes">
      <formula>NOT(ISERROR(SEARCH("Yes",Q22)))</formula>
    </cfRule>
  </conditionalFormatting>
  <conditionalFormatting sqref="Q24">
    <cfRule type="containsText" dxfId="15" priority="59" operator="containsText" text="Yes">
      <formula>NOT(ISERROR(SEARCH("Yes",Q24)))</formula>
    </cfRule>
  </conditionalFormatting>
  <conditionalFormatting sqref="Q26">
    <cfRule type="containsText" dxfId="14" priority="58" operator="containsText" text="Yes">
      <formula>NOT(ISERROR(SEARCH("Yes",Q26)))</formula>
    </cfRule>
  </conditionalFormatting>
  <conditionalFormatting sqref="S12">
    <cfRule type="expression" dxfId="13" priority="9">
      <formula>S$12&gt;=S$11</formula>
    </cfRule>
  </conditionalFormatting>
  <conditionalFormatting sqref="S16">
    <cfRule type="containsText" dxfId="12" priority="31" operator="containsText" text="Yes">
      <formula>NOT(ISERROR(SEARCH("Yes",S16)))</formula>
    </cfRule>
  </conditionalFormatting>
  <conditionalFormatting sqref="S18">
    <cfRule type="containsText" dxfId="11" priority="30" operator="containsText" text="Yes">
      <formula>NOT(ISERROR(SEARCH("Yes",S18)))</formula>
    </cfRule>
  </conditionalFormatting>
  <conditionalFormatting sqref="S20">
    <cfRule type="containsText" dxfId="10" priority="55" operator="containsText" text="Yes">
      <formula>NOT(ISERROR(SEARCH("Yes",S20)))</formula>
    </cfRule>
  </conditionalFormatting>
  <conditionalFormatting sqref="S22">
    <cfRule type="containsText" dxfId="9" priority="54" operator="containsText" text="Yes">
      <formula>NOT(ISERROR(SEARCH("Yes",S22)))</formula>
    </cfRule>
  </conditionalFormatting>
  <conditionalFormatting sqref="S24">
    <cfRule type="containsText" dxfId="8" priority="53" operator="containsText" text="Yes">
      <formula>NOT(ISERROR(SEARCH("Yes",S24)))</formula>
    </cfRule>
  </conditionalFormatting>
  <conditionalFormatting sqref="S26">
    <cfRule type="containsText" dxfId="7" priority="52" operator="containsText" text="Yes">
      <formula>NOT(ISERROR(SEARCH("Yes",S26)))</formula>
    </cfRule>
  </conditionalFormatting>
  <conditionalFormatting sqref="U12">
    <cfRule type="expression" dxfId="6" priority="8">
      <formula>U$12&gt;=U$11</formula>
    </cfRule>
  </conditionalFormatting>
  <conditionalFormatting sqref="U16">
    <cfRule type="containsText" dxfId="5" priority="29" operator="containsText" text="Yes">
      <formula>NOT(ISERROR(SEARCH("Yes",U16)))</formula>
    </cfRule>
  </conditionalFormatting>
  <conditionalFormatting sqref="U18">
    <cfRule type="containsText" dxfId="4" priority="28" operator="containsText" text="Yes">
      <formula>NOT(ISERROR(SEARCH("Yes",U18)))</formula>
    </cfRule>
  </conditionalFormatting>
  <conditionalFormatting sqref="U20">
    <cfRule type="containsText" dxfId="3" priority="49" operator="containsText" text="Yes">
      <formula>NOT(ISERROR(SEARCH("Yes",U20)))</formula>
    </cfRule>
  </conditionalFormatting>
  <conditionalFormatting sqref="U22">
    <cfRule type="containsText" dxfId="2" priority="48" operator="containsText" text="Yes">
      <formula>NOT(ISERROR(SEARCH("Yes",U22)))</formula>
    </cfRule>
  </conditionalFormatting>
  <conditionalFormatting sqref="U24">
    <cfRule type="containsText" dxfId="1" priority="47" operator="containsText" text="Yes">
      <formula>NOT(ISERROR(SEARCH("Yes",U24)))</formula>
    </cfRule>
  </conditionalFormatting>
  <conditionalFormatting sqref="U26">
    <cfRule type="containsText" dxfId="0" priority="46" operator="containsText" text="Yes">
      <formula>NOT(ISERROR(SEARCH("Yes",U26)))</formula>
    </cfRule>
  </conditionalFormatting>
  <dataValidations count="3">
    <dataValidation type="list" allowBlank="1" showInputMessage="1" showErrorMessage="1" sqref="U18 C16 C18 C22 C24 C20 E16 E20 E22 E24 E18 G16 G20 G22 G24 G18 I16 I20 I22 I24 I18 K16 K20 K22 K24 K18 M16 M20 M22 M24 M18 O16 O20 O22 O24 O18 Q16 Q20 Q22 Q24 Q18 S16 S20 S22 S24 S18 U16 U20 U22 U24 C26 S26 Q26 O26 M26 K26 I26 G26 E26 U26" xr:uid="{5C6FE886-5E48-4631-A6D6-200C72D0C62F}">
      <formula1>"Yes,No"</formula1>
    </dataValidation>
    <dataValidation type="list" allowBlank="1" showInputMessage="1" showErrorMessage="1" sqref="C5 E5 G5 I5 K5" xr:uid="{F599AC09-5133-4CB0-98C8-9CD1AF32E5CC}">
      <formula1>force_traceability</formula1>
    </dataValidation>
    <dataValidation type="list" allowBlank="1" showInputMessage="1" showErrorMessage="1" sqref="M5 O5 Q5 S5 U5" xr:uid="{96F23622-3FFD-4242-ADE9-2B5765DAB71C}">
      <formula1>torque_traceability</formula1>
    </dataValidation>
  </dataValidations>
  <hyperlinks>
    <hyperlink ref="A1" location="CMC!A1" display="Back" xr:uid="{60DB7A8B-509E-4804-9620-B186439B5E1A}"/>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B2:E260"/>
  <sheetViews>
    <sheetView workbookViewId="0"/>
  </sheetViews>
  <sheetFormatPr defaultColWidth="11.42578125" defaultRowHeight="12.75" x14ac:dyDescent="0.2"/>
  <cols>
    <col min="1" max="1" width="4.28515625" style="2" customWidth="1"/>
    <col min="2" max="2" width="10.85546875" style="2" customWidth="1"/>
    <col min="3" max="3" width="24.7109375" style="2" customWidth="1"/>
    <col min="4" max="4" width="27.28515625" style="3" customWidth="1"/>
    <col min="5" max="5" width="56.7109375" style="1" customWidth="1"/>
    <col min="6" max="16384" width="11.42578125" style="2"/>
  </cols>
  <sheetData>
    <row r="2" spans="2:5" x14ac:dyDescent="0.2">
      <c r="B2" s="109"/>
      <c r="C2" s="109"/>
      <c r="D2" s="110"/>
    </row>
    <row r="3" spans="2:5" ht="13.5" thickBot="1" x14ac:dyDescent="0.25"/>
    <row r="4" spans="2:5" customFormat="1" ht="13.5" thickBot="1" x14ac:dyDescent="0.25">
      <c r="C4" s="138" t="s">
        <v>27</v>
      </c>
      <c r="D4" s="139"/>
      <c r="E4" s="10" t="s">
        <v>28</v>
      </c>
    </row>
    <row r="5" spans="2:5" ht="41.25" customHeight="1" x14ac:dyDescent="0.2">
      <c r="B5" s="132" t="s">
        <v>43</v>
      </c>
      <c r="C5" s="153" t="s">
        <v>6</v>
      </c>
      <c r="D5" s="30" t="s">
        <v>50</v>
      </c>
      <c r="E5" s="11" t="s">
        <v>51</v>
      </c>
    </row>
    <row r="6" spans="2:5" x14ac:dyDescent="0.2">
      <c r="B6" s="133"/>
      <c r="C6" s="154"/>
      <c r="D6" s="7" t="s">
        <v>15</v>
      </c>
      <c r="E6" s="12" t="s">
        <v>25</v>
      </c>
    </row>
    <row r="7" spans="2:5" ht="26.25" thickBot="1" x14ac:dyDescent="0.25">
      <c r="B7" s="133"/>
      <c r="C7" s="155"/>
      <c r="D7" s="8" t="s">
        <v>0</v>
      </c>
      <c r="E7" s="13" t="s">
        <v>26</v>
      </c>
    </row>
    <row r="8" spans="2:5" x14ac:dyDescent="0.2">
      <c r="B8" s="133"/>
      <c r="C8" s="150" t="s">
        <v>7</v>
      </c>
      <c r="D8" s="6" t="s">
        <v>12</v>
      </c>
      <c r="E8" s="129" t="s">
        <v>29</v>
      </c>
    </row>
    <row r="9" spans="2:5" x14ac:dyDescent="0.2">
      <c r="B9" s="133"/>
      <c r="C9" s="151"/>
      <c r="D9" s="7" t="s">
        <v>13</v>
      </c>
      <c r="E9" s="130"/>
    </row>
    <row r="10" spans="2:5" ht="42" customHeight="1" thickBot="1" x14ac:dyDescent="0.25">
      <c r="B10" s="133"/>
      <c r="C10" s="152"/>
      <c r="D10" s="8" t="s">
        <v>1</v>
      </c>
      <c r="E10" s="131"/>
    </row>
    <row r="11" spans="2:5" x14ac:dyDescent="0.2">
      <c r="B11" s="133"/>
      <c r="C11" s="150" t="s">
        <v>9</v>
      </c>
      <c r="D11" s="6" t="s">
        <v>2</v>
      </c>
      <c r="E11" s="129" t="s">
        <v>30</v>
      </c>
    </row>
    <row r="12" spans="2:5" ht="131.25" customHeight="1" thickBot="1" x14ac:dyDescent="0.25">
      <c r="B12" s="133"/>
      <c r="C12" s="152"/>
      <c r="D12" s="8" t="s">
        <v>5</v>
      </c>
      <c r="E12" s="131"/>
    </row>
    <row r="13" spans="2:5" ht="12.75" customHeight="1" x14ac:dyDescent="0.2">
      <c r="B13" s="133"/>
      <c r="C13" s="156" t="s">
        <v>8</v>
      </c>
      <c r="D13" s="14" t="s">
        <v>3</v>
      </c>
      <c r="E13" s="129" t="s">
        <v>32</v>
      </c>
    </row>
    <row r="14" spans="2:5" ht="51.75" customHeight="1" thickBot="1" x14ac:dyDescent="0.25">
      <c r="B14" s="133"/>
      <c r="C14" s="157"/>
      <c r="D14" s="15" t="s">
        <v>1</v>
      </c>
      <c r="E14" s="131"/>
    </row>
    <row r="15" spans="2:5" ht="27.75" customHeight="1" x14ac:dyDescent="0.2">
      <c r="B15" s="133"/>
      <c r="C15" s="157"/>
      <c r="D15" s="14" t="s">
        <v>19</v>
      </c>
      <c r="E15" s="129" t="s">
        <v>31</v>
      </c>
    </row>
    <row r="16" spans="2:5" ht="39" customHeight="1" thickBot="1" x14ac:dyDescent="0.25">
      <c r="B16" s="133"/>
      <c r="C16" s="157"/>
      <c r="D16" s="15" t="s">
        <v>14</v>
      </c>
      <c r="E16" s="131"/>
    </row>
    <row r="17" spans="2:5" ht="39" thickBot="1" x14ac:dyDescent="0.25">
      <c r="B17" s="134"/>
      <c r="C17" s="158"/>
      <c r="D17" s="16" t="s">
        <v>23</v>
      </c>
      <c r="E17" s="17" t="s">
        <v>33</v>
      </c>
    </row>
    <row r="18" spans="2:5" ht="25.5" customHeight="1" x14ac:dyDescent="0.2">
      <c r="B18" s="135" t="s">
        <v>44</v>
      </c>
      <c r="C18" s="140" t="s">
        <v>4</v>
      </c>
      <c r="D18" s="18" t="s">
        <v>10</v>
      </c>
      <c r="E18" s="11" t="s">
        <v>34</v>
      </c>
    </row>
    <row r="19" spans="2:5" ht="64.5" thickBot="1" x14ac:dyDescent="0.25">
      <c r="B19" s="136"/>
      <c r="C19" s="141"/>
      <c r="D19" s="9" t="s">
        <v>11</v>
      </c>
      <c r="E19" s="13" t="s">
        <v>35</v>
      </c>
    </row>
    <row r="20" spans="2:5" ht="51" customHeight="1" thickBot="1" x14ac:dyDescent="0.25">
      <c r="B20" s="137"/>
      <c r="C20" s="146" t="s">
        <v>24</v>
      </c>
      <c r="D20" s="147"/>
      <c r="E20" s="17" t="s">
        <v>36</v>
      </c>
    </row>
    <row r="21" spans="2:5" ht="75" customHeight="1" thickBot="1" x14ac:dyDescent="0.25">
      <c r="B21" s="29" t="s">
        <v>45</v>
      </c>
      <c r="C21" s="148" t="s">
        <v>46</v>
      </c>
      <c r="D21" s="149"/>
      <c r="E21" s="17" t="s">
        <v>47</v>
      </c>
    </row>
    <row r="22" spans="2:5" ht="51" x14ac:dyDescent="0.2">
      <c r="B22" s="135" t="s">
        <v>48</v>
      </c>
      <c r="C22" s="142" t="s">
        <v>22</v>
      </c>
      <c r="D22" s="21" t="s">
        <v>17</v>
      </c>
      <c r="E22" s="19" t="s">
        <v>107</v>
      </c>
    </row>
    <row r="23" spans="2:5" ht="41.25" customHeight="1" x14ac:dyDescent="0.2">
      <c r="B23" s="136"/>
      <c r="C23" s="143"/>
      <c r="D23" s="32" t="s">
        <v>53</v>
      </c>
      <c r="E23" s="19" t="s">
        <v>108</v>
      </c>
    </row>
    <row r="24" spans="2:5" ht="38.25" x14ac:dyDescent="0.2">
      <c r="B24" s="136"/>
      <c r="C24" s="144"/>
      <c r="D24" s="22" t="s">
        <v>16</v>
      </c>
      <c r="E24" s="19" t="s">
        <v>39</v>
      </c>
    </row>
    <row r="25" spans="2:5" x14ac:dyDescent="0.2">
      <c r="B25" s="136"/>
      <c r="C25" s="144"/>
      <c r="D25" s="22" t="s">
        <v>20</v>
      </c>
      <c r="E25" s="19" t="s">
        <v>38</v>
      </c>
    </row>
    <row r="26" spans="2:5" ht="26.25" thickBot="1" x14ac:dyDescent="0.25">
      <c r="B26" s="137"/>
      <c r="C26" s="145"/>
      <c r="D26" s="23" t="s">
        <v>21</v>
      </c>
      <c r="E26" s="20" t="s">
        <v>37</v>
      </c>
    </row>
    <row r="27" spans="2:5" x14ac:dyDescent="0.2">
      <c r="C27" s="4"/>
    </row>
    <row r="28" spans="2:5" ht="18" x14ac:dyDescent="0.2">
      <c r="B28" s="31" t="s">
        <v>49</v>
      </c>
      <c r="C28" s="4"/>
    </row>
    <row r="29" spans="2:5" x14ac:dyDescent="0.2">
      <c r="C29" s="5"/>
    </row>
    <row r="30" spans="2:5" x14ac:dyDescent="0.2">
      <c r="C30" s="5"/>
    </row>
    <row r="31" spans="2:5" x14ac:dyDescent="0.2">
      <c r="C31" s="5"/>
    </row>
    <row r="32" spans="2:5" x14ac:dyDescent="0.2">
      <c r="C32" s="5"/>
    </row>
    <row r="33" spans="3:3" x14ac:dyDescent="0.2">
      <c r="C33" s="5"/>
    </row>
    <row r="34" spans="3:3" x14ac:dyDescent="0.2">
      <c r="C34" s="5"/>
    </row>
    <row r="35" spans="3:3" x14ac:dyDescent="0.2">
      <c r="C35" s="5"/>
    </row>
    <row r="36" spans="3:3" x14ac:dyDescent="0.2">
      <c r="C36" s="5"/>
    </row>
    <row r="37" spans="3:3" x14ac:dyDescent="0.2">
      <c r="C37" s="5"/>
    </row>
    <row r="38" spans="3:3" x14ac:dyDescent="0.2">
      <c r="C38" s="5"/>
    </row>
    <row r="39" spans="3:3" x14ac:dyDescent="0.2">
      <c r="C39" s="5"/>
    </row>
    <row r="40" spans="3:3" x14ac:dyDescent="0.2">
      <c r="C40" s="5"/>
    </row>
    <row r="41" spans="3:3" x14ac:dyDescent="0.2">
      <c r="C41" s="5"/>
    </row>
    <row r="42" spans="3:3" x14ac:dyDescent="0.2">
      <c r="C42" s="5"/>
    </row>
    <row r="43" spans="3:3" x14ac:dyDescent="0.2">
      <c r="C43" s="5"/>
    </row>
    <row r="44" spans="3:3" x14ac:dyDescent="0.2">
      <c r="C44" s="5"/>
    </row>
    <row r="45" spans="3:3" x14ac:dyDescent="0.2">
      <c r="C45" s="5"/>
    </row>
    <row r="46" spans="3:3" x14ac:dyDescent="0.2">
      <c r="C46" s="5"/>
    </row>
    <row r="47" spans="3:3" x14ac:dyDescent="0.2">
      <c r="C47" s="5"/>
    </row>
    <row r="48" spans="3:3" x14ac:dyDescent="0.2">
      <c r="C48" s="5"/>
    </row>
    <row r="49" spans="3:3" x14ac:dyDescent="0.2">
      <c r="C49" s="5"/>
    </row>
    <row r="50" spans="3:3" x14ac:dyDescent="0.2">
      <c r="C50" s="5"/>
    </row>
    <row r="51" spans="3:3" x14ac:dyDescent="0.2">
      <c r="C51" s="5"/>
    </row>
    <row r="52" spans="3:3" x14ac:dyDescent="0.2">
      <c r="C52" s="5"/>
    </row>
    <row r="53" spans="3:3" x14ac:dyDescent="0.2">
      <c r="C53" s="5"/>
    </row>
    <row r="54" spans="3:3" x14ac:dyDescent="0.2">
      <c r="C54" s="5"/>
    </row>
    <row r="55" spans="3:3" x14ac:dyDescent="0.2">
      <c r="C55" s="5"/>
    </row>
    <row r="56" spans="3:3" x14ac:dyDescent="0.2">
      <c r="C56" s="5"/>
    </row>
    <row r="57" spans="3:3" x14ac:dyDescent="0.2">
      <c r="C57" s="5"/>
    </row>
    <row r="58" spans="3:3" x14ac:dyDescent="0.2">
      <c r="C58" s="5"/>
    </row>
    <row r="59" spans="3:3" x14ac:dyDescent="0.2">
      <c r="C59" s="5"/>
    </row>
    <row r="60" spans="3:3" x14ac:dyDescent="0.2">
      <c r="C60" s="5"/>
    </row>
    <row r="61" spans="3:3" x14ac:dyDescent="0.2">
      <c r="C61" s="5"/>
    </row>
    <row r="62" spans="3:3" x14ac:dyDescent="0.2">
      <c r="C62" s="5"/>
    </row>
    <row r="63" spans="3:3" x14ac:dyDescent="0.2">
      <c r="C63" s="5"/>
    </row>
    <row r="64" spans="3:3" x14ac:dyDescent="0.2">
      <c r="C64" s="5"/>
    </row>
    <row r="65" spans="3:3" x14ac:dyDescent="0.2">
      <c r="C65" s="5"/>
    </row>
    <row r="66" spans="3:3" x14ac:dyDescent="0.2">
      <c r="C66" s="5"/>
    </row>
    <row r="67" spans="3:3" x14ac:dyDescent="0.2">
      <c r="C67" s="5"/>
    </row>
    <row r="68" spans="3:3" x14ac:dyDescent="0.2">
      <c r="C68" s="5"/>
    </row>
    <row r="69" spans="3:3" x14ac:dyDescent="0.2">
      <c r="C69" s="5"/>
    </row>
    <row r="70" spans="3:3" x14ac:dyDescent="0.2">
      <c r="C70" s="5"/>
    </row>
    <row r="71" spans="3:3" x14ac:dyDescent="0.2">
      <c r="C71" s="5"/>
    </row>
    <row r="72" spans="3:3" x14ac:dyDescent="0.2">
      <c r="C72" s="5"/>
    </row>
    <row r="73" spans="3:3" x14ac:dyDescent="0.2">
      <c r="C73" s="5"/>
    </row>
    <row r="74" spans="3:3" x14ac:dyDescent="0.2">
      <c r="C74" s="5"/>
    </row>
    <row r="75" spans="3:3" x14ac:dyDescent="0.2">
      <c r="C75" s="5"/>
    </row>
    <row r="76" spans="3:3" x14ac:dyDescent="0.2">
      <c r="C76" s="5"/>
    </row>
    <row r="77" spans="3:3" x14ac:dyDescent="0.2">
      <c r="C77" s="5"/>
    </row>
    <row r="78" spans="3:3" x14ac:dyDescent="0.2">
      <c r="C78" s="5"/>
    </row>
    <row r="79" spans="3:3" x14ac:dyDescent="0.2">
      <c r="C79" s="5"/>
    </row>
    <row r="80" spans="3:3" x14ac:dyDescent="0.2">
      <c r="C80" s="5"/>
    </row>
    <row r="81" spans="3:3" x14ac:dyDescent="0.2">
      <c r="C81" s="5"/>
    </row>
    <row r="82" spans="3:3" x14ac:dyDescent="0.2">
      <c r="C82" s="5"/>
    </row>
    <row r="83" spans="3:3" x14ac:dyDescent="0.2">
      <c r="C83" s="5"/>
    </row>
    <row r="84" spans="3:3" x14ac:dyDescent="0.2">
      <c r="C84" s="5"/>
    </row>
    <row r="85" spans="3:3" x14ac:dyDescent="0.2">
      <c r="C85" s="5"/>
    </row>
    <row r="86" spans="3:3" x14ac:dyDescent="0.2">
      <c r="C86" s="5"/>
    </row>
    <row r="87" spans="3:3" x14ac:dyDescent="0.2">
      <c r="C87" s="5"/>
    </row>
    <row r="88" spans="3:3" x14ac:dyDescent="0.2">
      <c r="C88" s="5"/>
    </row>
    <row r="89" spans="3:3" x14ac:dyDescent="0.2">
      <c r="C89" s="5"/>
    </row>
    <row r="90" spans="3:3" x14ac:dyDescent="0.2">
      <c r="C90" s="5"/>
    </row>
    <row r="91" spans="3:3" x14ac:dyDescent="0.2">
      <c r="C91" s="5"/>
    </row>
    <row r="92" spans="3:3" x14ac:dyDescent="0.2">
      <c r="C92" s="5"/>
    </row>
    <row r="93" spans="3:3" x14ac:dyDescent="0.2">
      <c r="C93" s="5"/>
    </row>
    <row r="94" spans="3:3" x14ac:dyDescent="0.2">
      <c r="C94" s="5"/>
    </row>
    <row r="95" spans="3:3" x14ac:dyDescent="0.2">
      <c r="C95" s="5"/>
    </row>
    <row r="96" spans="3:3" x14ac:dyDescent="0.2">
      <c r="C96" s="5"/>
    </row>
    <row r="97" spans="3:3" x14ac:dyDescent="0.2">
      <c r="C97" s="5"/>
    </row>
    <row r="98" spans="3:3" x14ac:dyDescent="0.2">
      <c r="C98" s="5"/>
    </row>
    <row r="99" spans="3:3" x14ac:dyDescent="0.2">
      <c r="C99" s="5"/>
    </row>
    <row r="100" spans="3:3" x14ac:dyDescent="0.2">
      <c r="C100" s="5"/>
    </row>
    <row r="101" spans="3:3" x14ac:dyDescent="0.2">
      <c r="C101" s="5"/>
    </row>
    <row r="102" spans="3:3" x14ac:dyDescent="0.2">
      <c r="C102" s="5"/>
    </row>
    <row r="103" spans="3:3" x14ac:dyDescent="0.2">
      <c r="C103" s="5"/>
    </row>
    <row r="104" spans="3:3" x14ac:dyDescent="0.2">
      <c r="C104" s="5"/>
    </row>
    <row r="105" spans="3:3" x14ac:dyDescent="0.2">
      <c r="C105" s="5"/>
    </row>
    <row r="106" spans="3:3" x14ac:dyDescent="0.2">
      <c r="C106" s="5"/>
    </row>
    <row r="107" spans="3:3" x14ac:dyDescent="0.2">
      <c r="C107" s="5"/>
    </row>
    <row r="108" spans="3:3" x14ac:dyDescent="0.2">
      <c r="C108" s="5"/>
    </row>
    <row r="109" spans="3:3" x14ac:dyDescent="0.2">
      <c r="C109" s="5"/>
    </row>
    <row r="110" spans="3:3" x14ac:dyDescent="0.2">
      <c r="C110" s="5"/>
    </row>
    <row r="111" spans="3:3" x14ac:dyDescent="0.2">
      <c r="C111" s="5"/>
    </row>
    <row r="112" spans="3:3" x14ac:dyDescent="0.2">
      <c r="C112" s="5"/>
    </row>
    <row r="113" spans="3:3" x14ac:dyDescent="0.2">
      <c r="C113" s="5"/>
    </row>
    <row r="114" spans="3:3" x14ac:dyDescent="0.2">
      <c r="C114" s="5"/>
    </row>
    <row r="115" spans="3:3" x14ac:dyDescent="0.2">
      <c r="C115" s="5"/>
    </row>
    <row r="116" spans="3:3" x14ac:dyDescent="0.2">
      <c r="C116" s="5"/>
    </row>
    <row r="117" spans="3:3" x14ac:dyDescent="0.2">
      <c r="C117" s="5"/>
    </row>
    <row r="118" spans="3:3" x14ac:dyDescent="0.2">
      <c r="C118" s="5"/>
    </row>
    <row r="119" spans="3:3" x14ac:dyDescent="0.2">
      <c r="C119" s="5"/>
    </row>
    <row r="120" spans="3:3" x14ac:dyDescent="0.2">
      <c r="C120" s="5"/>
    </row>
    <row r="121" spans="3:3" x14ac:dyDescent="0.2">
      <c r="C121" s="5"/>
    </row>
    <row r="122" spans="3:3" x14ac:dyDescent="0.2">
      <c r="C122" s="5"/>
    </row>
    <row r="123" spans="3:3" x14ac:dyDescent="0.2">
      <c r="C123" s="5"/>
    </row>
    <row r="124" spans="3:3" x14ac:dyDescent="0.2">
      <c r="C124" s="5"/>
    </row>
    <row r="125" spans="3:3" x14ac:dyDescent="0.2">
      <c r="C125" s="5"/>
    </row>
    <row r="126" spans="3:3" x14ac:dyDescent="0.2">
      <c r="C126" s="5"/>
    </row>
    <row r="127" spans="3:3" x14ac:dyDescent="0.2">
      <c r="C127" s="5"/>
    </row>
    <row r="128" spans="3:3" x14ac:dyDescent="0.2">
      <c r="C128" s="5"/>
    </row>
    <row r="129" spans="3:3" x14ac:dyDescent="0.2">
      <c r="C129" s="5"/>
    </row>
    <row r="130" spans="3:3" x14ac:dyDescent="0.2">
      <c r="C130" s="5"/>
    </row>
    <row r="131" spans="3:3" x14ac:dyDescent="0.2">
      <c r="C131" s="5"/>
    </row>
    <row r="132" spans="3:3" x14ac:dyDescent="0.2">
      <c r="C132" s="5"/>
    </row>
    <row r="133" spans="3:3" x14ac:dyDescent="0.2">
      <c r="C133" s="5"/>
    </row>
    <row r="134" spans="3:3" x14ac:dyDescent="0.2">
      <c r="C134" s="5"/>
    </row>
    <row r="135" spans="3:3" x14ac:dyDescent="0.2">
      <c r="C135" s="5"/>
    </row>
    <row r="136" spans="3:3" x14ac:dyDescent="0.2">
      <c r="C136" s="5"/>
    </row>
    <row r="137" spans="3:3" x14ac:dyDescent="0.2">
      <c r="C137" s="5"/>
    </row>
    <row r="138" spans="3:3" x14ac:dyDescent="0.2">
      <c r="C138" s="5"/>
    </row>
    <row r="139" spans="3:3" x14ac:dyDescent="0.2">
      <c r="C139" s="5"/>
    </row>
    <row r="140" spans="3:3" x14ac:dyDescent="0.2">
      <c r="C140" s="5"/>
    </row>
    <row r="141" spans="3:3" x14ac:dyDescent="0.2">
      <c r="C141" s="5"/>
    </row>
    <row r="142" spans="3:3" x14ac:dyDescent="0.2">
      <c r="C142" s="5"/>
    </row>
    <row r="143" spans="3:3" x14ac:dyDescent="0.2">
      <c r="C143" s="5"/>
    </row>
    <row r="144" spans="3:3" x14ac:dyDescent="0.2">
      <c r="C144" s="5"/>
    </row>
    <row r="145" spans="3:3" x14ac:dyDescent="0.2">
      <c r="C145" s="5"/>
    </row>
    <row r="146" spans="3:3" x14ac:dyDescent="0.2">
      <c r="C146" s="5"/>
    </row>
    <row r="147" spans="3:3" x14ac:dyDescent="0.2">
      <c r="C147" s="5"/>
    </row>
    <row r="148" spans="3:3" x14ac:dyDescent="0.2">
      <c r="C148" s="5"/>
    </row>
    <row r="149" spans="3:3" x14ac:dyDescent="0.2">
      <c r="C149" s="5"/>
    </row>
    <row r="150" spans="3:3" x14ac:dyDescent="0.2">
      <c r="C150" s="5"/>
    </row>
    <row r="151" spans="3:3" x14ac:dyDescent="0.2">
      <c r="C151" s="5"/>
    </row>
    <row r="152" spans="3:3" x14ac:dyDescent="0.2">
      <c r="C152" s="5"/>
    </row>
    <row r="153" spans="3:3" x14ac:dyDescent="0.2">
      <c r="C153" s="5"/>
    </row>
    <row r="154" spans="3:3" x14ac:dyDescent="0.2">
      <c r="C154" s="5"/>
    </row>
    <row r="155" spans="3:3" x14ac:dyDescent="0.2">
      <c r="C155" s="5"/>
    </row>
    <row r="156" spans="3:3" x14ac:dyDescent="0.2">
      <c r="C156" s="5"/>
    </row>
    <row r="157" spans="3:3" x14ac:dyDescent="0.2">
      <c r="C157" s="5"/>
    </row>
    <row r="158" spans="3:3" x14ac:dyDescent="0.2">
      <c r="C158" s="5"/>
    </row>
    <row r="159" spans="3:3" x14ac:dyDescent="0.2">
      <c r="C159" s="5"/>
    </row>
    <row r="160" spans="3:3" x14ac:dyDescent="0.2">
      <c r="C160" s="5"/>
    </row>
    <row r="161" spans="3:3" x14ac:dyDescent="0.2">
      <c r="C161" s="5"/>
    </row>
    <row r="162" spans="3:3" x14ac:dyDescent="0.2">
      <c r="C162" s="5"/>
    </row>
    <row r="163" spans="3:3" x14ac:dyDescent="0.2">
      <c r="C163" s="5"/>
    </row>
    <row r="164" spans="3:3" x14ac:dyDescent="0.2">
      <c r="C164" s="5"/>
    </row>
    <row r="165" spans="3:3" x14ac:dyDescent="0.2">
      <c r="C165" s="5"/>
    </row>
    <row r="166" spans="3:3" x14ac:dyDescent="0.2">
      <c r="C166" s="5"/>
    </row>
    <row r="167" spans="3:3" x14ac:dyDescent="0.2">
      <c r="C167" s="5"/>
    </row>
    <row r="168" spans="3:3" x14ac:dyDescent="0.2">
      <c r="C168" s="5"/>
    </row>
    <row r="169" spans="3:3" x14ac:dyDescent="0.2">
      <c r="C169" s="5"/>
    </row>
    <row r="170" spans="3:3" x14ac:dyDescent="0.2">
      <c r="C170" s="5"/>
    </row>
    <row r="171" spans="3:3" x14ac:dyDescent="0.2">
      <c r="C171" s="5"/>
    </row>
    <row r="172" spans="3:3" x14ac:dyDescent="0.2">
      <c r="C172" s="5"/>
    </row>
    <row r="173" spans="3:3" x14ac:dyDescent="0.2">
      <c r="C173" s="5"/>
    </row>
    <row r="174" spans="3:3" x14ac:dyDescent="0.2">
      <c r="C174" s="5"/>
    </row>
    <row r="175" spans="3:3" x14ac:dyDescent="0.2">
      <c r="C175" s="5"/>
    </row>
    <row r="176" spans="3:3" x14ac:dyDescent="0.2">
      <c r="C176" s="5"/>
    </row>
    <row r="177" spans="3:3" x14ac:dyDescent="0.2">
      <c r="C177" s="5"/>
    </row>
    <row r="178" spans="3:3" x14ac:dyDescent="0.2">
      <c r="C178" s="5"/>
    </row>
    <row r="179" spans="3:3" x14ac:dyDescent="0.2">
      <c r="C179" s="5"/>
    </row>
    <row r="180" spans="3:3" x14ac:dyDescent="0.2">
      <c r="C180" s="5"/>
    </row>
    <row r="181" spans="3:3" x14ac:dyDescent="0.2">
      <c r="C181" s="5"/>
    </row>
    <row r="182" spans="3:3" x14ac:dyDescent="0.2">
      <c r="C182" s="5"/>
    </row>
    <row r="183" spans="3:3" x14ac:dyDescent="0.2">
      <c r="C183" s="5"/>
    </row>
    <row r="184" spans="3:3" x14ac:dyDescent="0.2">
      <c r="C184" s="5"/>
    </row>
    <row r="185" spans="3:3" x14ac:dyDescent="0.2">
      <c r="C185" s="5"/>
    </row>
    <row r="186" spans="3:3" x14ac:dyDescent="0.2">
      <c r="C186" s="5"/>
    </row>
    <row r="187" spans="3:3" x14ac:dyDescent="0.2">
      <c r="C187" s="5"/>
    </row>
    <row r="188" spans="3:3" x14ac:dyDescent="0.2">
      <c r="C188" s="5"/>
    </row>
    <row r="189" spans="3:3" x14ac:dyDescent="0.2">
      <c r="C189" s="5"/>
    </row>
    <row r="190" spans="3:3" x14ac:dyDescent="0.2">
      <c r="C190" s="5"/>
    </row>
    <row r="191" spans="3:3" x14ac:dyDescent="0.2">
      <c r="C191" s="5"/>
    </row>
    <row r="192" spans="3:3" x14ac:dyDescent="0.2">
      <c r="C192" s="5"/>
    </row>
    <row r="193" spans="3:3" x14ac:dyDescent="0.2">
      <c r="C193" s="5"/>
    </row>
    <row r="194" spans="3:3" x14ac:dyDescent="0.2">
      <c r="C194" s="5"/>
    </row>
    <row r="195" spans="3:3" x14ac:dyDescent="0.2">
      <c r="C195" s="5"/>
    </row>
    <row r="196" spans="3:3" x14ac:dyDescent="0.2">
      <c r="C196" s="5"/>
    </row>
    <row r="197" spans="3:3" x14ac:dyDescent="0.2">
      <c r="C197" s="5"/>
    </row>
    <row r="198" spans="3:3" x14ac:dyDescent="0.2">
      <c r="C198" s="5"/>
    </row>
    <row r="199" spans="3:3" x14ac:dyDescent="0.2">
      <c r="C199" s="5"/>
    </row>
    <row r="200" spans="3:3" x14ac:dyDescent="0.2">
      <c r="C200" s="5"/>
    </row>
    <row r="201" spans="3:3" x14ac:dyDescent="0.2">
      <c r="C201" s="5"/>
    </row>
    <row r="202" spans="3:3" x14ac:dyDescent="0.2">
      <c r="C202" s="5"/>
    </row>
    <row r="203" spans="3:3" x14ac:dyDescent="0.2">
      <c r="C203" s="5"/>
    </row>
    <row r="204" spans="3:3" x14ac:dyDescent="0.2">
      <c r="C204" s="5"/>
    </row>
    <row r="205" spans="3:3" x14ac:dyDescent="0.2">
      <c r="C205" s="5"/>
    </row>
    <row r="206" spans="3:3" x14ac:dyDescent="0.2">
      <c r="C206" s="5"/>
    </row>
    <row r="207" spans="3:3" x14ac:dyDescent="0.2">
      <c r="C207" s="5"/>
    </row>
    <row r="208" spans="3:3" x14ac:dyDescent="0.2">
      <c r="C208" s="5"/>
    </row>
    <row r="209" spans="3:3" x14ac:dyDescent="0.2">
      <c r="C209" s="5"/>
    </row>
    <row r="210" spans="3:3" x14ac:dyDescent="0.2">
      <c r="C210" s="5"/>
    </row>
    <row r="211" spans="3:3" x14ac:dyDescent="0.2">
      <c r="C211" s="5"/>
    </row>
    <row r="212" spans="3:3" x14ac:dyDescent="0.2">
      <c r="C212" s="5"/>
    </row>
    <row r="213" spans="3:3" x14ac:dyDescent="0.2">
      <c r="C213" s="5"/>
    </row>
    <row r="214" spans="3:3" x14ac:dyDescent="0.2">
      <c r="C214" s="5"/>
    </row>
    <row r="215" spans="3:3" x14ac:dyDescent="0.2">
      <c r="C215" s="5"/>
    </row>
    <row r="216" spans="3:3" x14ac:dyDescent="0.2">
      <c r="C216" s="5"/>
    </row>
    <row r="217" spans="3:3" x14ac:dyDescent="0.2">
      <c r="C217" s="5"/>
    </row>
    <row r="218" spans="3:3" x14ac:dyDescent="0.2">
      <c r="C218" s="5"/>
    </row>
    <row r="219" spans="3:3" x14ac:dyDescent="0.2">
      <c r="C219" s="5"/>
    </row>
    <row r="220" spans="3:3" x14ac:dyDescent="0.2">
      <c r="C220" s="5"/>
    </row>
    <row r="221" spans="3:3" x14ac:dyDescent="0.2">
      <c r="C221" s="5"/>
    </row>
    <row r="222" spans="3:3" x14ac:dyDescent="0.2">
      <c r="C222" s="5"/>
    </row>
    <row r="223" spans="3:3" x14ac:dyDescent="0.2">
      <c r="C223" s="5"/>
    </row>
    <row r="224" spans="3:3" x14ac:dyDescent="0.2">
      <c r="C224" s="5"/>
    </row>
    <row r="225" spans="3:3" x14ac:dyDescent="0.2">
      <c r="C225" s="5"/>
    </row>
    <row r="226" spans="3:3" x14ac:dyDescent="0.2">
      <c r="C226" s="5"/>
    </row>
    <row r="227" spans="3:3" x14ac:dyDescent="0.2">
      <c r="C227" s="5"/>
    </row>
    <row r="228" spans="3:3" x14ac:dyDescent="0.2">
      <c r="C228" s="5"/>
    </row>
    <row r="229" spans="3:3" x14ac:dyDescent="0.2">
      <c r="C229" s="5"/>
    </row>
    <row r="230" spans="3:3" x14ac:dyDescent="0.2">
      <c r="C230" s="5"/>
    </row>
    <row r="231" spans="3:3" x14ac:dyDescent="0.2">
      <c r="C231" s="5"/>
    </row>
    <row r="232" spans="3:3" x14ac:dyDescent="0.2">
      <c r="C232" s="5"/>
    </row>
    <row r="233" spans="3:3" x14ac:dyDescent="0.2">
      <c r="C233" s="5"/>
    </row>
    <row r="234" spans="3:3" x14ac:dyDescent="0.2">
      <c r="C234" s="5"/>
    </row>
    <row r="235" spans="3:3" x14ac:dyDescent="0.2">
      <c r="C235" s="5"/>
    </row>
    <row r="236" spans="3:3" x14ac:dyDescent="0.2">
      <c r="C236" s="5"/>
    </row>
    <row r="237" spans="3:3" x14ac:dyDescent="0.2">
      <c r="C237" s="5"/>
    </row>
    <row r="238" spans="3:3" x14ac:dyDescent="0.2">
      <c r="C238" s="5"/>
    </row>
    <row r="239" spans="3:3" x14ac:dyDescent="0.2">
      <c r="C239" s="5"/>
    </row>
    <row r="240" spans="3:3" x14ac:dyDescent="0.2">
      <c r="C240" s="5"/>
    </row>
    <row r="241" spans="3:3" x14ac:dyDescent="0.2">
      <c r="C241" s="5"/>
    </row>
    <row r="242" spans="3:3" x14ac:dyDescent="0.2">
      <c r="C242" s="5"/>
    </row>
    <row r="243" spans="3:3" x14ac:dyDescent="0.2">
      <c r="C243" s="5"/>
    </row>
    <row r="244" spans="3:3" x14ac:dyDescent="0.2">
      <c r="C244" s="5"/>
    </row>
    <row r="245" spans="3:3" x14ac:dyDescent="0.2">
      <c r="C245" s="5"/>
    </row>
    <row r="246" spans="3:3" x14ac:dyDescent="0.2">
      <c r="C246" s="5"/>
    </row>
    <row r="247" spans="3:3" x14ac:dyDescent="0.2">
      <c r="C247" s="5"/>
    </row>
    <row r="248" spans="3:3" x14ac:dyDescent="0.2">
      <c r="C248" s="5"/>
    </row>
    <row r="249" spans="3:3" x14ac:dyDescent="0.2">
      <c r="C249" s="5"/>
    </row>
    <row r="250" spans="3:3" x14ac:dyDescent="0.2">
      <c r="C250" s="5"/>
    </row>
    <row r="251" spans="3:3" x14ac:dyDescent="0.2">
      <c r="C251" s="5"/>
    </row>
    <row r="252" spans="3:3" x14ac:dyDescent="0.2">
      <c r="C252" s="5"/>
    </row>
    <row r="253" spans="3:3" x14ac:dyDescent="0.2">
      <c r="C253" s="5"/>
    </row>
    <row r="254" spans="3:3" x14ac:dyDescent="0.2">
      <c r="C254" s="5"/>
    </row>
    <row r="255" spans="3:3" x14ac:dyDescent="0.2">
      <c r="C255" s="5"/>
    </row>
    <row r="256" spans="3:3" x14ac:dyDescent="0.2">
      <c r="C256" s="5"/>
    </row>
    <row r="257" spans="3:3" x14ac:dyDescent="0.2">
      <c r="C257" s="5"/>
    </row>
    <row r="258" spans="3:3" x14ac:dyDescent="0.2">
      <c r="C258" s="5"/>
    </row>
    <row r="259" spans="3:3" x14ac:dyDescent="0.2">
      <c r="C259" s="5"/>
    </row>
    <row r="260" spans="3:3" x14ac:dyDescent="0.2">
      <c r="C260" s="5"/>
    </row>
  </sheetData>
  <mergeCells count="16">
    <mergeCell ref="B18:B20"/>
    <mergeCell ref="B22:B26"/>
    <mergeCell ref="C4:D4"/>
    <mergeCell ref="C18:C19"/>
    <mergeCell ref="C22:C26"/>
    <mergeCell ref="C20:D20"/>
    <mergeCell ref="C21:D21"/>
    <mergeCell ref="C8:C10"/>
    <mergeCell ref="C5:C7"/>
    <mergeCell ref="C11:C12"/>
    <mergeCell ref="C13:C17"/>
    <mergeCell ref="E8:E10"/>
    <mergeCell ref="E11:E12"/>
    <mergeCell ref="E13:E14"/>
    <mergeCell ref="E15:E16"/>
    <mergeCell ref="B5:B17"/>
  </mergeCells>
  <phoneticPr fontId="8" type="noConversion"/>
  <pageMargins left="0.75" right="0.75" top="1" bottom="1"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Information</vt:lpstr>
      <vt:lpstr>CMC</vt:lpstr>
      <vt:lpstr>Evidence</vt:lpstr>
      <vt:lpstr>Field descriptions</vt:lpstr>
      <vt:lpstr>force_cases</vt:lpstr>
      <vt:lpstr>force_traceability</vt:lpstr>
      <vt:lpstr>torque_cases</vt:lpstr>
      <vt:lpstr>torque_traceability</vt:lpstr>
    </vt:vector>
  </TitlesOfParts>
  <Company>BIPM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Castelazo</dc:creator>
  <cp:lastModifiedBy>Andy Knott</cp:lastModifiedBy>
  <cp:lastPrinted>2018-09-07T13:07:20Z</cp:lastPrinted>
  <dcterms:created xsi:type="dcterms:W3CDTF">2004-12-20T16:23:40Z</dcterms:created>
  <dcterms:modified xsi:type="dcterms:W3CDTF">2024-04-11T15:43:17Z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f4b5af-ab42-45d5-91e7-45583bed1b2a_Enabled">
    <vt:lpwstr>true</vt:lpwstr>
  </property>
  <property fmtid="{D5CDD505-2E9C-101B-9397-08002B2CF9AE}" pid="3" name="MSIP_Label_9df4b5af-ab42-45d5-91e7-45583bed1b2a_SetDate">
    <vt:lpwstr>2022-10-21T10:14:53Z</vt:lpwstr>
  </property>
  <property fmtid="{D5CDD505-2E9C-101B-9397-08002B2CF9AE}" pid="4" name="MSIP_Label_9df4b5af-ab42-45d5-91e7-45583bed1b2a_Method">
    <vt:lpwstr>Standard</vt:lpwstr>
  </property>
  <property fmtid="{D5CDD505-2E9C-101B-9397-08002B2CF9AE}" pid="5" name="MSIP_Label_9df4b5af-ab42-45d5-91e7-45583bed1b2a_Name">
    <vt:lpwstr>9df4b5af-ab42-45d5-91e7-45583bed1b2a</vt:lpwstr>
  </property>
  <property fmtid="{D5CDD505-2E9C-101B-9397-08002B2CF9AE}" pid="6" name="MSIP_Label_9df4b5af-ab42-45d5-91e7-45583bed1b2a_SiteId">
    <vt:lpwstr>601e5460-b1bf-49c0-bd2d-e76ffc186a8d</vt:lpwstr>
  </property>
  <property fmtid="{D5CDD505-2E9C-101B-9397-08002B2CF9AE}" pid="7" name="MSIP_Label_9df4b5af-ab42-45d5-91e7-45583bed1b2a_ActionId">
    <vt:lpwstr>de6015e5-ec77-4749-8e1a-ebee96047e73</vt:lpwstr>
  </property>
  <property fmtid="{D5CDD505-2E9C-101B-9397-08002B2CF9AE}" pid="8" name="MSIP_Label_9df4b5af-ab42-45d5-91e7-45583bed1b2a_ContentBits">
    <vt:lpwstr>0</vt:lpwstr>
  </property>
</Properties>
</file>